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K1860" i="1"/>
  <c r="J1860"/>
  <c r="G1860"/>
  <c r="F1860"/>
  <c r="C1860"/>
  <c r="K1859"/>
  <c r="J1859"/>
  <c r="G1859"/>
  <c r="F1859"/>
  <c r="C1859"/>
  <c r="K1858"/>
  <c r="J1858"/>
  <c r="G1858"/>
  <c r="F1858"/>
  <c r="C1858"/>
  <c r="K1857"/>
  <c r="J1857"/>
  <c r="G1857"/>
  <c r="F1857"/>
  <c r="C1857"/>
  <c r="K1856"/>
  <c r="J1856"/>
  <c r="G1856"/>
  <c r="F1856"/>
  <c r="C1856"/>
  <c r="K1855"/>
  <c r="J1855"/>
  <c r="G1855"/>
  <c r="F1855"/>
  <c r="C1855"/>
  <c r="K1854"/>
  <c r="J1854"/>
  <c r="G1854"/>
  <c r="F1854"/>
  <c r="C1854"/>
  <c r="K1853"/>
  <c r="J1853"/>
  <c r="G1853"/>
  <c r="F1853"/>
  <c r="C1853"/>
  <c r="K1852"/>
  <c r="J1852"/>
  <c r="G1852"/>
  <c r="F1852"/>
  <c r="C1852"/>
  <c r="K1851"/>
  <c r="J1851"/>
  <c r="G1851"/>
  <c r="F1851"/>
  <c r="C1851"/>
  <c r="K1850"/>
  <c r="J1850"/>
  <c r="G1850"/>
  <c r="F1850"/>
  <c r="C1850"/>
  <c r="K1849"/>
  <c r="J1849"/>
  <c r="G1849"/>
  <c r="F1849"/>
  <c r="C1849"/>
  <c r="K1848"/>
  <c r="J1848"/>
  <c r="G1848"/>
  <c r="F1848"/>
  <c r="C1848"/>
  <c r="K1847"/>
  <c r="J1847"/>
  <c r="G1847"/>
  <c r="F1847"/>
  <c r="C1847"/>
  <c r="K1846"/>
  <c r="J1846"/>
  <c r="G1846"/>
  <c r="F1846"/>
  <c r="C1846"/>
  <c r="K1845"/>
  <c r="J1845"/>
  <c r="G1845"/>
  <c r="F1845"/>
  <c r="C1845"/>
  <c r="K1844"/>
  <c r="J1844"/>
  <c r="G1844"/>
  <c r="F1844"/>
  <c r="C1844"/>
  <c r="K1843"/>
  <c r="J1843"/>
  <c r="G1843"/>
  <c r="F1843"/>
  <c r="C1843"/>
  <c r="K1842"/>
  <c r="J1842"/>
  <c r="G1842"/>
  <c r="F1842"/>
  <c r="C1842"/>
  <c r="K1841"/>
  <c r="J1841"/>
  <c r="G1841"/>
  <c r="F1841"/>
  <c r="C1841"/>
  <c r="K1840"/>
  <c r="J1840"/>
  <c r="G1840"/>
  <c r="F1840"/>
  <c r="C1840"/>
  <c r="K1839"/>
  <c r="J1839"/>
  <c r="G1839"/>
  <c r="F1839"/>
  <c r="C1839"/>
  <c r="K1838"/>
  <c r="J1838"/>
  <c r="G1838"/>
  <c r="F1838"/>
  <c r="C1838"/>
  <c r="K1837"/>
  <c r="J1837"/>
  <c r="G1837"/>
  <c r="F1837"/>
  <c r="C1837"/>
  <c r="K1836"/>
  <c r="J1836"/>
  <c r="G1836"/>
  <c r="F1836"/>
  <c r="C1836"/>
  <c r="K1835"/>
  <c r="J1835"/>
  <c r="G1835"/>
  <c r="F1835"/>
  <c r="C1835"/>
  <c r="K1834"/>
  <c r="J1834"/>
  <c r="G1834"/>
  <c r="F1834"/>
  <c r="C1834"/>
  <c r="K1833"/>
  <c r="J1833"/>
  <c r="G1833"/>
  <c r="F1833"/>
  <c r="C1833"/>
  <c r="K1832"/>
  <c r="J1832"/>
  <c r="G1832"/>
  <c r="F1832"/>
  <c r="C1832"/>
  <c r="K1831"/>
  <c r="J1831"/>
  <c r="G1831"/>
  <c r="F1831"/>
  <c r="C1831"/>
  <c r="K1830"/>
  <c r="J1830"/>
  <c r="G1830"/>
  <c r="F1830"/>
  <c r="C1830"/>
  <c r="K1829"/>
  <c r="J1829"/>
  <c r="G1829"/>
  <c r="F1829"/>
  <c r="C1829"/>
  <c r="K1828"/>
  <c r="J1828"/>
  <c r="G1828"/>
  <c r="F1828"/>
  <c r="C1828"/>
  <c r="K1827"/>
  <c r="J1827"/>
  <c r="G1827"/>
  <c r="F1827"/>
  <c r="C1827"/>
  <c r="K1826"/>
  <c r="J1826"/>
  <c r="G1826"/>
  <c r="F1826"/>
  <c r="C1826"/>
  <c r="K1825"/>
  <c r="J1825"/>
  <c r="G1825"/>
  <c r="F1825"/>
  <c r="C1825"/>
  <c r="K1824"/>
  <c r="J1824"/>
  <c r="G1824"/>
  <c r="F1824"/>
  <c r="C1824"/>
  <c r="K1823"/>
  <c r="J1823"/>
  <c r="G1823"/>
  <c r="F1823"/>
  <c r="C1823"/>
  <c r="K1822"/>
  <c r="J1822"/>
  <c r="G1822"/>
  <c r="F1822"/>
  <c r="C1822"/>
  <c r="K1821"/>
  <c r="J1821"/>
  <c r="G1821"/>
  <c r="F1821"/>
  <c r="C1821"/>
  <c r="K1820"/>
  <c r="J1820"/>
  <c r="G1820"/>
  <c r="F1820"/>
  <c r="C1820"/>
  <c r="K1819"/>
  <c r="J1819"/>
  <c r="G1819"/>
  <c r="F1819"/>
  <c r="C1819"/>
  <c r="K1818"/>
  <c r="J1818"/>
  <c r="G1818"/>
  <c r="F1818"/>
  <c r="C1818"/>
  <c r="K1817"/>
  <c r="J1817"/>
  <c r="G1817"/>
  <c r="F1817"/>
  <c r="C1817"/>
  <c r="K1816"/>
  <c r="J1816"/>
  <c r="G1816"/>
  <c r="F1816"/>
  <c r="C1816"/>
  <c r="K1815"/>
  <c r="J1815"/>
  <c r="G1815"/>
  <c r="F1815"/>
  <c r="C1815"/>
  <c r="K1814"/>
  <c r="J1814"/>
  <c r="G1814"/>
  <c r="F1814"/>
  <c r="C1814"/>
  <c r="K1813"/>
  <c r="J1813"/>
  <c r="G1813"/>
  <c r="F1813"/>
  <c r="C1813"/>
  <c r="K1812"/>
  <c r="J1812"/>
  <c r="G1812"/>
  <c r="F1812"/>
  <c r="C1812"/>
  <c r="K1811"/>
  <c r="J1811"/>
  <c r="G1811"/>
  <c r="F1811"/>
  <c r="C1811"/>
  <c r="K1810"/>
  <c r="J1810"/>
  <c r="G1810"/>
  <c r="F1810"/>
  <c r="C1810"/>
  <c r="K1809"/>
  <c r="J1809"/>
  <c r="G1809"/>
  <c r="F1809"/>
  <c r="C1809"/>
  <c r="K1808"/>
  <c r="J1808"/>
  <c r="G1808"/>
  <c r="F1808"/>
  <c r="C1808"/>
  <c r="K1807"/>
  <c r="J1807"/>
  <c r="G1807"/>
  <c r="F1807"/>
  <c r="C1807"/>
  <c r="K1806"/>
  <c r="J1806"/>
  <c r="G1806"/>
  <c r="F1806"/>
  <c r="C1806"/>
  <c r="K1805"/>
  <c r="J1805"/>
  <c r="G1805"/>
  <c r="F1805"/>
  <c r="C1805"/>
  <c r="K1804"/>
  <c r="J1804"/>
  <c r="G1804"/>
  <c r="F1804"/>
  <c r="C1804"/>
  <c r="K1803"/>
  <c r="J1803"/>
  <c r="G1803"/>
  <c r="F1803"/>
  <c r="C1803"/>
  <c r="K1802"/>
  <c r="J1802"/>
  <c r="G1802"/>
  <c r="F1802"/>
  <c r="C1802"/>
  <c r="K1801"/>
  <c r="J1801"/>
  <c r="G1801"/>
  <c r="F1801"/>
  <c r="C1801"/>
  <c r="K1800"/>
  <c r="J1800"/>
  <c r="G1800"/>
  <c r="F1800"/>
  <c r="C1800"/>
  <c r="K1799"/>
  <c r="J1799"/>
  <c r="G1799"/>
  <c r="F1799"/>
  <c r="C1799"/>
  <c r="K1798"/>
  <c r="J1798"/>
  <c r="G1798"/>
  <c r="F1798"/>
  <c r="C1798"/>
  <c r="K1797"/>
  <c r="J1797"/>
  <c r="G1797"/>
  <c r="F1797"/>
  <c r="C1797"/>
  <c r="K1796"/>
  <c r="J1796"/>
  <c r="G1796"/>
  <c r="F1796"/>
  <c r="C1796"/>
  <c r="K1795"/>
  <c r="J1795"/>
  <c r="G1795"/>
  <c r="F1795"/>
  <c r="C1795"/>
  <c r="K1794"/>
  <c r="J1794"/>
  <c r="G1794"/>
  <c r="F1794"/>
  <c r="C1794"/>
  <c r="K1793"/>
  <c r="J1793"/>
  <c r="G1793"/>
  <c r="F1793"/>
  <c r="C1793"/>
  <c r="K1792"/>
  <c r="J1792"/>
  <c r="G1792"/>
  <c r="F1792"/>
  <c r="C1792"/>
  <c r="K1791"/>
  <c r="J1791"/>
  <c r="G1791"/>
  <c r="F1791"/>
  <c r="C1791"/>
  <c r="K1790"/>
  <c r="J1790"/>
  <c r="G1790"/>
  <c r="F1790"/>
  <c r="C1790"/>
  <c r="K1789"/>
  <c r="J1789"/>
  <c r="G1789"/>
  <c r="F1789"/>
  <c r="C1789"/>
  <c r="K1788"/>
  <c r="J1788"/>
  <c r="G1788"/>
  <c r="F1788"/>
  <c r="C1788"/>
  <c r="K1787"/>
  <c r="J1787"/>
  <c r="G1787"/>
  <c r="F1787"/>
  <c r="C1787"/>
  <c r="K1786"/>
  <c r="J1786"/>
  <c r="G1786"/>
  <c r="F1786"/>
  <c r="C1786"/>
  <c r="K1785"/>
  <c r="J1785"/>
  <c r="G1785"/>
  <c r="F1785"/>
  <c r="C1785"/>
  <c r="K1784"/>
  <c r="J1784"/>
  <c r="G1784"/>
  <c r="F1784"/>
  <c r="C1784"/>
  <c r="K1783"/>
  <c r="J1783"/>
  <c r="G1783"/>
  <c r="F1783"/>
  <c r="C1783"/>
  <c r="K1782"/>
  <c r="J1782"/>
  <c r="G1782"/>
  <c r="F1782"/>
  <c r="C1782"/>
  <c r="K1781"/>
  <c r="J1781"/>
  <c r="G1781"/>
  <c r="F1781"/>
  <c r="C1781"/>
  <c r="K1780"/>
  <c r="J1780"/>
  <c r="G1780"/>
  <c r="F1780"/>
  <c r="C1780"/>
  <c r="K1779"/>
  <c r="J1779"/>
  <c r="G1779"/>
  <c r="F1779"/>
  <c r="C1779"/>
  <c r="K1778"/>
  <c r="J1778"/>
  <c r="G1778"/>
  <c r="F1778"/>
  <c r="C1778"/>
  <c r="K1777"/>
  <c r="J1777"/>
  <c r="G1777"/>
  <c r="F1777"/>
  <c r="C1777"/>
  <c r="K1776"/>
  <c r="J1776"/>
  <c r="G1776"/>
  <c r="F1776"/>
  <c r="C1776"/>
  <c r="K1775"/>
  <c r="J1775"/>
  <c r="G1775"/>
  <c r="F1775"/>
  <c r="C1775"/>
  <c r="K1774"/>
  <c r="J1774"/>
  <c r="G1774"/>
  <c r="F1774"/>
  <c r="C1774"/>
  <c r="K1773"/>
  <c r="J1773"/>
  <c r="G1773"/>
  <c r="F1773"/>
  <c r="C1773"/>
  <c r="K1772"/>
  <c r="J1772"/>
  <c r="G1772"/>
  <c r="F1772"/>
  <c r="C1772"/>
  <c r="K1771"/>
  <c r="J1771"/>
  <c r="G1771"/>
  <c r="F1771"/>
  <c r="C1771"/>
  <c r="K1770"/>
  <c r="J1770"/>
  <c r="G1770"/>
  <c r="F1770"/>
  <c r="C1770"/>
  <c r="K1769"/>
  <c r="J1769"/>
  <c r="G1769"/>
  <c r="F1769"/>
  <c r="C1769"/>
  <c r="K1768"/>
  <c r="J1768"/>
  <c r="G1768"/>
  <c r="F1768"/>
  <c r="C1768"/>
  <c r="K1767"/>
  <c r="J1767"/>
  <c r="G1767"/>
  <c r="F1767"/>
  <c r="C1767"/>
  <c r="K1766"/>
  <c r="J1766"/>
  <c r="G1766"/>
  <c r="F1766"/>
  <c r="C1766"/>
  <c r="K1765"/>
  <c r="J1765"/>
  <c r="G1765"/>
  <c r="F1765"/>
  <c r="C1765"/>
  <c r="K1764"/>
  <c r="J1764"/>
  <c r="G1764"/>
  <c r="F1764"/>
  <c r="C1764"/>
  <c r="K1763"/>
  <c r="J1763"/>
  <c r="G1763"/>
  <c r="F1763"/>
  <c r="C1763"/>
  <c r="K1762"/>
  <c r="J1762"/>
  <c r="G1762"/>
  <c r="F1762"/>
  <c r="C1762"/>
  <c r="K1761"/>
  <c r="J1761"/>
  <c r="G1761"/>
  <c r="F1761"/>
  <c r="C1761"/>
  <c r="K1760"/>
  <c r="J1760"/>
  <c r="G1760"/>
  <c r="F1760"/>
  <c r="C1760"/>
  <c r="K1759"/>
  <c r="J1759"/>
  <c r="G1759"/>
  <c r="F1759"/>
  <c r="C1759"/>
  <c r="K1758"/>
  <c r="J1758"/>
  <c r="G1758"/>
  <c r="F1758"/>
  <c r="C1758"/>
  <c r="K1757"/>
  <c r="J1757"/>
  <c r="G1757"/>
  <c r="F1757"/>
  <c r="C1757"/>
  <c r="K1756"/>
  <c r="J1756"/>
  <c r="G1756"/>
  <c r="F1756"/>
  <c r="C1756"/>
  <c r="K1755"/>
  <c r="J1755"/>
  <c r="G1755"/>
  <c r="F1755"/>
  <c r="C1755"/>
  <c r="K1754"/>
  <c r="J1754"/>
  <c r="G1754"/>
  <c r="F1754"/>
  <c r="C1754"/>
  <c r="K1753"/>
  <c r="J1753"/>
  <c r="G1753"/>
  <c r="F1753"/>
  <c r="C1753"/>
  <c r="K1752"/>
  <c r="J1752"/>
  <c r="G1752"/>
  <c r="F1752"/>
  <c r="C1752"/>
  <c r="K1751"/>
  <c r="J1751"/>
  <c r="G1751"/>
  <c r="F1751"/>
  <c r="C1751"/>
  <c r="K1750"/>
  <c r="J1750"/>
  <c r="G1750"/>
  <c r="F1750"/>
  <c r="C1750"/>
  <c r="K1749"/>
  <c r="J1749"/>
  <c r="G1749"/>
  <c r="F1749"/>
  <c r="C1749"/>
  <c r="K1748"/>
  <c r="J1748"/>
  <c r="G1748"/>
  <c r="F1748"/>
  <c r="C1748"/>
  <c r="K1747"/>
  <c r="J1747"/>
  <c r="G1747"/>
  <c r="F1747"/>
  <c r="C1747"/>
  <c r="K1746"/>
  <c r="J1746"/>
  <c r="G1746"/>
  <c r="F1746"/>
  <c r="C1746"/>
  <c r="K1745"/>
  <c r="J1745"/>
  <c r="G1745"/>
  <c r="F1745"/>
  <c r="C1745"/>
  <c r="K1744"/>
  <c r="J1744"/>
  <c r="G1744"/>
  <c r="F1744"/>
  <c r="C1744"/>
  <c r="K1743"/>
  <c r="J1743"/>
  <c r="G1743"/>
  <c r="F1743"/>
  <c r="C1743"/>
  <c r="K1742"/>
  <c r="J1742"/>
  <c r="G1742"/>
  <c r="F1742"/>
  <c r="C1742"/>
  <c r="K1741"/>
  <c r="J1741"/>
  <c r="G1741"/>
  <c r="F1741"/>
  <c r="C1741"/>
  <c r="K1740"/>
  <c r="J1740"/>
  <c r="G1740"/>
  <c r="F1740"/>
  <c r="C1740"/>
  <c r="K1739"/>
  <c r="J1739"/>
  <c r="G1739"/>
  <c r="F1739"/>
  <c r="C1739"/>
  <c r="K1738"/>
  <c r="J1738"/>
  <c r="G1738"/>
  <c r="F1738"/>
  <c r="C1738"/>
  <c r="K1737"/>
  <c r="J1737"/>
  <c r="G1737"/>
  <c r="F1737"/>
  <c r="C1737"/>
  <c r="K1736"/>
  <c r="J1736"/>
  <c r="G1736"/>
  <c r="F1736"/>
  <c r="C1736"/>
  <c r="K1735"/>
  <c r="J1735"/>
  <c r="G1735"/>
  <c r="F1735"/>
  <c r="C1735"/>
  <c r="K1734"/>
  <c r="J1734"/>
  <c r="G1734"/>
  <c r="F1734"/>
  <c r="C1734"/>
  <c r="K1733"/>
  <c r="J1733"/>
  <c r="G1733"/>
  <c r="F1733"/>
  <c r="C1733"/>
  <c r="K1732"/>
  <c r="J1732"/>
  <c r="G1732"/>
  <c r="F1732"/>
  <c r="C1732"/>
  <c r="K1731"/>
  <c r="J1731"/>
  <c r="G1731"/>
  <c r="F1731"/>
  <c r="C1731"/>
  <c r="K1730"/>
  <c r="J1730"/>
  <c r="G1730"/>
  <c r="F1730"/>
  <c r="C1730"/>
  <c r="K1729"/>
  <c r="J1729"/>
  <c r="G1729"/>
  <c r="F1729"/>
  <c r="C1729"/>
  <c r="K1728"/>
  <c r="J1728"/>
  <c r="G1728"/>
  <c r="F1728"/>
  <c r="C1728"/>
  <c r="K1727"/>
  <c r="J1727"/>
  <c r="G1727"/>
  <c r="F1727"/>
  <c r="C1727"/>
  <c r="K1726"/>
  <c r="J1726"/>
  <c r="G1726"/>
  <c r="F1726"/>
  <c r="C1726"/>
  <c r="K1725"/>
  <c r="J1725"/>
  <c r="G1725"/>
  <c r="F1725"/>
  <c r="C1725"/>
  <c r="K1724"/>
  <c r="J1724"/>
  <c r="G1724"/>
  <c r="F1724"/>
  <c r="C1724"/>
  <c r="K1723"/>
  <c r="J1723"/>
  <c r="G1723"/>
  <c r="F1723"/>
  <c r="C1723"/>
  <c r="K1722"/>
  <c r="J1722"/>
  <c r="G1722"/>
  <c r="F1722"/>
  <c r="C1722"/>
  <c r="K1721"/>
  <c r="J1721"/>
  <c r="G1721"/>
  <c r="F1721"/>
  <c r="C1721"/>
  <c r="K1720"/>
  <c r="J1720"/>
  <c r="G1720"/>
  <c r="F1720"/>
  <c r="C1720"/>
  <c r="K1719"/>
  <c r="J1719"/>
  <c r="G1719"/>
  <c r="F1719"/>
  <c r="C1719"/>
  <c r="K1718"/>
  <c r="J1718"/>
  <c r="G1718"/>
  <c r="F1718"/>
  <c r="C1718"/>
  <c r="K1717"/>
  <c r="J1717"/>
  <c r="G1717"/>
  <c r="F1717"/>
  <c r="C1717"/>
  <c r="K1716"/>
  <c r="J1716"/>
  <c r="G1716"/>
  <c r="F1716"/>
  <c r="C1716"/>
  <c r="K1715"/>
  <c r="J1715"/>
  <c r="G1715"/>
  <c r="F1715"/>
  <c r="C1715"/>
  <c r="K1714"/>
  <c r="J1714"/>
  <c r="G1714"/>
  <c r="F1714"/>
  <c r="C1714"/>
  <c r="K1713"/>
  <c r="J1713"/>
  <c r="G1713"/>
  <c r="F1713"/>
  <c r="C1713"/>
  <c r="K1712"/>
  <c r="J1712"/>
  <c r="G1712"/>
  <c r="F1712"/>
  <c r="C1712"/>
  <c r="K1711"/>
  <c r="J1711"/>
  <c r="G1711"/>
  <c r="F1711"/>
  <c r="C1711"/>
  <c r="K1710"/>
  <c r="J1710"/>
  <c r="G1710"/>
  <c r="F1710"/>
  <c r="C1710"/>
  <c r="K1709"/>
  <c r="J1709"/>
  <c r="G1709"/>
  <c r="F1709"/>
  <c r="C1709"/>
  <c r="K1708"/>
  <c r="J1708"/>
  <c r="G1708"/>
  <c r="F1708"/>
  <c r="C1708"/>
  <c r="K1707"/>
  <c r="J1707"/>
  <c r="G1707"/>
  <c r="F1707"/>
  <c r="C1707"/>
  <c r="K1706"/>
  <c r="J1706"/>
  <c r="G1706"/>
  <c r="F1706"/>
  <c r="C1706"/>
  <c r="K1705"/>
  <c r="J1705"/>
  <c r="G1705"/>
  <c r="F1705"/>
  <c r="C1705"/>
  <c r="K1704"/>
  <c r="J1704"/>
  <c r="G1704"/>
  <c r="F1704"/>
  <c r="C1704"/>
  <c r="K1703"/>
  <c r="J1703"/>
  <c r="G1703"/>
  <c r="F1703"/>
  <c r="C1703"/>
  <c r="K1702"/>
  <c r="J1702"/>
  <c r="G1702"/>
  <c r="F1702"/>
  <c r="C1702"/>
  <c r="K1701"/>
  <c r="J1701"/>
  <c r="G1701"/>
  <c r="F1701"/>
  <c r="C1701"/>
  <c r="K1700"/>
  <c r="J1700"/>
  <c r="G1700"/>
  <c r="F1700"/>
  <c r="C1700"/>
  <c r="K1699"/>
  <c r="J1699"/>
  <c r="G1699"/>
  <c r="F1699"/>
  <c r="C1699"/>
  <c r="K1698"/>
  <c r="J1698"/>
  <c r="G1698"/>
  <c r="F1698"/>
  <c r="C1698"/>
  <c r="K1697"/>
  <c r="J1697"/>
  <c r="G1697"/>
  <c r="F1697"/>
  <c r="C1697"/>
  <c r="K1696"/>
  <c r="J1696"/>
  <c r="G1696"/>
  <c r="F1696"/>
  <c r="C1696"/>
  <c r="K1695"/>
  <c r="J1695"/>
  <c r="G1695"/>
  <c r="F1695"/>
  <c r="C1695"/>
  <c r="K1694"/>
  <c r="J1694"/>
  <c r="G1694"/>
  <c r="F1694"/>
  <c r="C1694"/>
  <c r="K1693"/>
  <c r="J1693"/>
  <c r="G1693"/>
  <c r="F1693"/>
  <c r="C1693"/>
  <c r="K1692"/>
  <c r="J1692"/>
  <c r="G1692"/>
  <c r="F1692"/>
  <c r="C1692"/>
  <c r="K1691"/>
  <c r="J1691"/>
  <c r="G1691"/>
  <c r="F1691"/>
  <c r="C1691"/>
  <c r="K1690"/>
  <c r="J1690"/>
  <c r="G1690"/>
  <c r="F1690"/>
  <c r="C1690"/>
  <c r="K1689"/>
  <c r="J1689"/>
  <c r="G1689"/>
  <c r="F1689"/>
  <c r="C1689"/>
  <c r="K1688"/>
  <c r="J1688"/>
  <c r="G1688"/>
  <c r="F1688"/>
  <c r="C1688"/>
  <c r="K1687"/>
  <c r="J1687"/>
  <c r="G1687"/>
  <c r="F1687"/>
  <c r="C1687"/>
  <c r="K1686"/>
  <c r="J1686"/>
  <c r="G1686"/>
  <c r="F1686"/>
  <c r="C1686"/>
  <c r="K1685"/>
  <c r="J1685"/>
  <c r="G1685"/>
  <c r="F1685"/>
  <c r="C1685"/>
  <c r="K1684"/>
  <c r="J1684"/>
  <c r="G1684"/>
  <c r="F1684"/>
  <c r="C1684"/>
  <c r="K1683"/>
  <c r="J1683"/>
  <c r="G1683"/>
  <c r="F1683"/>
  <c r="C1683"/>
  <c r="K1682"/>
  <c r="J1682"/>
  <c r="G1682"/>
  <c r="F1682"/>
  <c r="C1682"/>
  <c r="K1681"/>
  <c r="J1681"/>
  <c r="G1681"/>
  <c r="F1681"/>
  <c r="C1681"/>
  <c r="K1680"/>
  <c r="J1680"/>
  <c r="G1680"/>
  <c r="F1680"/>
  <c r="C1680"/>
  <c r="K1679"/>
  <c r="J1679"/>
  <c r="G1679"/>
  <c r="F1679"/>
  <c r="C1679"/>
  <c r="K1678"/>
  <c r="J1678"/>
  <c r="G1678"/>
  <c r="F1678"/>
  <c r="C1678"/>
  <c r="K1677"/>
  <c r="J1677"/>
  <c r="G1677"/>
  <c r="F1677"/>
  <c r="C1677"/>
  <c r="K1676"/>
  <c r="J1676"/>
  <c r="G1676"/>
  <c r="F1676"/>
  <c r="C1676"/>
  <c r="K1675"/>
  <c r="J1675"/>
  <c r="G1675"/>
  <c r="F1675"/>
  <c r="C1675"/>
  <c r="K1674"/>
  <c r="J1674"/>
  <c r="G1674"/>
  <c r="F1674"/>
  <c r="C1674"/>
  <c r="K1673"/>
  <c r="J1673"/>
  <c r="G1673"/>
  <c r="F1673"/>
  <c r="C1673"/>
  <c r="K1672"/>
  <c r="J1672"/>
  <c r="G1672"/>
  <c r="F1672"/>
  <c r="C1672"/>
  <c r="K1671"/>
  <c r="J1671"/>
  <c r="G1671"/>
  <c r="F1671"/>
  <c r="C1671"/>
  <c r="K1670"/>
  <c r="J1670"/>
  <c r="G1670"/>
  <c r="F1670"/>
  <c r="C1670"/>
  <c r="K1669"/>
  <c r="J1669"/>
  <c r="G1669"/>
  <c r="F1669"/>
  <c r="C1669"/>
  <c r="K1668"/>
  <c r="J1668"/>
  <c r="G1668"/>
  <c r="F1668"/>
  <c r="C1668"/>
  <c r="K1667"/>
  <c r="J1667"/>
  <c r="G1667"/>
  <c r="F1667"/>
  <c r="C1667"/>
  <c r="K1666"/>
  <c r="J1666"/>
  <c r="G1666"/>
  <c r="F1666"/>
  <c r="C1666"/>
  <c r="K1665"/>
  <c r="J1665"/>
  <c r="G1665"/>
  <c r="F1665"/>
  <c r="C1665"/>
  <c r="K1664"/>
  <c r="J1664"/>
  <c r="G1664"/>
  <c r="F1664"/>
  <c r="C1664"/>
  <c r="K1663"/>
  <c r="J1663"/>
  <c r="G1663"/>
  <c r="F1663"/>
  <c r="C1663"/>
  <c r="K1662"/>
  <c r="J1662"/>
  <c r="G1662"/>
  <c r="F1662"/>
  <c r="C1662"/>
  <c r="K1661"/>
  <c r="J1661"/>
  <c r="G1661"/>
  <c r="F1661"/>
  <c r="C1661"/>
  <c r="K1660"/>
  <c r="J1660"/>
  <c r="G1660"/>
  <c r="F1660"/>
  <c r="C1660"/>
  <c r="K1659"/>
  <c r="J1659"/>
  <c r="G1659"/>
  <c r="F1659"/>
  <c r="C1659"/>
  <c r="K1658"/>
  <c r="J1658"/>
  <c r="G1658"/>
  <c r="F1658"/>
  <c r="C1658"/>
  <c r="K1657"/>
  <c r="J1657"/>
  <c r="G1657"/>
  <c r="F1657"/>
  <c r="C1657"/>
  <c r="K1656"/>
  <c r="J1656"/>
  <c r="G1656"/>
  <c r="F1656"/>
  <c r="C1656"/>
  <c r="K1655"/>
  <c r="J1655"/>
  <c r="G1655"/>
  <c r="F1655"/>
  <c r="C1655"/>
  <c r="K1654"/>
  <c r="J1654"/>
  <c r="G1654"/>
  <c r="F1654"/>
  <c r="C1654"/>
  <c r="K1653"/>
  <c r="J1653"/>
  <c r="G1653"/>
  <c r="F1653"/>
  <c r="C1653"/>
  <c r="K1652"/>
  <c r="J1652"/>
  <c r="G1652"/>
  <c r="F1652"/>
  <c r="C1652"/>
  <c r="K1651"/>
  <c r="J1651"/>
  <c r="G1651"/>
  <c r="F1651"/>
  <c r="C1651"/>
  <c r="K1650"/>
  <c r="J1650"/>
  <c r="G1650"/>
  <c r="F1650"/>
  <c r="C1650"/>
  <c r="K1649"/>
  <c r="J1649"/>
  <c r="G1649"/>
  <c r="F1649"/>
  <c r="C1649"/>
  <c r="K1648"/>
  <c r="J1648"/>
  <c r="G1648"/>
  <c r="F1648"/>
  <c r="C1648"/>
  <c r="K1647"/>
  <c r="J1647"/>
  <c r="G1647"/>
  <c r="F1647"/>
  <c r="C1647"/>
  <c r="K1646"/>
  <c r="J1646"/>
  <c r="G1646"/>
  <c r="F1646"/>
  <c r="C1646"/>
  <c r="K1645"/>
  <c r="J1645"/>
  <c r="G1645"/>
  <c r="F1645"/>
  <c r="C1645"/>
  <c r="K1644"/>
  <c r="J1644"/>
  <c r="G1644"/>
  <c r="F1644"/>
  <c r="C1644"/>
  <c r="K1643"/>
  <c r="J1643"/>
  <c r="G1643"/>
  <c r="F1643"/>
  <c r="C1643"/>
  <c r="K1642"/>
  <c r="J1642"/>
  <c r="G1642"/>
  <c r="F1642"/>
  <c r="C1642"/>
  <c r="K1641"/>
  <c r="J1641"/>
  <c r="G1641"/>
  <c r="F1641"/>
  <c r="C1641"/>
  <c r="K1640"/>
  <c r="J1640"/>
  <c r="G1640"/>
  <c r="F1640"/>
  <c r="C1640"/>
  <c r="K1639"/>
  <c r="J1639"/>
  <c r="G1639"/>
  <c r="F1639"/>
  <c r="C1639"/>
  <c r="K1638"/>
  <c r="J1638"/>
  <c r="G1638"/>
  <c r="F1638"/>
  <c r="C1638"/>
  <c r="K1637"/>
  <c r="J1637"/>
  <c r="G1637"/>
  <c r="F1637"/>
  <c r="C1637"/>
  <c r="K1636"/>
  <c r="J1636"/>
  <c r="G1636"/>
  <c r="F1636"/>
  <c r="C1636"/>
  <c r="K1635"/>
  <c r="J1635"/>
  <c r="G1635"/>
  <c r="F1635"/>
  <c r="C1635"/>
  <c r="K1634"/>
  <c r="J1634"/>
  <c r="G1634"/>
  <c r="F1634"/>
  <c r="C1634"/>
  <c r="K1633"/>
  <c r="J1633"/>
  <c r="G1633"/>
  <c r="F1633"/>
  <c r="C1633"/>
  <c r="K1632"/>
  <c r="J1632"/>
  <c r="G1632"/>
  <c r="F1632"/>
  <c r="C1632"/>
  <c r="K1631"/>
  <c r="J1631"/>
  <c r="G1631"/>
  <c r="F1631"/>
  <c r="C1631"/>
  <c r="K1630"/>
  <c r="J1630"/>
  <c r="G1630"/>
  <c r="F1630"/>
  <c r="C1630"/>
  <c r="K1629"/>
  <c r="J1629"/>
  <c r="G1629"/>
  <c r="F1629"/>
  <c r="C1629"/>
  <c r="K1628"/>
  <c r="J1628"/>
  <c r="G1628"/>
  <c r="F1628"/>
  <c r="C1628"/>
  <c r="K1627"/>
  <c r="J1627"/>
  <c r="G1627"/>
  <c r="F1627"/>
  <c r="C1627"/>
  <c r="K1626"/>
  <c r="J1626"/>
  <c r="G1626"/>
  <c r="F1626"/>
  <c r="C1626"/>
  <c r="K1625"/>
  <c r="J1625"/>
  <c r="G1625"/>
  <c r="F1625"/>
  <c r="C1625"/>
  <c r="K1624"/>
  <c r="J1624"/>
  <c r="G1624"/>
  <c r="F1624"/>
  <c r="C1624"/>
  <c r="K1623"/>
  <c r="J1623"/>
  <c r="G1623"/>
  <c r="F1623"/>
  <c r="C1623"/>
  <c r="K1622"/>
  <c r="J1622"/>
  <c r="G1622"/>
  <c r="F1622"/>
  <c r="C1622"/>
  <c r="K1621"/>
  <c r="J1621"/>
  <c r="G1621"/>
  <c r="F1621"/>
  <c r="C1621"/>
  <c r="K1620"/>
  <c r="J1620"/>
  <c r="G1620"/>
  <c r="F1620"/>
  <c r="C1620"/>
  <c r="K1619"/>
  <c r="J1619"/>
  <c r="G1619"/>
  <c r="F1619"/>
  <c r="C1619"/>
  <c r="K1618"/>
  <c r="J1618"/>
  <c r="G1618"/>
  <c r="F1618"/>
  <c r="C1618"/>
  <c r="K1617"/>
  <c r="J1617"/>
  <c r="G1617"/>
  <c r="F1617"/>
  <c r="C1617"/>
  <c r="K1616"/>
  <c r="J1616"/>
  <c r="G1616"/>
  <c r="F1616"/>
  <c r="C1616"/>
  <c r="K1615"/>
  <c r="J1615"/>
  <c r="G1615"/>
  <c r="F1615"/>
  <c r="C1615"/>
  <c r="K1614"/>
  <c r="J1614"/>
  <c r="G1614"/>
  <c r="F1614"/>
  <c r="C1614"/>
  <c r="K1613"/>
  <c r="J1613"/>
  <c r="G1613"/>
  <c r="F1613"/>
  <c r="C1613"/>
  <c r="K1612"/>
  <c r="J1612"/>
  <c r="G1612"/>
  <c r="F1612"/>
  <c r="C1612"/>
  <c r="K1611"/>
  <c r="J1611"/>
  <c r="G1611"/>
  <c r="F1611"/>
  <c r="C1611"/>
  <c r="K1610"/>
  <c r="J1610"/>
  <c r="G1610"/>
  <c r="F1610"/>
  <c r="C1610"/>
  <c r="K1609"/>
  <c r="J1609"/>
  <c r="G1609"/>
  <c r="F1609"/>
  <c r="C1609"/>
  <c r="K1608"/>
  <c r="J1608"/>
  <c r="G1608"/>
  <c r="F1608"/>
  <c r="C1608"/>
  <c r="K1607"/>
  <c r="J1607"/>
  <c r="G1607"/>
  <c r="F1607"/>
  <c r="C1607"/>
  <c r="K1606"/>
  <c r="J1606"/>
  <c r="G1606"/>
  <c r="F1606"/>
  <c r="C1606"/>
  <c r="K1605"/>
  <c r="J1605"/>
  <c r="G1605"/>
  <c r="F1605"/>
  <c r="C1605"/>
  <c r="K1604"/>
  <c r="J1604"/>
  <c r="G1604"/>
  <c r="F1604"/>
  <c r="C1604"/>
  <c r="K1603"/>
  <c r="J1603"/>
  <c r="G1603"/>
  <c r="F1603"/>
  <c r="C1603"/>
  <c r="K1602"/>
  <c r="J1602"/>
  <c r="G1602"/>
  <c r="F1602"/>
  <c r="C1602"/>
  <c r="K1601"/>
  <c r="J1601"/>
  <c r="G1601"/>
  <c r="F1601"/>
  <c r="C1601"/>
  <c r="K1600"/>
  <c r="J1600"/>
  <c r="G1600"/>
  <c r="F1600"/>
  <c r="C1600"/>
  <c r="K1599"/>
  <c r="J1599"/>
  <c r="G1599"/>
  <c r="F1599"/>
  <c r="C1599"/>
  <c r="K1598"/>
  <c r="J1598"/>
  <c r="G1598"/>
  <c r="F1598"/>
  <c r="C1598"/>
  <c r="K1597"/>
  <c r="J1597"/>
  <c r="G1597"/>
  <c r="F1597"/>
  <c r="C1597"/>
  <c r="K1596"/>
  <c r="J1596"/>
  <c r="G1596"/>
  <c r="F1596"/>
  <c r="C1596"/>
  <c r="K1595"/>
  <c r="J1595"/>
  <c r="G1595"/>
  <c r="F1595"/>
  <c r="C1595"/>
  <c r="K1594"/>
  <c r="J1594"/>
  <c r="G1594"/>
  <c r="F1594"/>
  <c r="C1594"/>
  <c r="K1593"/>
  <c r="J1593"/>
  <c r="G1593"/>
  <c r="F1593"/>
  <c r="C1593"/>
  <c r="K1592"/>
  <c r="J1592"/>
  <c r="G1592"/>
  <c r="F1592"/>
  <c r="C1592"/>
  <c r="K1591"/>
  <c r="J1591"/>
  <c r="G1591"/>
  <c r="F1591"/>
  <c r="C1591"/>
  <c r="K1590"/>
  <c r="J1590"/>
  <c r="G1590"/>
  <c r="F1590"/>
  <c r="C1590"/>
  <c r="K1589"/>
  <c r="J1589"/>
  <c r="G1589"/>
  <c r="F1589"/>
  <c r="C1589"/>
  <c r="K1588"/>
  <c r="J1588"/>
  <c r="G1588"/>
  <c r="F1588"/>
  <c r="C1588"/>
  <c r="K1587"/>
  <c r="J1587"/>
  <c r="G1587"/>
  <c r="F1587"/>
  <c r="C1587"/>
  <c r="K1586"/>
  <c r="J1586"/>
  <c r="G1586"/>
  <c r="F1586"/>
  <c r="C1586"/>
  <c r="K1585"/>
  <c r="J1585"/>
  <c r="G1585"/>
  <c r="F1585"/>
  <c r="C1585"/>
  <c r="K1584"/>
  <c r="J1584"/>
  <c r="G1584"/>
  <c r="F1584"/>
  <c r="C1584"/>
  <c r="K1583"/>
  <c r="J1583"/>
  <c r="G1583"/>
  <c r="F1583"/>
  <c r="C1583"/>
  <c r="K1582"/>
  <c r="J1582"/>
  <c r="G1582"/>
  <c r="F1582"/>
  <c r="C1582"/>
  <c r="K1581"/>
  <c r="J1581"/>
  <c r="G1581"/>
  <c r="F1581"/>
  <c r="C1581"/>
  <c r="K1580"/>
  <c r="J1580"/>
  <c r="G1580"/>
  <c r="F1580"/>
  <c r="C1580"/>
  <c r="K1579"/>
  <c r="J1579"/>
  <c r="G1579"/>
  <c r="F1579"/>
  <c r="C1579"/>
  <c r="K1578"/>
  <c r="J1578"/>
  <c r="G1578"/>
  <c r="F1578"/>
  <c r="C1578"/>
  <c r="K1577"/>
  <c r="J1577"/>
  <c r="G1577"/>
  <c r="F1577"/>
  <c r="C1577"/>
  <c r="K1576"/>
  <c r="J1576"/>
  <c r="G1576"/>
  <c r="F1576"/>
  <c r="C1576"/>
  <c r="K1575"/>
  <c r="J1575"/>
  <c r="G1575"/>
  <c r="F1575"/>
  <c r="C1575"/>
  <c r="K1574"/>
  <c r="J1574"/>
  <c r="G1574"/>
  <c r="F1574"/>
  <c r="C1574"/>
  <c r="K1573"/>
  <c r="J1573"/>
  <c r="G1573"/>
  <c r="F1573"/>
  <c r="C1573"/>
  <c r="K1572"/>
  <c r="J1572"/>
  <c r="G1572"/>
  <c r="F1572"/>
  <c r="C1572"/>
  <c r="K1571"/>
  <c r="J1571"/>
  <c r="G1571"/>
  <c r="F1571"/>
  <c r="C1571"/>
  <c r="K1570"/>
  <c r="J1570"/>
  <c r="G1570"/>
  <c r="F1570"/>
  <c r="C1570"/>
  <c r="K1569"/>
  <c r="J1569"/>
  <c r="G1569"/>
  <c r="F1569"/>
  <c r="C1569"/>
  <c r="K1568"/>
  <c r="J1568"/>
  <c r="G1568"/>
  <c r="F1568"/>
  <c r="C1568"/>
  <c r="K1567"/>
  <c r="J1567"/>
  <c r="G1567"/>
  <c r="F1567"/>
  <c r="C1567"/>
  <c r="K1566"/>
  <c r="J1566"/>
  <c r="G1566"/>
  <c r="F1566"/>
  <c r="C1566"/>
  <c r="K1565"/>
  <c r="J1565"/>
  <c r="G1565"/>
  <c r="F1565"/>
  <c r="C1565"/>
  <c r="K1564"/>
  <c r="J1564"/>
  <c r="G1564"/>
  <c r="F1564"/>
  <c r="C1564"/>
  <c r="K1563"/>
  <c r="J1563"/>
  <c r="G1563"/>
  <c r="F1563"/>
  <c r="C1563"/>
  <c r="K1562"/>
  <c r="J1562"/>
  <c r="G1562"/>
  <c r="F1562"/>
  <c r="C1562"/>
  <c r="K1561"/>
  <c r="J1561"/>
  <c r="G1561"/>
  <c r="F1561"/>
  <c r="C1561"/>
  <c r="K1560"/>
  <c r="J1560"/>
  <c r="G1560"/>
  <c r="F1560"/>
  <c r="C1560"/>
  <c r="K1559"/>
  <c r="J1559"/>
  <c r="G1559"/>
  <c r="F1559"/>
  <c r="C1559"/>
  <c r="K1558"/>
  <c r="J1558"/>
  <c r="G1558"/>
  <c r="F1558"/>
  <c r="C1558"/>
  <c r="K1557"/>
  <c r="J1557"/>
  <c r="G1557"/>
  <c r="F1557"/>
  <c r="C1557"/>
  <c r="K1556"/>
  <c r="J1556"/>
  <c r="G1556"/>
  <c r="F1556"/>
  <c r="C1556"/>
  <c r="K1555"/>
  <c r="J1555"/>
  <c r="G1555"/>
  <c r="F1555"/>
  <c r="C1555"/>
  <c r="K1554"/>
  <c r="J1554"/>
  <c r="G1554"/>
  <c r="F1554"/>
  <c r="C1554"/>
  <c r="K1553"/>
  <c r="J1553"/>
  <c r="G1553"/>
  <c r="F1553"/>
  <c r="C1553"/>
  <c r="K1552"/>
  <c r="J1552"/>
  <c r="G1552"/>
  <c r="F1552"/>
  <c r="C1552"/>
  <c r="K1551"/>
  <c r="J1551"/>
  <c r="G1551"/>
  <c r="F1551"/>
  <c r="C1551"/>
  <c r="K1550"/>
  <c r="J1550"/>
  <c r="G1550"/>
  <c r="F1550"/>
  <c r="C1550"/>
  <c r="K1549"/>
  <c r="J1549"/>
  <c r="G1549"/>
  <c r="F1549"/>
  <c r="C1549"/>
  <c r="K1548"/>
  <c r="J1548"/>
  <c r="G1548"/>
  <c r="F1548"/>
  <c r="C1548"/>
  <c r="K1547"/>
  <c r="J1547"/>
  <c r="G1547"/>
  <c r="F1547"/>
  <c r="C1547"/>
  <c r="K1546"/>
  <c r="J1546"/>
  <c r="G1546"/>
  <c r="F1546"/>
  <c r="C1546"/>
  <c r="K1545"/>
  <c r="J1545"/>
  <c r="G1545"/>
  <c r="F1545"/>
  <c r="C1545"/>
  <c r="K1544"/>
  <c r="J1544"/>
  <c r="G1544"/>
  <c r="F1544"/>
  <c r="C1544"/>
  <c r="K1543"/>
  <c r="J1543"/>
  <c r="G1543"/>
  <c r="F1543"/>
  <c r="C1543"/>
  <c r="K1542"/>
  <c r="J1542"/>
  <c r="G1542"/>
  <c r="F1542"/>
  <c r="C1542"/>
  <c r="K1541"/>
  <c r="J1541"/>
  <c r="G1541"/>
  <c r="F1541"/>
  <c r="C1541"/>
  <c r="K1540"/>
  <c r="J1540"/>
  <c r="G1540"/>
  <c r="F1540"/>
  <c r="C1540"/>
  <c r="K1539"/>
  <c r="J1539"/>
  <c r="G1539"/>
  <c r="F1539"/>
  <c r="C1539"/>
  <c r="K1538"/>
  <c r="J1538"/>
  <c r="G1538"/>
  <c r="F1538"/>
  <c r="C1538"/>
  <c r="K1537"/>
  <c r="J1537"/>
  <c r="G1537"/>
  <c r="F1537"/>
  <c r="C1537"/>
  <c r="K1536"/>
  <c r="J1536"/>
  <c r="G1536"/>
  <c r="F1536"/>
  <c r="C1536"/>
  <c r="K1535"/>
  <c r="J1535"/>
  <c r="G1535"/>
  <c r="F1535"/>
  <c r="C1535"/>
  <c r="K1534"/>
  <c r="J1534"/>
  <c r="G1534"/>
  <c r="F1534"/>
  <c r="C1534"/>
  <c r="K1533"/>
  <c r="J1533"/>
  <c r="G1533"/>
  <c r="F1533"/>
  <c r="C1533"/>
  <c r="K1532"/>
  <c r="J1532"/>
  <c r="G1532"/>
  <c r="F1532"/>
  <c r="C1532"/>
  <c r="K1531"/>
  <c r="J1531"/>
  <c r="G1531"/>
  <c r="F1531"/>
  <c r="C1531"/>
  <c r="K1530"/>
  <c r="J1530"/>
  <c r="G1530"/>
  <c r="F1530"/>
  <c r="C1530"/>
  <c r="K1529"/>
  <c r="J1529"/>
  <c r="G1529"/>
  <c r="F1529"/>
  <c r="C1529"/>
  <c r="K1528"/>
  <c r="J1528"/>
  <c r="G1528"/>
  <c r="F1528"/>
  <c r="C1528"/>
  <c r="K1527"/>
  <c r="J1527"/>
  <c r="G1527"/>
  <c r="F1527"/>
  <c r="C1527"/>
  <c r="K1526"/>
  <c r="J1526"/>
  <c r="G1526"/>
  <c r="F1526"/>
  <c r="C1526"/>
  <c r="K1525"/>
  <c r="J1525"/>
  <c r="G1525"/>
  <c r="F1525"/>
  <c r="C1525"/>
  <c r="K1524"/>
  <c r="J1524"/>
  <c r="G1524"/>
  <c r="F1524"/>
  <c r="C1524"/>
  <c r="K1523"/>
  <c r="J1523"/>
  <c r="G1523"/>
  <c r="F1523"/>
  <c r="C1523"/>
  <c r="K1522"/>
  <c r="J1522"/>
  <c r="G1522"/>
  <c r="F1522"/>
  <c r="C1522"/>
  <c r="K1521"/>
  <c r="J1521"/>
  <c r="G1521"/>
  <c r="F1521"/>
  <c r="C1521"/>
  <c r="K1520"/>
  <c r="J1520"/>
  <c r="G1520"/>
  <c r="F1520"/>
  <c r="C1520"/>
  <c r="K1519"/>
  <c r="J1519"/>
  <c r="G1519"/>
  <c r="F1519"/>
  <c r="C1519"/>
  <c r="K1518"/>
  <c r="J1518"/>
  <c r="G1518"/>
  <c r="F1518"/>
  <c r="C1518"/>
  <c r="K1517"/>
  <c r="J1517"/>
  <c r="G1517"/>
  <c r="F1517"/>
  <c r="C1517"/>
  <c r="K1516"/>
  <c r="J1516"/>
  <c r="G1516"/>
  <c r="F1516"/>
  <c r="C1516"/>
  <c r="K1515"/>
  <c r="J1515"/>
  <c r="G1515"/>
  <c r="F1515"/>
  <c r="C1515"/>
  <c r="K1514"/>
  <c r="J1514"/>
  <c r="G1514"/>
  <c r="F1514"/>
  <c r="C1514"/>
  <c r="K1513"/>
  <c r="J1513"/>
  <c r="G1513"/>
  <c r="F1513"/>
  <c r="C1513"/>
  <c r="K1512"/>
  <c r="J1512"/>
  <c r="G1512"/>
  <c r="F1512"/>
  <c r="C1512"/>
  <c r="K1511"/>
  <c r="J1511"/>
  <c r="G1511"/>
  <c r="F1511"/>
  <c r="C1511"/>
  <c r="K1510"/>
  <c r="J1510"/>
  <c r="G1510"/>
  <c r="F1510"/>
  <c r="C1510"/>
  <c r="K1509"/>
  <c r="J1509"/>
  <c r="G1509"/>
  <c r="F1509"/>
  <c r="C1509"/>
  <c r="K1508"/>
  <c r="J1508"/>
  <c r="G1508"/>
  <c r="F1508"/>
  <c r="C1508"/>
  <c r="K1507"/>
  <c r="J1507"/>
  <c r="G1507"/>
  <c r="F1507"/>
  <c r="C1507"/>
  <c r="K1506"/>
  <c r="J1506"/>
  <c r="G1506"/>
  <c r="F1506"/>
  <c r="C1506"/>
  <c r="K1505"/>
  <c r="J1505"/>
  <c r="G1505"/>
  <c r="F1505"/>
  <c r="C1505"/>
  <c r="K1504"/>
  <c r="J1504"/>
  <c r="G1504"/>
  <c r="F1504"/>
  <c r="C1504"/>
  <c r="K1503"/>
  <c r="J1503"/>
  <c r="G1503"/>
  <c r="F1503"/>
  <c r="C1503"/>
  <c r="K1502"/>
  <c r="J1502"/>
  <c r="G1502"/>
  <c r="F1502"/>
  <c r="C1502"/>
  <c r="K1501"/>
  <c r="J1501"/>
  <c r="G1501"/>
  <c r="F1501"/>
  <c r="C1501"/>
  <c r="K1500"/>
  <c r="J1500"/>
  <c r="G1500"/>
  <c r="F1500"/>
  <c r="C1500"/>
  <c r="K1499"/>
  <c r="J1499"/>
  <c r="G1499"/>
  <c r="F1499"/>
  <c r="C1499"/>
  <c r="K1498"/>
  <c r="J1498"/>
  <c r="G1498"/>
  <c r="F1498"/>
  <c r="C1498"/>
  <c r="K1497"/>
  <c r="J1497"/>
  <c r="G1497"/>
  <c r="F1497"/>
  <c r="C1497"/>
  <c r="K1496"/>
  <c r="J1496"/>
  <c r="G1496"/>
  <c r="F1496"/>
  <c r="C1496"/>
  <c r="K1495"/>
  <c r="J1495"/>
  <c r="G1495"/>
  <c r="F1495"/>
  <c r="C1495"/>
  <c r="K1494"/>
  <c r="J1494"/>
  <c r="G1494"/>
  <c r="F1494"/>
  <c r="C1494"/>
  <c r="K1493"/>
  <c r="J1493"/>
  <c r="G1493"/>
  <c r="F1493"/>
  <c r="C1493"/>
  <c r="K1492"/>
  <c r="J1492"/>
  <c r="G1492"/>
  <c r="F1492"/>
  <c r="C1492"/>
  <c r="K1491"/>
  <c r="J1491"/>
  <c r="G1491"/>
  <c r="F1491"/>
  <c r="C1491"/>
  <c r="K1490"/>
  <c r="J1490"/>
  <c r="G1490"/>
  <c r="F1490"/>
  <c r="C1490"/>
  <c r="K1489"/>
  <c r="J1489"/>
  <c r="G1489"/>
  <c r="F1489"/>
  <c r="C1489"/>
  <c r="K1488"/>
  <c r="J1488"/>
  <c r="G1488"/>
  <c r="F1488"/>
  <c r="C1488"/>
  <c r="K1487"/>
  <c r="J1487"/>
  <c r="G1487"/>
  <c r="F1487"/>
  <c r="C1487"/>
  <c r="K1486"/>
  <c r="J1486"/>
  <c r="G1486"/>
  <c r="F1486"/>
  <c r="C1486"/>
  <c r="K1485"/>
  <c r="J1485"/>
  <c r="G1485"/>
  <c r="F1485"/>
  <c r="C1485"/>
  <c r="K1484"/>
  <c r="J1484"/>
  <c r="G1484"/>
  <c r="F1484"/>
  <c r="C1484"/>
  <c r="K1483"/>
  <c r="J1483"/>
  <c r="G1483"/>
  <c r="F1483"/>
  <c r="C1483"/>
  <c r="K1482"/>
  <c r="J1482"/>
  <c r="G1482"/>
  <c r="F1482"/>
  <c r="C1482"/>
  <c r="K1481"/>
  <c r="J1481"/>
  <c r="G1481"/>
  <c r="F1481"/>
  <c r="C1481"/>
  <c r="K1480"/>
  <c r="J1480"/>
  <c r="G1480"/>
  <c r="F1480"/>
  <c r="C1480"/>
  <c r="K1479"/>
  <c r="J1479"/>
  <c r="G1479"/>
  <c r="F1479"/>
  <c r="C1479"/>
  <c r="K1478"/>
  <c r="J1478"/>
  <c r="G1478"/>
  <c r="F1478"/>
  <c r="C1478"/>
  <c r="K1477"/>
  <c r="J1477"/>
  <c r="G1477"/>
  <c r="F1477"/>
  <c r="C1477"/>
  <c r="K1476"/>
  <c r="J1476"/>
  <c r="G1476"/>
  <c r="F1476"/>
  <c r="C1476"/>
  <c r="K1475"/>
  <c r="J1475"/>
  <c r="G1475"/>
  <c r="F1475"/>
  <c r="C1475"/>
  <c r="K1474"/>
  <c r="J1474"/>
  <c r="G1474"/>
  <c r="F1474"/>
  <c r="C1474"/>
  <c r="K1473"/>
  <c r="J1473"/>
  <c r="G1473"/>
  <c r="F1473"/>
  <c r="C1473"/>
  <c r="K1472"/>
  <c r="J1472"/>
  <c r="G1472"/>
  <c r="F1472"/>
  <c r="C1472"/>
  <c r="K1471"/>
  <c r="J1471"/>
  <c r="G1471"/>
  <c r="F1471"/>
  <c r="C1471"/>
  <c r="K1470"/>
  <c r="J1470"/>
  <c r="G1470"/>
  <c r="F1470"/>
  <c r="C1470"/>
  <c r="K1469"/>
  <c r="J1469"/>
  <c r="G1469"/>
  <c r="F1469"/>
  <c r="C1469"/>
  <c r="K1468"/>
  <c r="J1468"/>
  <c r="G1468"/>
  <c r="F1468"/>
  <c r="C1468"/>
  <c r="K1467"/>
  <c r="J1467"/>
  <c r="G1467"/>
  <c r="F1467"/>
  <c r="C1467"/>
  <c r="K1466"/>
  <c r="J1466"/>
  <c r="G1466"/>
  <c r="F1466"/>
  <c r="C1466"/>
  <c r="K1465"/>
  <c r="J1465"/>
  <c r="G1465"/>
  <c r="F1465"/>
  <c r="C1465"/>
  <c r="K1464"/>
  <c r="J1464"/>
  <c r="G1464"/>
  <c r="F1464"/>
  <c r="C1464"/>
  <c r="K1463"/>
  <c r="J1463"/>
  <c r="G1463"/>
  <c r="F1463"/>
  <c r="C1463"/>
  <c r="K1462"/>
  <c r="J1462"/>
  <c r="G1462"/>
  <c r="F1462"/>
  <c r="C1462"/>
  <c r="K1461"/>
  <c r="J1461"/>
  <c r="G1461"/>
  <c r="F1461"/>
  <c r="C1461"/>
  <c r="K1460"/>
  <c r="J1460"/>
  <c r="G1460"/>
  <c r="F1460"/>
  <c r="C1460"/>
  <c r="K1459"/>
  <c r="J1459"/>
  <c r="G1459"/>
  <c r="F1459"/>
  <c r="C1459"/>
  <c r="K1458"/>
  <c r="J1458"/>
  <c r="G1458"/>
  <c r="F1458"/>
  <c r="C1458"/>
  <c r="K1457"/>
  <c r="J1457"/>
  <c r="G1457"/>
  <c r="F1457"/>
  <c r="C1457"/>
  <c r="K1456"/>
  <c r="J1456"/>
  <c r="G1456"/>
  <c r="F1456"/>
  <c r="C1456"/>
  <c r="K1455"/>
  <c r="J1455"/>
  <c r="G1455"/>
  <c r="F1455"/>
  <c r="C1455"/>
  <c r="K1454"/>
  <c r="J1454"/>
  <c r="G1454"/>
  <c r="F1454"/>
  <c r="C1454"/>
  <c r="K1453"/>
  <c r="J1453"/>
  <c r="G1453"/>
  <c r="F1453"/>
  <c r="C1453"/>
  <c r="K1452"/>
  <c r="J1452"/>
  <c r="G1452"/>
  <c r="F1452"/>
  <c r="C1452"/>
  <c r="K1451"/>
  <c r="J1451"/>
  <c r="G1451"/>
  <c r="F1451"/>
  <c r="C1451"/>
  <c r="K1450"/>
  <c r="G1450"/>
  <c r="F1450"/>
  <c r="C1450"/>
  <c r="K1449"/>
  <c r="J1449"/>
  <c r="G1449"/>
  <c r="F1449"/>
  <c r="C1449"/>
  <c r="K1448"/>
  <c r="J1448"/>
  <c r="G1448"/>
  <c r="F1448"/>
  <c r="C1448"/>
  <c r="K1447"/>
  <c r="J1447"/>
  <c r="G1447"/>
  <c r="F1447"/>
  <c r="C1447"/>
  <c r="K1446"/>
  <c r="G1446"/>
  <c r="F1446"/>
  <c r="C1446"/>
  <c r="K1445"/>
  <c r="J1445"/>
  <c r="G1445"/>
  <c r="F1445"/>
  <c r="C1445"/>
  <c r="K1444"/>
  <c r="J1444"/>
  <c r="G1444"/>
  <c r="F1444"/>
  <c r="C1444"/>
  <c r="K1443"/>
  <c r="J1443"/>
  <c r="G1443"/>
  <c r="F1443"/>
  <c r="C1443"/>
  <c r="K1442"/>
  <c r="J1442"/>
  <c r="G1442"/>
  <c r="F1442"/>
  <c r="C1442"/>
  <c r="K1441"/>
  <c r="J1441"/>
  <c r="G1441"/>
  <c r="F1441"/>
  <c r="C1441"/>
  <c r="K1440"/>
  <c r="J1440"/>
  <c r="G1440"/>
  <c r="F1440"/>
  <c r="C1440"/>
  <c r="K1439"/>
  <c r="J1439"/>
  <c r="G1439"/>
  <c r="F1439"/>
  <c r="C1439"/>
  <c r="K1438"/>
  <c r="J1438"/>
  <c r="G1438"/>
  <c r="F1438"/>
  <c r="C1438"/>
  <c r="K1437"/>
  <c r="J1437"/>
  <c r="G1437"/>
  <c r="F1437"/>
  <c r="C1437"/>
  <c r="K1436"/>
  <c r="J1436"/>
  <c r="G1436"/>
  <c r="F1436"/>
  <c r="C1436"/>
  <c r="K1435"/>
  <c r="J1435"/>
  <c r="G1435"/>
  <c r="F1435"/>
  <c r="C1435"/>
  <c r="K1434"/>
  <c r="J1434"/>
  <c r="G1434"/>
  <c r="F1434"/>
  <c r="C1434"/>
  <c r="K1433"/>
  <c r="J1433"/>
  <c r="G1433"/>
  <c r="F1433"/>
  <c r="C1433"/>
  <c r="K1432"/>
  <c r="J1432"/>
  <c r="G1432"/>
  <c r="F1432"/>
  <c r="C1432"/>
  <c r="K1431"/>
  <c r="J1431"/>
  <c r="G1431"/>
  <c r="F1431"/>
  <c r="C1431"/>
  <c r="K1430"/>
  <c r="J1430"/>
  <c r="G1430"/>
  <c r="F1430"/>
  <c r="C1430"/>
  <c r="K1429"/>
  <c r="J1429"/>
  <c r="G1429"/>
  <c r="F1429"/>
  <c r="C1429"/>
  <c r="K1428"/>
  <c r="J1428"/>
  <c r="G1428"/>
  <c r="F1428"/>
  <c r="C1428"/>
  <c r="K1427"/>
  <c r="J1427"/>
  <c r="G1427"/>
  <c r="F1427"/>
  <c r="C1427"/>
  <c r="K1426"/>
  <c r="J1426"/>
  <c r="G1426"/>
  <c r="F1426"/>
  <c r="C1426"/>
  <c r="K1425"/>
  <c r="J1425"/>
  <c r="G1425"/>
  <c r="F1425"/>
  <c r="C1425"/>
  <c r="K1424"/>
  <c r="J1424"/>
  <c r="G1424"/>
  <c r="F1424"/>
  <c r="C1424"/>
  <c r="K1423"/>
  <c r="J1423"/>
  <c r="G1423"/>
  <c r="F1423"/>
  <c r="C1423"/>
  <c r="K1422"/>
  <c r="J1422"/>
  <c r="G1422"/>
  <c r="F1422"/>
  <c r="C1422"/>
  <c r="K1421"/>
  <c r="J1421"/>
  <c r="G1421"/>
  <c r="F1421"/>
  <c r="C1421"/>
  <c r="K1420"/>
  <c r="J1420"/>
  <c r="G1420"/>
  <c r="F1420"/>
  <c r="C1420"/>
  <c r="K1419"/>
  <c r="J1419"/>
  <c r="G1419"/>
  <c r="F1419"/>
  <c r="C1419"/>
  <c r="K1418"/>
  <c r="J1418"/>
  <c r="G1418"/>
  <c r="F1418"/>
  <c r="C1418"/>
  <c r="K1417"/>
  <c r="J1417"/>
  <c r="G1417"/>
  <c r="F1417"/>
  <c r="C1417"/>
  <c r="K1416"/>
  <c r="J1416"/>
  <c r="G1416"/>
  <c r="F1416"/>
  <c r="C1416"/>
  <c r="K1415"/>
  <c r="J1415"/>
  <c r="G1415"/>
  <c r="F1415"/>
  <c r="C1415"/>
  <c r="K1414"/>
  <c r="J1414"/>
  <c r="G1414"/>
  <c r="F1414"/>
  <c r="C1414"/>
  <c r="K1413"/>
  <c r="J1413"/>
  <c r="G1413"/>
  <c r="F1413"/>
  <c r="C1413"/>
  <c r="K1412"/>
  <c r="J1412"/>
  <c r="G1412"/>
  <c r="F1412"/>
  <c r="C1412"/>
  <c r="K1411"/>
  <c r="J1411"/>
  <c r="G1411"/>
  <c r="F1411"/>
  <c r="C1411"/>
  <c r="K1410"/>
  <c r="J1410"/>
  <c r="G1410"/>
  <c r="F1410"/>
  <c r="C1410"/>
  <c r="K1409"/>
  <c r="J1409"/>
  <c r="G1409"/>
  <c r="F1409"/>
  <c r="C1409"/>
  <c r="K1408"/>
  <c r="J1408"/>
  <c r="G1408"/>
  <c r="F1408"/>
  <c r="C1408"/>
  <c r="K1407"/>
  <c r="J1407"/>
  <c r="G1407"/>
  <c r="F1407"/>
  <c r="C1407"/>
  <c r="K1406"/>
  <c r="J1406"/>
  <c r="G1406"/>
  <c r="F1406"/>
  <c r="C1406"/>
  <c r="K1405"/>
  <c r="J1405"/>
  <c r="G1405"/>
  <c r="F1405"/>
  <c r="C1405"/>
  <c r="K1404"/>
  <c r="J1404"/>
  <c r="G1404"/>
  <c r="F1404"/>
  <c r="C1404"/>
  <c r="K1403"/>
  <c r="J1403"/>
  <c r="G1403"/>
  <c r="F1403"/>
  <c r="C1403"/>
  <c r="K1402"/>
  <c r="J1402"/>
  <c r="G1402"/>
  <c r="F1402"/>
  <c r="C1402"/>
  <c r="K1401"/>
  <c r="J1401"/>
  <c r="G1401"/>
  <c r="F1401"/>
  <c r="C1401"/>
  <c r="K1400"/>
  <c r="J1400"/>
  <c r="G1400"/>
  <c r="F1400"/>
  <c r="C1400"/>
  <c r="K1399"/>
  <c r="J1399"/>
  <c r="G1399"/>
  <c r="F1399"/>
  <c r="C1399"/>
  <c r="K1398"/>
  <c r="J1398"/>
  <c r="G1398"/>
  <c r="F1398"/>
  <c r="C1398"/>
  <c r="K1397"/>
  <c r="J1397"/>
  <c r="G1397"/>
  <c r="F1397"/>
  <c r="C1397"/>
  <c r="K1396"/>
  <c r="J1396"/>
  <c r="G1396"/>
  <c r="F1396"/>
  <c r="C1396"/>
  <c r="K1395"/>
  <c r="J1395"/>
  <c r="G1395"/>
  <c r="F1395"/>
  <c r="C1395"/>
  <c r="K1394"/>
  <c r="J1394"/>
  <c r="G1394"/>
  <c r="F1394"/>
  <c r="C1394"/>
  <c r="K1393"/>
  <c r="J1393"/>
  <c r="G1393"/>
  <c r="F1393"/>
  <c r="C1393"/>
  <c r="K1392"/>
  <c r="J1392"/>
  <c r="G1392"/>
  <c r="F1392"/>
  <c r="C1392"/>
  <c r="K1391"/>
  <c r="J1391"/>
  <c r="G1391"/>
  <c r="F1391"/>
  <c r="C1391"/>
  <c r="K1390"/>
  <c r="J1390"/>
  <c r="G1390"/>
  <c r="F1390"/>
  <c r="C1390"/>
  <c r="K1389"/>
  <c r="J1389"/>
  <c r="G1389"/>
  <c r="F1389"/>
  <c r="C1389"/>
  <c r="K1388"/>
  <c r="J1388"/>
  <c r="G1388"/>
  <c r="F1388"/>
  <c r="C1388"/>
  <c r="K1387"/>
  <c r="J1387"/>
  <c r="G1387"/>
  <c r="F1387"/>
  <c r="C1387"/>
  <c r="K1386"/>
  <c r="J1386"/>
  <c r="G1386"/>
  <c r="F1386"/>
  <c r="C1386"/>
  <c r="K1385"/>
  <c r="J1385"/>
  <c r="G1385"/>
  <c r="F1385"/>
  <c r="C1385"/>
  <c r="K1384"/>
  <c r="J1384"/>
  <c r="G1384"/>
  <c r="F1384"/>
  <c r="C1384"/>
  <c r="K1383"/>
  <c r="G1383"/>
  <c r="F1383"/>
  <c r="C1383"/>
  <c r="K1382"/>
  <c r="J1382"/>
  <c r="G1382"/>
  <c r="F1382"/>
  <c r="C1382"/>
  <c r="K1381"/>
  <c r="J1381"/>
  <c r="G1381"/>
  <c r="F1381"/>
  <c r="C1381"/>
  <c r="K1380"/>
  <c r="J1380"/>
  <c r="G1380"/>
  <c r="F1380"/>
  <c r="C1380"/>
  <c r="K1379"/>
  <c r="J1379"/>
  <c r="G1379"/>
  <c r="F1379"/>
  <c r="C1379"/>
  <c r="K1378"/>
  <c r="J1378"/>
  <c r="G1378"/>
  <c r="F1378"/>
  <c r="C1378"/>
  <c r="K1377"/>
  <c r="J1377"/>
  <c r="G1377"/>
  <c r="F1377"/>
  <c r="C1377"/>
  <c r="K1376"/>
  <c r="J1376"/>
  <c r="G1376"/>
  <c r="F1376"/>
  <c r="C1376"/>
  <c r="K1375"/>
  <c r="J1375"/>
  <c r="G1375"/>
  <c r="F1375"/>
  <c r="C1375"/>
  <c r="K1374"/>
  <c r="J1374"/>
  <c r="G1374"/>
  <c r="F1374"/>
  <c r="C1374"/>
  <c r="K1373"/>
  <c r="J1373"/>
  <c r="G1373"/>
  <c r="F1373"/>
  <c r="C1373"/>
  <c r="K1372"/>
  <c r="J1372"/>
  <c r="G1372"/>
  <c r="F1372"/>
  <c r="C1372"/>
  <c r="K1371"/>
  <c r="J1371"/>
  <c r="G1371"/>
  <c r="F1371"/>
  <c r="C1371"/>
  <c r="K1370"/>
  <c r="J1370"/>
  <c r="G1370"/>
  <c r="F1370"/>
  <c r="C1370"/>
  <c r="K1369"/>
  <c r="J1369"/>
  <c r="G1369"/>
  <c r="F1369"/>
  <c r="C1369"/>
  <c r="K1368"/>
  <c r="J1368"/>
  <c r="G1368"/>
  <c r="F1368"/>
  <c r="C1368"/>
  <c r="K1367"/>
  <c r="J1367"/>
  <c r="G1367"/>
  <c r="F1367"/>
  <c r="C1367"/>
  <c r="K1366"/>
  <c r="J1366"/>
  <c r="G1366"/>
  <c r="F1366"/>
  <c r="C1366"/>
  <c r="K1365"/>
  <c r="J1365"/>
  <c r="G1365"/>
  <c r="F1365"/>
  <c r="C1365"/>
  <c r="K1364"/>
  <c r="J1364"/>
  <c r="G1364"/>
  <c r="F1364"/>
  <c r="C1364"/>
  <c r="K1363"/>
  <c r="J1363"/>
  <c r="G1363"/>
  <c r="F1363"/>
  <c r="C1363"/>
  <c r="K1362"/>
  <c r="J1362"/>
  <c r="G1362"/>
  <c r="F1362"/>
  <c r="C1362"/>
  <c r="K1361"/>
  <c r="J1361"/>
  <c r="G1361"/>
  <c r="F1361"/>
  <c r="C1361"/>
  <c r="K1360"/>
  <c r="J1360"/>
  <c r="G1360"/>
  <c r="F1360"/>
  <c r="C1360"/>
  <c r="K1359"/>
  <c r="J1359"/>
  <c r="G1359"/>
  <c r="F1359"/>
  <c r="C1359"/>
  <c r="K1358"/>
  <c r="J1358"/>
  <c r="G1358"/>
  <c r="F1358"/>
  <c r="C1358"/>
  <c r="K1357"/>
  <c r="J1357"/>
  <c r="G1357"/>
  <c r="F1357"/>
  <c r="C1357"/>
  <c r="K1356"/>
  <c r="J1356"/>
  <c r="G1356"/>
  <c r="F1356"/>
  <c r="C1356"/>
  <c r="K1355"/>
  <c r="J1355"/>
  <c r="G1355"/>
  <c r="F1355"/>
  <c r="C1355"/>
  <c r="K1354"/>
  <c r="J1354"/>
  <c r="G1354"/>
  <c r="F1354"/>
  <c r="C1354"/>
  <c r="K1353"/>
  <c r="J1353"/>
  <c r="G1353"/>
  <c r="F1353"/>
  <c r="C1353"/>
  <c r="K1352"/>
  <c r="J1352"/>
  <c r="G1352"/>
  <c r="F1352"/>
  <c r="C1352"/>
  <c r="K1351"/>
  <c r="J1351"/>
  <c r="G1351"/>
  <c r="F1351"/>
  <c r="C1351"/>
  <c r="K1350"/>
  <c r="J1350"/>
  <c r="G1350"/>
  <c r="F1350"/>
  <c r="C1350"/>
  <c r="K1349"/>
  <c r="J1349"/>
  <c r="G1349"/>
  <c r="F1349"/>
  <c r="C1349"/>
  <c r="K1348"/>
  <c r="J1348"/>
  <c r="G1348"/>
  <c r="F1348"/>
  <c r="C1348"/>
  <c r="K1347"/>
  <c r="J1347"/>
  <c r="G1347"/>
  <c r="F1347"/>
  <c r="C1347"/>
  <c r="K1346"/>
  <c r="J1346"/>
  <c r="G1346"/>
  <c r="F1346"/>
  <c r="C1346"/>
  <c r="K1345"/>
  <c r="J1345"/>
  <c r="G1345"/>
  <c r="F1345"/>
  <c r="C1345"/>
  <c r="K1344"/>
  <c r="J1344"/>
  <c r="G1344"/>
  <c r="F1344"/>
  <c r="C1344"/>
  <c r="K1343"/>
  <c r="J1343"/>
  <c r="G1343"/>
  <c r="F1343"/>
  <c r="C1343"/>
  <c r="K1342"/>
  <c r="J1342"/>
  <c r="G1342"/>
  <c r="F1342"/>
  <c r="C1342"/>
  <c r="K1341"/>
  <c r="J1341"/>
  <c r="G1341"/>
  <c r="F1341"/>
  <c r="C1341"/>
  <c r="K1340"/>
  <c r="J1340"/>
  <c r="G1340"/>
  <c r="F1340"/>
  <c r="C1340"/>
  <c r="K1339"/>
  <c r="J1339"/>
  <c r="G1339"/>
  <c r="F1339"/>
  <c r="C1339"/>
  <c r="K1338"/>
  <c r="J1338"/>
  <c r="G1338"/>
  <c r="F1338"/>
  <c r="C1338"/>
  <c r="K1337"/>
  <c r="J1337"/>
  <c r="G1337"/>
  <c r="F1337"/>
  <c r="C1337"/>
  <c r="K1336"/>
  <c r="J1336"/>
  <c r="G1336"/>
  <c r="F1336"/>
  <c r="C1336"/>
  <c r="K1335"/>
  <c r="J1335"/>
  <c r="G1335"/>
  <c r="F1335"/>
  <c r="C1335"/>
  <c r="K1334"/>
  <c r="J1334"/>
  <c r="G1334"/>
  <c r="F1334"/>
  <c r="C1334"/>
  <c r="K1333"/>
  <c r="J1333"/>
  <c r="G1333"/>
  <c r="F1333"/>
  <c r="C1333"/>
  <c r="K1332"/>
  <c r="J1332"/>
  <c r="G1332"/>
  <c r="F1332"/>
  <c r="C1332"/>
  <c r="K1331"/>
  <c r="J1331"/>
  <c r="G1331"/>
  <c r="F1331"/>
  <c r="C1331"/>
  <c r="K1330"/>
  <c r="J1330"/>
  <c r="G1330"/>
  <c r="F1330"/>
  <c r="C1330"/>
  <c r="K1329"/>
  <c r="J1329"/>
  <c r="G1329"/>
  <c r="F1329"/>
  <c r="C1329"/>
  <c r="K1328"/>
  <c r="J1328"/>
  <c r="G1328"/>
  <c r="F1328"/>
  <c r="C1328"/>
  <c r="K1327"/>
  <c r="J1327"/>
  <c r="G1327"/>
  <c r="F1327"/>
  <c r="C1327"/>
  <c r="K1326"/>
  <c r="J1326"/>
  <c r="G1326"/>
  <c r="F1326"/>
  <c r="C1326"/>
  <c r="K1325"/>
  <c r="J1325"/>
  <c r="G1325"/>
  <c r="F1325"/>
  <c r="C1325"/>
  <c r="K1324"/>
  <c r="J1324"/>
  <c r="G1324"/>
  <c r="F1324"/>
  <c r="C1324"/>
  <c r="K1323"/>
  <c r="J1323"/>
  <c r="G1323"/>
  <c r="F1323"/>
  <c r="C1323"/>
  <c r="K1322"/>
  <c r="J1322"/>
  <c r="G1322"/>
  <c r="F1322"/>
  <c r="C1322"/>
  <c r="K1321"/>
  <c r="J1321"/>
  <c r="G1321"/>
  <c r="F1321"/>
  <c r="C1321"/>
  <c r="K1320"/>
  <c r="J1320"/>
  <c r="G1320"/>
  <c r="F1320"/>
  <c r="C1320"/>
  <c r="K1319"/>
  <c r="J1319"/>
  <c r="G1319"/>
  <c r="F1319"/>
  <c r="C1319"/>
  <c r="K1318"/>
  <c r="J1318"/>
  <c r="G1318"/>
  <c r="F1318"/>
  <c r="C1318"/>
  <c r="K1317"/>
  <c r="J1317"/>
  <c r="G1317"/>
  <c r="F1317"/>
  <c r="C1317"/>
  <c r="K1316"/>
  <c r="J1316"/>
  <c r="G1316"/>
  <c r="F1316"/>
  <c r="C1316"/>
  <c r="K1315"/>
  <c r="J1315"/>
  <c r="G1315"/>
  <c r="F1315"/>
  <c r="C1315"/>
  <c r="K1314"/>
  <c r="J1314"/>
  <c r="G1314"/>
  <c r="F1314"/>
  <c r="C1314"/>
  <c r="K1313"/>
  <c r="J1313"/>
  <c r="G1313"/>
  <c r="F1313"/>
  <c r="C1313"/>
  <c r="K1312"/>
  <c r="J1312"/>
  <c r="G1312"/>
  <c r="F1312"/>
  <c r="C1312"/>
  <c r="K1311"/>
  <c r="J1311"/>
  <c r="G1311"/>
  <c r="F1311"/>
  <c r="C1311"/>
  <c r="K1310"/>
  <c r="J1310"/>
  <c r="G1310"/>
  <c r="F1310"/>
  <c r="C1310"/>
  <c r="K1309"/>
  <c r="J1309"/>
  <c r="G1309"/>
  <c r="F1309"/>
  <c r="C1309"/>
  <c r="K1308"/>
  <c r="J1308"/>
  <c r="G1308"/>
  <c r="F1308"/>
  <c r="C1308"/>
  <c r="K1307"/>
  <c r="J1307"/>
  <c r="G1307"/>
  <c r="F1307"/>
  <c r="C1307"/>
  <c r="K1306"/>
  <c r="J1306"/>
  <c r="G1306"/>
  <c r="F1306"/>
  <c r="C1306"/>
  <c r="K1305"/>
  <c r="J1305"/>
  <c r="G1305"/>
  <c r="F1305"/>
  <c r="C1305"/>
  <c r="K1304"/>
  <c r="J1304"/>
  <c r="G1304"/>
  <c r="F1304"/>
  <c r="C1304"/>
  <c r="K1303"/>
  <c r="J1303"/>
  <c r="G1303"/>
  <c r="F1303"/>
  <c r="C1303"/>
  <c r="K1302"/>
  <c r="J1302"/>
  <c r="G1302"/>
  <c r="F1302"/>
  <c r="C1302"/>
  <c r="K1301"/>
  <c r="J1301"/>
  <c r="G1301"/>
  <c r="F1301"/>
  <c r="C1301"/>
  <c r="K1300"/>
  <c r="J1300"/>
  <c r="G1300"/>
  <c r="F1300"/>
  <c r="C1300"/>
  <c r="K1299"/>
  <c r="J1299"/>
  <c r="G1299"/>
  <c r="F1299"/>
  <c r="C1299"/>
  <c r="K1298"/>
  <c r="J1298"/>
  <c r="G1298"/>
  <c r="F1298"/>
  <c r="C1298"/>
  <c r="K1297"/>
  <c r="J1297"/>
  <c r="G1297"/>
  <c r="F1297"/>
  <c r="C1297"/>
  <c r="K1296"/>
  <c r="J1296"/>
  <c r="G1296"/>
  <c r="F1296"/>
  <c r="C1296"/>
  <c r="K1295"/>
  <c r="J1295"/>
  <c r="G1295"/>
  <c r="F1295"/>
  <c r="C1295"/>
  <c r="K1294"/>
  <c r="J1294"/>
  <c r="G1294"/>
  <c r="F1294"/>
  <c r="C1294"/>
  <c r="K1293"/>
  <c r="J1293"/>
  <c r="G1293"/>
  <c r="F1293"/>
  <c r="C1293"/>
  <c r="K1292"/>
  <c r="J1292"/>
  <c r="G1292"/>
  <c r="F1292"/>
  <c r="C1292"/>
  <c r="K1291"/>
  <c r="J1291"/>
  <c r="G1291"/>
  <c r="F1291"/>
  <c r="C1291"/>
  <c r="K1290"/>
  <c r="J1290"/>
  <c r="G1290"/>
  <c r="F1290"/>
  <c r="C1290"/>
  <c r="K1289"/>
  <c r="J1289"/>
  <c r="G1289"/>
  <c r="F1289"/>
  <c r="C1289"/>
  <c r="K1288"/>
  <c r="J1288"/>
  <c r="G1288"/>
  <c r="F1288"/>
  <c r="C1288"/>
  <c r="K1287"/>
  <c r="J1287"/>
  <c r="G1287"/>
  <c r="F1287"/>
  <c r="C1287"/>
  <c r="K1286"/>
  <c r="J1286"/>
  <c r="G1286"/>
  <c r="F1286"/>
  <c r="C1286"/>
  <c r="K1285"/>
  <c r="J1285"/>
  <c r="G1285"/>
  <c r="F1285"/>
  <c r="C1285"/>
  <c r="K1284"/>
  <c r="J1284"/>
  <c r="G1284"/>
  <c r="F1284"/>
  <c r="C1284"/>
  <c r="K1283"/>
  <c r="J1283"/>
  <c r="G1283"/>
  <c r="F1283"/>
  <c r="C1283"/>
  <c r="K1282"/>
  <c r="J1282"/>
  <c r="G1282"/>
  <c r="F1282"/>
  <c r="C1282"/>
  <c r="K1281"/>
  <c r="J1281"/>
  <c r="G1281"/>
  <c r="F1281"/>
  <c r="C1281"/>
  <c r="K1280"/>
  <c r="J1280"/>
  <c r="G1280"/>
  <c r="F1280"/>
  <c r="C1280"/>
  <c r="K1279"/>
  <c r="J1279"/>
  <c r="G1279"/>
  <c r="F1279"/>
  <c r="C1279"/>
  <c r="K1278"/>
  <c r="J1278"/>
  <c r="G1278"/>
  <c r="F1278"/>
  <c r="C1278"/>
  <c r="K1277"/>
  <c r="J1277"/>
  <c r="G1277"/>
  <c r="F1277"/>
  <c r="C1277"/>
  <c r="K1276"/>
  <c r="J1276"/>
  <c r="G1276"/>
  <c r="F1276"/>
  <c r="C1276"/>
  <c r="K1275"/>
  <c r="J1275"/>
  <c r="G1275"/>
  <c r="F1275"/>
  <c r="C1275"/>
  <c r="K1274"/>
  <c r="J1274"/>
  <c r="G1274"/>
  <c r="F1274"/>
  <c r="C1274"/>
  <c r="K1273"/>
  <c r="J1273"/>
  <c r="G1273"/>
  <c r="F1273"/>
  <c r="C1273"/>
  <c r="K1272"/>
  <c r="J1272"/>
  <c r="G1272"/>
  <c r="F1272"/>
  <c r="C1272"/>
  <c r="K1271"/>
  <c r="J1271"/>
  <c r="G1271"/>
  <c r="F1271"/>
  <c r="C1271"/>
  <c r="K1270"/>
  <c r="J1270"/>
  <c r="G1270"/>
  <c r="F1270"/>
  <c r="C1270"/>
  <c r="K1269"/>
  <c r="J1269"/>
  <c r="G1269"/>
  <c r="F1269"/>
  <c r="C1269"/>
  <c r="K1268"/>
  <c r="J1268"/>
  <c r="G1268"/>
  <c r="F1268"/>
  <c r="C1268"/>
  <c r="K1267"/>
  <c r="J1267"/>
  <c r="G1267"/>
  <c r="F1267"/>
  <c r="C1267"/>
  <c r="K1266"/>
  <c r="J1266"/>
  <c r="G1266"/>
  <c r="F1266"/>
  <c r="C1266"/>
  <c r="K1265"/>
  <c r="J1265"/>
  <c r="G1265"/>
  <c r="F1265"/>
  <c r="C1265"/>
  <c r="K1264"/>
  <c r="J1264"/>
  <c r="G1264"/>
  <c r="F1264"/>
  <c r="C1264"/>
  <c r="K1263"/>
  <c r="J1263"/>
  <c r="G1263"/>
  <c r="F1263"/>
  <c r="C1263"/>
  <c r="K1262"/>
  <c r="J1262"/>
  <c r="G1262"/>
  <c r="F1262"/>
  <c r="C1262"/>
  <c r="K1261"/>
  <c r="J1261"/>
  <c r="G1261"/>
  <c r="F1261"/>
  <c r="C1261"/>
  <c r="K1260"/>
  <c r="J1260"/>
  <c r="G1260"/>
  <c r="F1260"/>
  <c r="C1260"/>
  <c r="K1259"/>
  <c r="J1259"/>
  <c r="G1259"/>
  <c r="F1259"/>
  <c r="C1259"/>
  <c r="K1258"/>
  <c r="J1258"/>
  <c r="G1258"/>
  <c r="F1258"/>
  <c r="C1258"/>
  <c r="K1257"/>
  <c r="J1257"/>
  <c r="G1257"/>
  <c r="F1257"/>
  <c r="C1257"/>
  <c r="K1256"/>
  <c r="J1256"/>
  <c r="G1256"/>
  <c r="F1256"/>
  <c r="C1256"/>
  <c r="K1255"/>
  <c r="J1255"/>
  <c r="G1255"/>
  <c r="F1255"/>
  <c r="C1255"/>
  <c r="K1254"/>
  <c r="J1254"/>
  <c r="G1254"/>
  <c r="F1254"/>
  <c r="C1254"/>
  <c r="K1253"/>
  <c r="J1253"/>
  <c r="G1253"/>
  <c r="F1253"/>
  <c r="C1253"/>
  <c r="K1252"/>
  <c r="J1252"/>
  <c r="G1252"/>
  <c r="F1252"/>
  <c r="C1252"/>
  <c r="K1251"/>
  <c r="G1251"/>
  <c r="F1251"/>
  <c r="C1251"/>
  <c r="K1250"/>
  <c r="J1250"/>
  <c r="G1250"/>
  <c r="F1250"/>
  <c r="C1250"/>
  <c r="K1249"/>
  <c r="J1249"/>
  <c r="G1249"/>
  <c r="F1249"/>
  <c r="C1249"/>
  <c r="K1248"/>
  <c r="J1248"/>
  <c r="G1248"/>
  <c r="F1248"/>
  <c r="C1248"/>
  <c r="K1247"/>
  <c r="J1247"/>
  <c r="G1247"/>
  <c r="F1247"/>
  <c r="C1247"/>
  <c r="K1246"/>
  <c r="J1246"/>
  <c r="G1246"/>
  <c r="F1246"/>
  <c r="C1246"/>
  <c r="K1245"/>
  <c r="J1245"/>
  <c r="G1245"/>
  <c r="F1245"/>
  <c r="C1245"/>
  <c r="K1244"/>
  <c r="J1244"/>
  <c r="G1244"/>
  <c r="F1244"/>
  <c r="C1244"/>
  <c r="K1243"/>
  <c r="J1243"/>
  <c r="G1243"/>
  <c r="F1243"/>
  <c r="C1243"/>
  <c r="K1242"/>
  <c r="J1242"/>
  <c r="G1242"/>
  <c r="F1242"/>
  <c r="C1242"/>
  <c r="K1241"/>
  <c r="J1241"/>
  <c r="G1241"/>
  <c r="F1241"/>
  <c r="C1241"/>
  <c r="K1240"/>
  <c r="J1240"/>
  <c r="G1240"/>
  <c r="F1240"/>
  <c r="C1240"/>
  <c r="K1239"/>
  <c r="J1239"/>
  <c r="G1239"/>
  <c r="F1239"/>
  <c r="C1239"/>
  <c r="K1238"/>
  <c r="J1238"/>
  <c r="G1238"/>
  <c r="F1238"/>
  <c r="C1238"/>
  <c r="K1237"/>
  <c r="J1237"/>
  <c r="G1237"/>
  <c r="F1237"/>
  <c r="C1237"/>
  <c r="K1236"/>
  <c r="J1236"/>
  <c r="G1236"/>
  <c r="F1236"/>
  <c r="C1236"/>
  <c r="K1235"/>
  <c r="J1235"/>
  <c r="G1235"/>
  <c r="F1235"/>
  <c r="C1235"/>
  <c r="K1234"/>
  <c r="J1234"/>
  <c r="G1234"/>
  <c r="F1234"/>
  <c r="C1234"/>
  <c r="K1233"/>
  <c r="J1233"/>
  <c r="G1233"/>
  <c r="F1233"/>
  <c r="C1233"/>
  <c r="K1232"/>
  <c r="J1232"/>
  <c r="G1232"/>
  <c r="F1232"/>
  <c r="C1232"/>
  <c r="K1231"/>
  <c r="J1231"/>
  <c r="G1231"/>
  <c r="F1231"/>
  <c r="C1231"/>
  <c r="K1230"/>
  <c r="J1230"/>
  <c r="G1230"/>
  <c r="F1230"/>
  <c r="C1230"/>
  <c r="K1229"/>
  <c r="J1229"/>
  <c r="G1229"/>
  <c r="F1229"/>
  <c r="C1229"/>
  <c r="K1228"/>
  <c r="J1228"/>
  <c r="G1228"/>
  <c r="F1228"/>
  <c r="C1228"/>
  <c r="K1227"/>
  <c r="J1227"/>
  <c r="G1227"/>
  <c r="F1227"/>
  <c r="C1227"/>
  <c r="K1226"/>
  <c r="J1226"/>
  <c r="G1226"/>
  <c r="F1226"/>
  <c r="C1226"/>
  <c r="K1225"/>
  <c r="J1225"/>
  <c r="G1225"/>
  <c r="F1225"/>
  <c r="C1225"/>
  <c r="K1224"/>
  <c r="J1224"/>
  <c r="G1224"/>
  <c r="F1224"/>
  <c r="C1224"/>
  <c r="K1223"/>
  <c r="J1223"/>
  <c r="G1223"/>
  <c r="F1223"/>
  <c r="C1223"/>
  <c r="K1222"/>
  <c r="J1222"/>
  <c r="G1222"/>
  <c r="F1222"/>
  <c r="C1222"/>
  <c r="K1221"/>
  <c r="J1221"/>
  <c r="G1221"/>
  <c r="F1221"/>
  <c r="C1221"/>
  <c r="K1220"/>
  <c r="J1220"/>
  <c r="G1220"/>
  <c r="F1220"/>
  <c r="C1220"/>
  <c r="K1219"/>
  <c r="J1219"/>
  <c r="G1219"/>
  <c r="F1219"/>
  <c r="C1219"/>
  <c r="K1218"/>
  <c r="J1218"/>
  <c r="G1218"/>
  <c r="F1218"/>
  <c r="C1218"/>
  <c r="K1217"/>
  <c r="J1217"/>
  <c r="G1217"/>
  <c r="F1217"/>
  <c r="C1217"/>
  <c r="K1216"/>
  <c r="J1216"/>
  <c r="G1216"/>
  <c r="F1216"/>
  <c r="C1216"/>
  <c r="K1215"/>
  <c r="J1215"/>
  <c r="G1215"/>
  <c r="F1215"/>
  <c r="C1215"/>
  <c r="K1214"/>
  <c r="J1214"/>
  <c r="G1214"/>
  <c r="F1214"/>
  <c r="C1214"/>
  <c r="K1213"/>
  <c r="J1213"/>
  <c r="G1213"/>
  <c r="F1213"/>
  <c r="C1213"/>
  <c r="K1212"/>
  <c r="J1212"/>
  <c r="G1212"/>
  <c r="F1212"/>
  <c r="C1212"/>
  <c r="K1211"/>
  <c r="J1211"/>
  <c r="G1211"/>
  <c r="F1211"/>
  <c r="C1211"/>
  <c r="K1210"/>
  <c r="J1210"/>
  <c r="G1210"/>
  <c r="F1210"/>
  <c r="C1210"/>
  <c r="K1209"/>
  <c r="J1209"/>
  <c r="G1209"/>
  <c r="F1209"/>
  <c r="C1209"/>
  <c r="K1208"/>
  <c r="J1208"/>
  <c r="G1208"/>
  <c r="F1208"/>
  <c r="C1208"/>
  <c r="K1207"/>
  <c r="J1207"/>
  <c r="G1207"/>
  <c r="F1207"/>
  <c r="C1207"/>
  <c r="K1206"/>
  <c r="J1206"/>
  <c r="G1206"/>
  <c r="F1206"/>
  <c r="C1206"/>
  <c r="K1205"/>
  <c r="J1205"/>
  <c r="G1205"/>
  <c r="F1205"/>
  <c r="C1205"/>
  <c r="K1204"/>
  <c r="J1204"/>
  <c r="G1204"/>
  <c r="F1204"/>
  <c r="C1204"/>
  <c r="K1203"/>
  <c r="J1203"/>
  <c r="G1203"/>
  <c r="F1203"/>
  <c r="C1203"/>
  <c r="K1202"/>
  <c r="J1202"/>
  <c r="G1202"/>
  <c r="F1202"/>
  <c r="C1202"/>
  <c r="K1201"/>
  <c r="J1201"/>
  <c r="G1201"/>
  <c r="F1201"/>
  <c r="C1201"/>
  <c r="K1200"/>
  <c r="J1200"/>
  <c r="G1200"/>
  <c r="F1200"/>
  <c r="C1200"/>
  <c r="K1199"/>
  <c r="J1199"/>
  <c r="G1199"/>
  <c r="F1199"/>
  <c r="C1199"/>
  <c r="K1198"/>
  <c r="J1198"/>
  <c r="G1198"/>
  <c r="F1198"/>
  <c r="C1198"/>
  <c r="K1197"/>
  <c r="J1197"/>
  <c r="G1197"/>
  <c r="F1197"/>
  <c r="C1197"/>
  <c r="K1196"/>
  <c r="J1196"/>
  <c r="G1196"/>
  <c r="F1196"/>
  <c r="C1196"/>
  <c r="K1195"/>
  <c r="J1195"/>
  <c r="G1195"/>
  <c r="F1195"/>
  <c r="C1195"/>
  <c r="K1194"/>
  <c r="J1194"/>
  <c r="G1194"/>
  <c r="F1194"/>
  <c r="C1194"/>
  <c r="K1193"/>
  <c r="J1193"/>
  <c r="G1193"/>
  <c r="F1193"/>
  <c r="C1193"/>
  <c r="K1192"/>
  <c r="J1192"/>
  <c r="G1192"/>
  <c r="F1192"/>
  <c r="C1192"/>
  <c r="K1191"/>
  <c r="J1191"/>
  <c r="G1191"/>
  <c r="F1191"/>
  <c r="C1191"/>
  <c r="K1190"/>
  <c r="J1190"/>
  <c r="G1190"/>
  <c r="F1190"/>
  <c r="C1190"/>
  <c r="K1189"/>
  <c r="J1189"/>
  <c r="G1189"/>
  <c r="F1189"/>
  <c r="C1189"/>
  <c r="K1188"/>
  <c r="J1188"/>
  <c r="G1188"/>
  <c r="F1188"/>
  <c r="C1188"/>
  <c r="K1187"/>
  <c r="J1187"/>
  <c r="G1187"/>
  <c r="F1187"/>
  <c r="C1187"/>
  <c r="K1186"/>
  <c r="J1186"/>
  <c r="G1186"/>
  <c r="F1186"/>
  <c r="C1186"/>
  <c r="K1185"/>
  <c r="J1185"/>
  <c r="G1185"/>
  <c r="F1185"/>
  <c r="C1185"/>
  <c r="K1184"/>
  <c r="J1184"/>
  <c r="G1184"/>
  <c r="F1184"/>
  <c r="C1184"/>
  <c r="K1183"/>
  <c r="J1183"/>
  <c r="G1183"/>
  <c r="F1183"/>
  <c r="C1183"/>
  <c r="K1182"/>
  <c r="J1182"/>
  <c r="G1182"/>
  <c r="F1182"/>
  <c r="C1182"/>
  <c r="K1181"/>
  <c r="J1181"/>
  <c r="G1181"/>
  <c r="F1181"/>
  <c r="C1181"/>
  <c r="K1180"/>
  <c r="J1180"/>
  <c r="G1180"/>
  <c r="F1180"/>
  <c r="C1180"/>
  <c r="K1179"/>
  <c r="J1179"/>
  <c r="G1179"/>
  <c r="F1179"/>
  <c r="C1179"/>
  <c r="K1178"/>
  <c r="J1178"/>
  <c r="G1178"/>
  <c r="F1178"/>
  <c r="C1178"/>
  <c r="K1177"/>
  <c r="J1177"/>
  <c r="G1177"/>
  <c r="F1177"/>
  <c r="C1177"/>
  <c r="K1176"/>
  <c r="J1176"/>
  <c r="G1176"/>
  <c r="F1176"/>
  <c r="C1176"/>
  <c r="K1175"/>
  <c r="J1175"/>
  <c r="G1175"/>
  <c r="F1175"/>
  <c r="C1175"/>
  <c r="K1174"/>
  <c r="J1174"/>
  <c r="G1174"/>
  <c r="F1174"/>
  <c r="C1174"/>
  <c r="K1173"/>
  <c r="J1173"/>
  <c r="G1173"/>
  <c r="F1173"/>
  <c r="C1173"/>
  <c r="K1172"/>
  <c r="J1172"/>
  <c r="G1172"/>
  <c r="F1172"/>
  <c r="C1172"/>
  <c r="K1171"/>
  <c r="J1171"/>
  <c r="G1171"/>
  <c r="F1171"/>
  <c r="C1171"/>
  <c r="K1170"/>
  <c r="J1170"/>
  <c r="G1170"/>
  <c r="F1170"/>
  <c r="C1170"/>
  <c r="K1169"/>
  <c r="J1169"/>
  <c r="G1169"/>
  <c r="F1169"/>
  <c r="C1169"/>
  <c r="K1168"/>
  <c r="J1168"/>
  <c r="G1168"/>
  <c r="F1168"/>
  <c r="C1168"/>
  <c r="K1167"/>
  <c r="J1167"/>
  <c r="G1167"/>
  <c r="F1167"/>
  <c r="C1167"/>
  <c r="K1166"/>
  <c r="J1166"/>
  <c r="G1166"/>
  <c r="F1166"/>
  <c r="C1166"/>
  <c r="K1165"/>
  <c r="J1165"/>
  <c r="G1165"/>
  <c r="F1165"/>
  <c r="C1165"/>
  <c r="K1164"/>
  <c r="J1164"/>
  <c r="G1164"/>
  <c r="F1164"/>
  <c r="C1164"/>
  <c r="K1163"/>
  <c r="J1163"/>
  <c r="G1163"/>
  <c r="F1163"/>
  <c r="C1163"/>
  <c r="K1162"/>
  <c r="J1162"/>
  <c r="G1162"/>
  <c r="F1162"/>
  <c r="C1162"/>
  <c r="K1161"/>
  <c r="J1161"/>
  <c r="G1161"/>
  <c r="F1161"/>
  <c r="C1161"/>
  <c r="K1160"/>
  <c r="J1160"/>
  <c r="G1160"/>
  <c r="F1160"/>
  <c r="C1160"/>
  <c r="K1159"/>
  <c r="J1159"/>
  <c r="G1159"/>
  <c r="F1159"/>
  <c r="C1159"/>
  <c r="K1158"/>
  <c r="J1158"/>
  <c r="G1158"/>
  <c r="F1158"/>
  <c r="C1158"/>
  <c r="K1157"/>
  <c r="J1157"/>
  <c r="G1157"/>
  <c r="F1157"/>
  <c r="C1157"/>
  <c r="K1156"/>
  <c r="J1156"/>
  <c r="G1156"/>
  <c r="F1156"/>
  <c r="C1156"/>
  <c r="K1155"/>
  <c r="J1155"/>
  <c r="G1155"/>
  <c r="F1155"/>
  <c r="C1155"/>
  <c r="K1154"/>
  <c r="J1154"/>
  <c r="G1154"/>
  <c r="F1154"/>
  <c r="C1154"/>
  <c r="K1153"/>
  <c r="J1153"/>
  <c r="G1153"/>
  <c r="F1153"/>
  <c r="C1153"/>
  <c r="K1152"/>
  <c r="J1152"/>
  <c r="G1152"/>
  <c r="F1152"/>
  <c r="C1152"/>
  <c r="K1151"/>
  <c r="J1151"/>
  <c r="G1151"/>
  <c r="F1151"/>
  <c r="C1151"/>
  <c r="K1150"/>
  <c r="J1150"/>
  <c r="G1150"/>
  <c r="F1150"/>
  <c r="C1150"/>
  <c r="K1149"/>
  <c r="J1149"/>
  <c r="G1149"/>
  <c r="F1149"/>
  <c r="C1149"/>
  <c r="K1148"/>
  <c r="J1148"/>
  <c r="G1148"/>
  <c r="F1148"/>
  <c r="C1148"/>
  <c r="K1147"/>
  <c r="J1147"/>
  <c r="G1147"/>
  <c r="F1147"/>
  <c r="C1147"/>
  <c r="K1146"/>
  <c r="G1146"/>
  <c r="F1146"/>
  <c r="C1146"/>
  <c r="K1145"/>
  <c r="J1145"/>
  <c r="G1145"/>
  <c r="F1145"/>
  <c r="C1145"/>
  <c r="K1144"/>
  <c r="J1144"/>
  <c r="G1144"/>
  <c r="F1144"/>
  <c r="C1144"/>
  <c r="K1143"/>
  <c r="J1143"/>
  <c r="G1143"/>
  <c r="F1143"/>
  <c r="C1143"/>
  <c r="K1142"/>
  <c r="J1142"/>
  <c r="G1142"/>
  <c r="F1142"/>
  <c r="C1142"/>
  <c r="K1141"/>
  <c r="J1141"/>
  <c r="G1141"/>
  <c r="F1141"/>
  <c r="C1141"/>
  <c r="K1140"/>
  <c r="J1140"/>
  <c r="G1140"/>
  <c r="F1140"/>
  <c r="C1140"/>
  <c r="K1139"/>
  <c r="J1139"/>
  <c r="G1139"/>
  <c r="F1139"/>
  <c r="C1139"/>
  <c r="K1138"/>
  <c r="J1138"/>
  <c r="G1138"/>
  <c r="F1138"/>
  <c r="C1138"/>
  <c r="K1137"/>
  <c r="J1137"/>
  <c r="G1137"/>
  <c r="F1137"/>
  <c r="C1137"/>
  <c r="K1136"/>
  <c r="J1136"/>
  <c r="G1136"/>
  <c r="F1136"/>
  <c r="C1136"/>
  <c r="K1135"/>
  <c r="J1135"/>
  <c r="G1135"/>
  <c r="F1135"/>
  <c r="C1135"/>
  <c r="K1134"/>
  <c r="J1134"/>
  <c r="G1134"/>
  <c r="F1134"/>
  <c r="C1134"/>
  <c r="K1133"/>
  <c r="J1133"/>
  <c r="G1133"/>
  <c r="F1133"/>
  <c r="C1133"/>
  <c r="K1132"/>
  <c r="J1132"/>
  <c r="G1132"/>
  <c r="F1132"/>
  <c r="C1132"/>
  <c r="K1131"/>
  <c r="J1131"/>
  <c r="G1131"/>
  <c r="F1131"/>
  <c r="C1131"/>
  <c r="K1130"/>
  <c r="J1130"/>
  <c r="G1130"/>
  <c r="F1130"/>
  <c r="C1130"/>
  <c r="K1129"/>
  <c r="J1129"/>
  <c r="G1129"/>
  <c r="F1129"/>
  <c r="C1129"/>
  <c r="K1128"/>
  <c r="J1128"/>
  <c r="G1128"/>
  <c r="F1128"/>
  <c r="C1128"/>
  <c r="K1127"/>
  <c r="J1127"/>
  <c r="G1127"/>
  <c r="F1127"/>
  <c r="C1127"/>
  <c r="K1126"/>
  <c r="J1126"/>
  <c r="G1126"/>
  <c r="F1126"/>
  <c r="C1126"/>
  <c r="K1125"/>
  <c r="J1125"/>
  <c r="G1125"/>
  <c r="F1125"/>
  <c r="C1125"/>
  <c r="K1124"/>
  <c r="J1124"/>
  <c r="G1124"/>
  <c r="F1124"/>
  <c r="C1124"/>
  <c r="K1123"/>
  <c r="J1123"/>
  <c r="G1123"/>
  <c r="F1123"/>
  <c r="C1123"/>
  <c r="K1122"/>
  <c r="J1122"/>
  <c r="G1122"/>
  <c r="F1122"/>
  <c r="C1122"/>
  <c r="K1121"/>
  <c r="J1121"/>
  <c r="G1121"/>
  <c r="F1121"/>
  <c r="C1121"/>
  <c r="K1120"/>
  <c r="J1120"/>
  <c r="G1120"/>
  <c r="F1120"/>
  <c r="C1120"/>
  <c r="K1119"/>
  <c r="J1119"/>
  <c r="G1119"/>
  <c r="F1119"/>
  <c r="C1119"/>
  <c r="K1118"/>
  <c r="J1118"/>
  <c r="G1118"/>
  <c r="F1118"/>
  <c r="C1118"/>
  <c r="K1117"/>
  <c r="J1117"/>
  <c r="G1117"/>
  <c r="F1117"/>
  <c r="C1117"/>
  <c r="K1116"/>
  <c r="J1116"/>
  <c r="G1116"/>
  <c r="F1116"/>
  <c r="C1116"/>
  <c r="K1115"/>
  <c r="J1115"/>
  <c r="G1115"/>
  <c r="F1115"/>
  <c r="C1115"/>
  <c r="K1114"/>
  <c r="J1114"/>
  <c r="G1114"/>
  <c r="F1114"/>
  <c r="C1114"/>
  <c r="K1113"/>
  <c r="J1113"/>
  <c r="G1113"/>
  <c r="F1113"/>
  <c r="C1113"/>
  <c r="K1112"/>
  <c r="J1112"/>
  <c r="G1112"/>
  <c r="F1112"/>
  <c r="C1112"/>
  <c r="K1111"/>
  <c r="J1111"/>
  <c r="G1111"/>
  <c r="F1111"/>
  <c r="C1111"/>
  <c r="K1110"/>
  <c r="J1110"/>
  <c r="G1110"/>
  <c r="F1110"/>
  <c r="C1110"/>
  <c r="K1109"/>
  <c r="J1109"/>
  <c r="G1109"/>
  <c r="F1109"/>
  <c r="C1109"/>
  <c r="K1108"/>
  <c r="J1108"/>
  <c r="G1108"/>
  <c r="F1108"/>
  <c r="C1108"/>
  <c r="K1107"/>
  <c r="J1107"/>
  <c r="G1107"/>
  <c r="F1107"/>
  <c r="C1107"/>
  <c r="K1106"/>
  <c r="J1106"/>
  <c r="G1106"/>
  <c r="F1106"/>
  <c r="C1106"/>
  <c r="K1105"/>
  <c r="J1105"/>
  <c r="G1105"/>
  <c r="F1105"/>
  <c r="C1105"/>
  <c r="K1104"/>
  <c r="J1104"/>
  <c r="G1104"/>
  <c r="F1104"/>
  <c r="C1104"/>
  <c r="K1103"/>
  <c r="J1103"/>
  <c r="G1103"/>
  <c r="F1103"/>
  <c r="C1103"/>
  <c r="K1102"/>
  <c r="J1102"/>
  <c r="G1102"/>
  <c r="F1102"/>
  <c r="C1102"/>
  <c r="K1101"/>
  <c r="J1101"/>
  <c r="G1101"/>
  <c r="F1101"/>
  <c r="C1101"/>
  <c r="K1100"/>
  <c r="J1100"/>
  <c r="G1100"/>
  <c r="F1100"/>
  <c r="C1100"/>
  <c r="K1099"/>
  <c r="J1099"/>
  <c r="G1099"/>
  <c r="F1099"/>
  <c r="C1099"/>
  <c r="K1098"/>
  <c r="J1098"/>
  <c r="G1098"/>
  <c r="F1098"/>
  <c r="C1098"/>
  <c r="K1097"/>
  <c r="J1097"/>
  <c r="G1097"/>
  <c r="F1097"/>
  <c r="C1097"/>
  <c r="K1096"/>
  <c r="J1096"/>
  <c r="G1096"/>
  <c r="F1096"/>
  <c r="C1096"/>
  <c r="K1095"/>
  <c r="J1095"/>
  <c r="G1095"/>
  <c r="F1095"/>
  <c r="C1095"/>
  <c r="K1094"/>
  <c r="J1094"/>
  <c r="G1094"/>
  <c r="F1094"/>
  <c r="C1094"/>
  <c r="K1093"/>
  <c r="J1093"/>
  <c r="G1093"/>
  <c r="F1093"/>
  <c r="C1093"/>
  <c r="K1092"/>
  <c r="J1092"/>
  <c r="G1092"/>
  <c r="F1092"/>
  <c r="C1092"/>
  <c r="K1091"/>
  <c r="J1091"/>
  <c r="G1091"/>
  <c r="F1091"/>
  <c r="C1091"/>
  <c r="K1090"/>
  <c r="J1090"/>
  <c r="G1090"/>
  <c r="F1090"/>
  <c r="C1090"/>
  <c r="K1089"/>
  <c r="J1089"/>
  <c r="G1089"/>
  <c r="F1089"/>
  <c r="C1089"/>
  <c r="K1088"/>
  <c r="J1088"/>
  <c r="G1088"/>
  <c r="F1088"/>
  <c r="C1088"/>
  <c r="K1087"/>
  <c r="J1087"/>
  <c r="G1087"/>
  <c r="F1087"/>
  <c r="C1087"/>
  <c r="K1086"/>
  <c r="J1086"/>
  <c r="G1086"/>
  <c r="F1086"/>
  <c r="C1086"/>
  <c r="K1085"/>
  <c r="J1085"/>
  <c r="G1085"/>
  <c r="F1085"/>
  <c r="C1085"/>
  <c r="K1084"/>
  <c r="J1084"/>
  <c r="G1084"/>
  <c r="F1084"/>
  <c r="C1084"/>
  <c r="K1083"/>
  <c r="J1083"/>
  <c r="G1083"/>
  <c r="F1083"/>
  <c r="C1083"/>
  <c r="K1082"/>
  <c r="J1082"/>
  <c r="G1082"/>
  <c r="F1082"/>
  <c r="C1082"/>
  <c r="K1081"/>
  <c r="J1081"/>
  <c r="G1081"/>
  <c r="F1081"/>
  <c r="C1081"/>
  <c r="K1080"/>
  <c r="J1080"/>
  <c r="G1080"/>
  <c r="F1080"/>
  <c r="C1080"/>
  <c r="K1079"/>
  <c r="J1079"/>
  <c r="G1079"/>
  <c r="F1079"/>
  <c r="C1079"/>
  <c r="K1078"/>
  <c r="J1078"/>
  <c r="G1078"/>
  <c r="F1078"/>
  <c r="C1078"/>
  <c r="K1077"/>
  <c r="J1077"/>
  <c r="G1077"/>
  <c r="F1077"/>
  <c r="C1077"/>
  <c r="K1076"/>
  <c r="J1076"/>
  <c r="G1076"/>
  <c r="F1076"/>
  <c r="C1076"/>
  <c r="K1075"/>
  <c r="J1075"/>
  <c r="G1075"/>
  <c r="F1075"/>
  <c r="C1075"/>
  <c r="K1074"/>
  <c r="J1074"/>
  <c r="G1074"/>
  <c r="F1074"/>
  <c r="C1074"/>
  <c r="K1073"/>
  <c r="J1073"/>
  <c r="G1073"/>
  <c r="F1073"/>
  <c r="C1073"/>
  <c r="K1072"/>
  <c r="J1072"/>
  <c r="G1072"/>
  <c r="F1072"/>
  <c r="C1072"/>
  <c r="K1071"/>
  <c r="J1071"/>
  <c r="G1071"/>
  <c r="F1071"/>
  <c r="C1071"/>
  <c r="K1070"/>
  <c r="J1070"/>
  <c r="G1070"/>
  <c r="F1070"/>
  <c r="C1070"/>
  <c r="K1069"/>
  <c r="J1069"/>
  <c r="G1069"/>
  <c r="F1069"/>
  <c r="C1069"/>
  <c r="K1068"/>
  <c r="J1068"/>
  <c r="G1068"/>
  <c r="F1068"/>
  <c r="C1068"/>
  <c r="K1067"/>
  <c r="J1067"/>
  <c r="G1067"/>
  <c r="F1067"/>
  <c r="C1067"/>
  <c r="K1066"/>
  <c r="J1066"/>
  <c r="G1066"/>
  <c r="F1066"/>
  <c r="C1066"/>
  <c r="K1065"/>
  <c r="J1065"/>
  <c r="G1065"/>
  <c r="F1065"/>
  <c r="C1065"/>
  <c r="K1064"/>
  <c r="J1064"/>
  <c r="G1064"/>
  <c r="F1064"/>
  <c r="C1064"/>
  <c r="K1063"/>
  <c r="J1063"/>
  <c r="G1063"/>
  <c r="F1063"/>
  <c r="C1063"/>
  <c r="K1062"/>
  <c r="J1062"/>
  <c r="G1062"/>
  <c r="F1062"/>
  <c r="C1062"/>
  <c r="K1061"/>
  <c r="J1061"/>
  <c r="G1061"/>
  <c r="F1061"/>
  <c r="C1061"/>
  <c r="K1060"/>
  <c r="J1060"/>
  <c r="G1060"/>
  <c r="F1060"/>
  <c r="C1060"/>
  <c r="K1059"/>
  <c r="J1059"/>
  <c r="G1059"/>
  <c r="F1059"/>
  <c r="C1059"/>
  <c r="K1058"/>
  <c r="J1058"/>
  <c r="G1058"/>
  <c r="F1058"/>
  <c r="C1058"/>
  <c r="K1057"/>
  <c r="J1057"/>
  <c r="G1057"/>
  <c r="F1057"/>
  <c r="C1057"/>
  <c r="K1056"/>
  <c r="J1056"/>
  <c r="G1056"/>
  <c r="F1056"/>
  <c r="C1056"/>
  <c r="K1055"/>
  <c r="J1055"/>
  <c r="G1055"/>
  <c r="F1055"/>
  <c r="C1055"/>
  <c r="K1054"/>
  <c r="J1054"/>
  <c r="G1054"/>
  <c r="F1054"/>
  <c r="C1054"/>
  <c r="K1053"/>
  <c r="J1053"/>
  <c r="G1053"/>
  <c r="F1053"/>
  <c r="C1053"/>
  <c r="K1052"/>
  <c r="J1052"/>
  <c r="G1052"/>
  <c r="F1052"/>
  <c r="C1052"/>
  <c r="K1051"/>
  <c r="J1051"/>
  <c r="G1051"/>
  <c r="F1051"/>
  <c r="C1051"/>
  <c r="K1050"/>
  <c r="J1050"/>
  <c r="G1050"/>
  <c r="F1050"/>
  <c r="C1050"/>
  <c r="K1049"/>
  <c r="J1049"/>
  <c r="G1049"/>
  <c r="F1049"/>
  <c r="C1049"/>
  <c r="K1048"/>
  <c r="J1048"/>
  <c r="G1048"/>
  <c r="F1048"/>
  <c r="C1048"/>
  <c r="K1047"/>
  <c r="J1047"/>
  <c r="G1047"/>
  <c r="F1047"/>
  <c r="C1047"/>
  <c r="K1046"/>
  <c r="J1046"/>
  <c r="G1046"/>
  <c r="F1046"/>
  <c r="C1046"/>
  <c r="K1045"/>
  <c r="J1045"/>
  <c r="G1045"/>
  <c r="F1045"/>
  <c r="C1045"/>
  <c r="K1044"/>
  <c r="J1044"/>
  <c r="G1044"/>
  <c r="F1044"/>
  <c r="C1044"/>
  <c r="K1043"/>
  <c r="J1043"/>
  <c r="G1043"/>
  <c r="F1043"/>
  <c r="C1043"/>
  <c r="K1042"/>
  <c r="J1042"/>
  <c r="G1042"/>
  <c r="F1042"/>
  <c r="C1042"/>
  <c r="K1041"/>
  <c r="J1041"/>
  <c r="G1041"/>
  <c r="F1041"/>
  <c r="C1041"/>
  <c r="K1040"/>
  <c r="J1040"/>
  <c r="G1040"/>
  <c r="F1040"/>
  <c r="C1040"/>
  <c r="K1039"/>
  <c r="J1039"/>
  <c r="G1039"/>
  <c r="F1039"/>
  <c r="C1039"/>
  <c r="K1038"/>
  <c r="J1038"/>
  <c r="G1038"/>
  <c r="F1038"/>
  <c r="C1038"/>
  <c r="K1037"/>
  <c r="J1037"/>
  <c r="G1037"/>
  <c r="F1037"/>
  <c r="C1037"/>
  <c r="K1036"/>
  <c r="J1036"/>
  <c r="G1036"/>
  <c r="F1036"/>
  <c r="C1036"/>
  <c r="K1035"/>
  <c r="J1035"/>
  <c r="G1035"/>
  <c r="F1035"/>
  <c r="C1035"/>
  <c r="K1034"/>
  <c r="J1034"/>
  <c r="G1034"/>
  <c r="F1034"/>
  <c r="C1034"/>
  <c r="K1033"/>
  <c r="J1033"/>
  <c r="G1033"/>
  <c r="F1033"/>
  <c r="C1033"/>
  <c r="K1032"/>
  <c r="J1032"/>
  <c r="G1032"/>
  <c r="F1032"/>
  <c r="C1032"/>
  <c r="K1031"/>
  <c r="J1031"/>
  <c r="G1031"/>
  <c r="F1031"/>
  <c r="C1031"/>
  <c r="K1030"/>
  <c r="J1030"/>
  <c r="G1030"/>
  <c r="F1030"/>
  <c r="C1030"/>
  <c r="K1029"/>
  <c r="J1029"/>
  <c r="G1029"/>
  <c r="F1029"/>
  <c r="C1029"/>
  <c r="K1028"/>
  <c r="J1028"/>
  <c r="G1028"/>
  <c r="F1028"/>
  <c r="C1028"/>
  <c r="K1027"/>
  <c r="J1027"/>
  <c r="G1027"/>
  <c r="F1027"/>
  <c r="C1027"/>
  <c r="K1026"/>
  <c r="J1026"/>
  <c r="G1026"/>
  <c r="F1026"/>
  <c r="C1026"/>
  <c r="K1025"/>
  <c r="J1025"/>
  <c r="G1025"/>
  <c r="F1025"/>
  <c r="C1025"/>
  <c r="K1024"/>
  <c r="J1024"/>
  <c r="G1024"/>
  <c r="F1024"/>
  <c r="C1024"/>
  <c r="K1023"/>
  <c r="J1023"/>
  <c r="G1023"/>
  <c r="F1023"/>
  <c r="C1023"/>
  <c r="K1022"/>
  <c r="J1022"/>
  <c r="G1022"/>
  <c r="F1022"/>
  <c r="C1022"/>
  <c r="K1021"/>
  <c r="J1021"/>
  <c r="G1021"/>
  <c r="F1021"/>
  <c r="C1021"/>
  <c r="K1020"/>
  <c r="J1020"/>
  <c r="G1020"/>
  <c r="F1020"/>
  <c r="C1020"/>
  <c r="K1019"/>
  <c r="J1019"/>
  <c r="G1019"/>
  <c r="F1019"/>
  <c r="C1019"/>
  <c r="K1018"/>
  <c r="J1018"/>
  <c r="G1018"/>
  <c r="F1018"/>
  <c r="C1018"/>
  <c r="K1017"/>
  <c r="J1017"/>
  <c r="G1017"/>
  <c r="F1017"/>
  <c r="C1017"/>
  <c r="K1016"/>
  <c r="J1016"/>
  <c r="G1016"/>
  <c r="F1016"/>
  <c r="C1016"/>
  <c r="K1015"/>
  <c r="J1015"/>
  <c r="G1015"/>
  <c r="F1015"/>
  <c r="C1015"/>
  <c r="K1014"/>
  <c r="J1014"/>
  <c r="G1014"/>
  <c r="F1014"/>
  <c r="C1014"/>
  <c r="K1013"/>
  <c r="J1013"/>
  <c r="G1013"/>
  <c r="F1013"/>
  <c r="C1013"/>
  <c r="K1012"/>
  <c r="J1012"/>
  <c r="G1012"/>
  <c r="F1012"/>
  <c r="C1012"/>
  <c r="K1011"/>
  <c r="J1011"/>
  <c r="G1011"/>
  <c r="F1011"/>
  <c r="C1011"/>
  <c r="K1010"/>
  <c r="J1010"/>
  <c r="G1010"/>
  <c r="F1010"/>
  <c r="C1010"/>
  <c r="K1009"/>
  <c r="J1009"/>
  <c r="G1009"/>
  <c r="F1009"/>
  <c r="C1009"/>
  <c r="K1008"/>
  <c r="J1008"/>
  <c r="G1008"/>
  <c r="F1008"/>
  <c r="C1008"/>
  <c r="K1007"/>
  <c r="J1007"/>
  <c r="G1007"/>
  <c r="F1007"/>
  <c r="C1007"/>
  <c r="K1006"/>
  <c r="J1006"/>
  <c r="G1006"/>
  <c r="F1006"/>
  <c r="C1006"/>
  <c r="K1005"/>
  <c r="J1005"/>
  <c r="G1005"/>
  <c r="F1005"/>
  <c r="C1005"/>
  <c r="K1004"/>
  <c r="J1004"/>
  <c r="G1004"/>
  <c r="F1004"/>
  <c r="C1004"/>
  <c r="K1003"/>
  <c r="J1003"/>
  <c r="G1003"/>
  <c r="F1003"/>
  <c r="C1003"/>
  <c r="K1002"/>
  <c r="J1002"/>
  <c r="G1002"/>
  <c r="F1002"/>
  <c r="C1002"/>
  <c r="K1001"/>
  <c r="J1001"/>
  <c r="G1001"/>
  <c r="F1001"/>
  <c r="C1001"/>
  <c r="K1000"/>
  <c r="J1000"/>
  <c r="G1000"/>
  <c r="F1000"/>
  <c r="C1000"/>
  <c r="K999"/>
  <c r="J999"/>
  <c r="G999"/>
  <c r="F999"/>
  <c r="C999"/>
  <c r="K998"/>
  <c r="J998"/>
  <c r="G998"/>
  <c r="F998"/>
  <c r="C998"/>
  <c r="K997"/>
  <c r="J997"/>
  <c r="G997"/>
  <c r="F997"/>
  <c r="C997"/>
  <c r="K996"/>
  <c r="J996"/>
  <c r="G996"/>
  <c r="F996"/>
  <c r="C996"/>
  <c r="K995"/>
  <c r="J995"/>
  <c r="G995"/>
  <c r="F995"/>
  <c r="C995"/>
  <c r="K994"/>
  <c r="J994"/>
  <c r="G994"/>
  <c r="F994"/>
  <c r="C994"/>
  <c r="K993"/>
  <c r="J993"/>
  <c r="G993"/>
  <c r="F993"/>
  <c r="C993"/>
  <c r="K992"/>
  <c r="J992"/>
  <c r="G992"/>
  <c r="F992"/>
  <c r="C992"/>
  <c r="K991"/>
  <c r="J991"/>
  <c r="G991"/>
  <c r="F991"/>
  <c r="C991"/>
  <c r="K990"/>
  <c r="J990"/>
  <c r="G990"/>
  <c r="F990"/>
  <c r="C990"/>
  <c r="K989"/>
  <c r="J989"/>
  <c r="G989"/>
  <c r="F989"/>
  <c r="C989"/>
  <c r="K988"/>
  <c r="J988"/>
  <c r="G988"/>
  <c r="F988"/>
  <c r="C988"/>
  <c r="K987"/>
  <c r="J987"/>
  <c r="G987"/>
  <c r="F987"/>
  <c r="C987"/>
  <c r="K986"/>
  <c r="J986"/>
  <c r="G986"/>
  <c r="F986"/>
  <c r="C986"/>
  <c r="K985"/>
  <c r="J985"/>
  <c r="G985"/>
  <c r="F985"/>
  <c r="C985"/>
  <c r="K984"/>
  <c r="J984"/>
  <c r="G984"/>
  <c r="F984"/>
  <c r="C984"/>
  <c r="K983"/>
  <c r="J983"/>
  <c r="G983"/>
  <c r="F983"/>
  <c r="C983"/>
  <c r="K982"/>
  <c r="J982"/>
  <c r="G982"/>
  <c r="F982"/>
  <c r="C982"/>
  <c r="K981"/>
  <c r="J981"/>
  <c r="G981"/>
  <c r="F981"/>
  <c r="C981"/>
  <c r="K980"/>
  <c r="J980"/>
  <c r="G980"/>
  <c r="F980"/>
  <c r="C980"/>
  <c r="K979"/>
  <c r="J979"/>
  <c r="G979"/>
  <c r="F979"/>
  <c r="C979"/>
  <c r="K978"/>
  <c r="J978"/>
  <c r="G978"/>
  <c r="F978"/>
  <c r="C978"/>
  <c r="K977"/>
  <c r="J977"/>
  <c r="G977"/>
  <c r="F977"/>
  <c r="C977"/>
  <c r="K976"/>
  <c r="J976"/>
  <c r="G976"/>
  <c r="F976"/>
  <c r="C976"/>
  <c r="K975"/>
  <c r="J975"/>
  <c r="G975"/>
  <c r="F975"/>
  <c r="C975"/>
  <c r="K974"/>
  <c r="J974"/>
  <c r="G974"/>
  <c r="F974"/>
  <c r="C974"/>
  <c r="K973"/>
  <c r="J973"/>
  <c r="G973"/>
  <c r="F973"/>
  <c r="C973"/>
  <c r="K972"/>
  <c r="J972"/>
  <c r="G972"/>
  <c r="F972"/>
  <c r="C972"/>
  <c r="K971"/>
  <c r="J971"/>
  <c r="G971"/>
  <c r="F971"/>
  <c r="C971"/>
  <c r="K970"/>
  <c r="J970"/>
  <c r="G970"/>
  <c r="F970"/>
  <c r="C970"/>
  <c r="K969"/>
  <c r="J969"/>
  <c r="G969"/>
  <c r="F969"/>
  <c r="C969"/>
  <c r="K968"/>
  <c r="J968"/>
  <c r="G968"/>
  <c r="F968"/>
  <c r="C968"/>
  <c r="K967"/>
  <c r="J967"/>
  <c r="G967"/>
  <c r="F967"/>
  <c r="C967"/>
  <c r="K966"/>
  <c r="J966"/>
  <c r="G966"/>
  <c r="F966"/>
  <c r="C966"/>
  <c r="K965"/>
  <c r="J965"/>
  <c r="G965"/>
  <c r="F965"/>
  <c r="C965"/>
  <c r="K964"/>
  <c r="J964"/>
  <c r="G964"/>
  <c r="F964"/>
  <c r="C964"/>
  <c r="K963"/>
  <c r="J963"/>
  <c r="G963"/>
  <c r="F963"/>
  <c r="C963"/>
  <c r="K962"/>
  <c r="J962"/>
  <c r="G962"/>
  <c r="F962"/>
  <c r="C962"/>
  <c r="K961"/>
  <c r="J961"/>
  <c r="G961"/>
  <c r="F961"/>
  <c r="C961"/>
  <c r="K960"/>
  <c r="J960"/>
  <c r="G960"/>
  <c r="F960"/>
  <c r="C960"/>
  <c r="K959"/>
  <c r="J959"/>
  <c r="G959"/>
  <c r="F959"/>
  <c r="C959"/>
  <c r="K958"/>
  <c r="J958"/>
  <c r="G958"/>
  <c r="F958"/>
  <c r="C958"/>
  <c r="K957"/>
  <c r="J957"/>
  <c r="G957"/>
  <c r="F957"/>
  <c r="C957"/>
  <c r="K956"/>
  <c r="J956"/>
  <c r="G956"/>
  <c r="F956"/>
  <c r="C956"/>
  <c r="K955"/>
  <c r="J955"/>
  <c r="G955"/>
  <c r="F955"/>
  <c r="C955"/>
  <c r="K954"/>
  <c r="J954"/>
  <c r="G954"/>
  <c r="F954"/>
  <c r="C954"/>
  <c r="K953"/>
  <c r="J953"/>
  <c r="G953"/>
  <c r="F953"/>
  <c r="C953"/>
  <c r="K952"/>
  <c r="J952"/>
  <c r="G952"/>
  <c r="F952"/>
  <c r="C952"/>
  <c r="K951"/>
  <c r="J951"/>
  <c r="G951"/>
  <c r="F951"/>
  <c r="C951"/>
  <c r="K950"/>
  <c r="J950"/>
  <c r="G950"/>
  <c r="F950"/>
  <c r="C950"/>
  <c r="K949"/>
  <c r="J949"/>
  <c r="G949"/>
  <c r="F949"/>
  <c r="C949"/>
  <c r="K948"/>
  <c r="J948"/>
  <c r="G948"/>
  <c r="F948"/>
  <c r="C948"/>
  <c r="K947"/>
  <c r="J947"/>
  <c r="G947"/>
  <c r="F947"/>
  <c r="C947"/>
  <c r="K946"/>
  <c r="J946"/>
  <c r="G946"/>
  <c r="F946"/>
  <c r="C946"/>
  <c r="K945"/>
  <c r="J945"/>
  <c r="G945"/>
  <c r="F945"/>
  <c r="C945"/>
  <c r="K944"/>
  <c r="J944"/>
  <c r="G944"/>
  <c r="F944"/>
  <c r="C944"/>
  <c r="K943"/>
  <c r="J943"/>
  <c r="G943"/>
  <c r="F943"/>
  <c r="C943"/>
  <c r="K942"/>
  <c r="J942"/>
  <c r="G942"/>
  <c r="F942"/>
  <c r="C942"/>
  <c r="K941"/>
  <c r="J941"/>
  <c r="G941"/>
  <c r="F941"/>
  <c r="C941"/>
  <c r="K940"/>
  <c r="J940"/>
  <c r="G940"/>
  <c r="F940"/>
  <c r="C940"/>
  <c r="K939"/>
  <c r="J939"/>
  <c r="G939"/>
  <c r="F939"/>
  <c r="C939"/>
  <c r="K938"/>
  <c r="J938"/>
  <c r="G938"/>
  <c r="F938"/>
  <c r="C938"/>
  <c r="K937"/>
  <c r="J937"/>
  <c r="G937"/>
  <c r="F937"/>
  <c r="C937"/>
  <c r="K936"/>
  <c r="J936"/>
  <c r="G936"/>
  <c r="F936"/>
  <c r="C936"/>
  <c r="K935"/>
  <c r="J935"/>
  <c r="G935"/>
  <c r="F935"/>
  <c r="C935"/>
  <c r="K934"/>
  <c r="J934"/>
  <c r="G934"/>
  <c r="F934"/>
  <c r="C934"/>
  <c r="K933"/>
  <c r="J933"/>
  <c r="G933"/>
  <c r="F933"/>
  <c r="C933"/>
  <c r="K932"/>
  <c r="J932"/>
  <c r="G932"/>
  <c r="F932"/>
  <c r="C932"/>
  <c r="K931"/>
  <c r="J931"/>
  <c r="G931"/>
  <c r="F931"/>
  <c r="C931"/>
  <c r="K930"/>
  <c r="J930"/>
  <c r="G930"/>
  <c r="F930"/>
  <c r="C930"/>
  <c r="K929"/>
  <c r="J929"/>
  <c r="G929"/>
  <c r="F929"/>
  <c r="C929"/>
  <c r="K928"/>
  <c r="J928"/>
  <c r="G928"/>
  <c r="F928"/>
  <c r="C928"/>
  <c r="K927"/>
  <c r="J927"/>
  <c r="G927"/>
  <c r="F927"/>
  <c r="C927"/>
  <c r="K926"/>
  <c r="J926"/>
  <c r="G926"/>
  <c r="F926"/>
  <c r="C926"/>
  <c r="K925"/>
  <c r="J925"/>
  <c r="G925"/>
  <c r="F925"/>
  <c r="C925"/>
  <c r="K924"/>
  <c r="J924"/>
  <c r="G924"/>
  <c r="F924"/>
  <c r="C924"/>
  <c r="K923"/>
  <c r="J923"/>
  <c r="G923"/>
  <c r="F923"/>
  <c r="C923"/>
  <c r="K922"/>
  <c r="J922"/>
  <c r="G922"/>
  <c r="F922"/>
  <c r="C922"/>
  <c r="K921"/>
  <c r="J921"/>
  <c r="G921"/>
  <c r="F921"/>
  <c r="C921"/>
  <c r="K920"/>
  <c r="J920"/>
  <c r="G920"/>
  <c r="F920"/>
  <c r="C920"/>
  <c r="K919"/>
  <c r="J919"/>
  <c r="G919"/>
  <c r="F919"/>
  <c r="C919"/>
  <c r="K918"/>
  <c r="J918"/>
  <c r="G918"/>
  <c r="F918"/>
  <c r="C918"/>
  <c r="K917"/>
  <c r="J917"/>
  <c r="G917"/>
  <c r="F917"/>
  <c r="C917"/>
  <c r="K916"/>
  <c r="J916"/>
  <c r="G916"/>
  <c r="F916"/>
  <c r="C916"/>
  <c r="K915"/>
  <c r="J915"/>
  <c r="G915"/>
  <c r="F915"/>
  <c r="C915"/>
  <c r="K914"/>
  <c r="J914"/>
  <c r="G914"/>
  <c r="F914"/>
  <c r="C914"/>
  <c r="K913"/>
  <c r="J913"/>
  <c r="G913"/>
  <c r="F913"/>
  <c r="C913"/>
  <c r="K912"/>
  <c r="J912"/>
  <c r="G912"/>
  <c r="F912"/>
  <c r="C912"/>
  <c r="K911"/>
  <c r="J911"/>
  <c r="G911"/>
  <c r="F911"/>
  <c r="C911"/>
  <c r="K910"/>
  <c r="J910"/>
  <c r="G910"/>
  <c r="F910"/>
  <c r="C910"/>
  <c r="K909"/>
  <c r="J909"/>
  <c r="G909"/>
  <c r="F909"/>
  <c r="C909"/>
  <c r="K908"/>
  <c r="J908"/>
  <c r="G908"/>
  <c r="F908"/>
  <c r="C908"/>
  <c r="K907"/>
  <c r="J907"/>
  <c r="G907"/>
  <c r="F907"/>
  <c r="C907"/>
  <c r="K906"/>
  <c r="J906"/>
  <c r="G906"/>
  <c r="F906"/>
  <c r="C906"/>
  <c r="K905"/>
  <c r="J905"/>
  <c r="G905"/>
  <c r="F905"/>
  <c r="C905"/>
  <c r="K904"/>
  <c r="J904"/>
  <c r="G904"/>
  <c r="F904"/>
  <c r="C904"/>
  <c r="K903"/>
  <c r="J903"/>
  <c r="G903"/>
  <c r="F903"/>
  <c r="C903"/>
  <c r="K902"/>
  <c r="J902"/>
  <c r="G902"/>
  <c r="F902"/>
  <c r="C902"/>
  <c r="K901"/>
  <c r="J901"/>
  <c r="G901"/>
  <c r="F901"/>
  <c r="C901"/>
  <c r="K900"/>
  <c r="J900"/>
  <c r="G900"/>
  <c r="F900"/>
  <c r="C900"/>
  <c r="K899"/>
  <c r="J899"/>
  <c r="G899"/>
  <c r="F899"/>
  <c r="C899"/>
  <c r="K898"/>
  <c r="J898"/>
  <c r="G898"/>
  <c r="F898"/>
  <c r="C898"/>
  <c r="K897"/>
  <c r="J897"/>
  <c r="G897"/>
  <c r="F897"/>
  <c r="C897"/>
  <c r="K896"/>
  <c r="J896"/>
  <c r="G896"/>
  <c r="F896"/>
  <c r="C896"/>
  <c r="K895"/>
  <c r="J895"/>
  <c r="G895"/>
  <c r="F895"/>
  <c r="C895"/>
  <c r="K894"/>
  <c r="J894"/>
  <c r="G894"/>
  <c r="F894"/>
  <c r="C894"/>
  <c r="K893"/>
  <c r="J893"/>
  <c r="G893"/>
  <c r="F893"/>
  <c r="C893"/>
  <c r="K892"/>
  <c r="J892"/>
  <c r="G892"/>
  <c r="F892"/>
  <c r="C892"/>
  <c r="K891"/>
  <c r="J891"/>
  <c r="G891"/>
  <c r="F891"/>
  <c r="C891"/>
  <c r="K890"/>
  <c r="J890"/>
  <c r="G890"/>
  <c r="F890"/>
  <c r="C890"/>
  <c r="K889"/>
  <c r="J889"/>
  <c r="G889"/>
  <c r="F889"/>
  <c r="C889"/>
  <c r="K888"/>
  <c r="J888"/>
  <c r="G888"/>
  <c r="F888"/>
  <c r="C888"/>
  <c r="K887"/>
  <c r="J887"/>
  <c r="G887"/>
  <c r="F887"/>
  <c r="C887"/>
  <c r="K886"/>
  <c r="J886"/>
  <c r="G886"/>
  <c r="F886"/>
  <c r="C886"/>
  <c r="K885"/>
  <c r="J885"/>
  <c r="G885"/>
  <c r="F885"/>
  <c r="C885"/>
  <c r="K884"/>
  <c r="J884"/>
  <c r="G884"/>
  <c r="F884"/>
  <c r="C884"/>
  <c r="K883"/>
  <c r="J883"/>
  <c r="G883"/>
  <c r="F883"/>
  <c r="C883"/>
  <c r="K882"/>
  <c r="J882"/>
  <c r="G882"/>
  <c r="F882"/>
  <c r="C882"/>
  <c r="K881"/>
  <c r="J881"/>
  <c r="G881"/>
  <c r="F881"/>
  <c r="C881"/>
  <c r="K880"/>
  <c r="J880"/>
  <c r="G880"/>
  <c r="F880"/>
  <c r="C880"/>
  <c r="K879"/>
  <c r="J879"/>
  <c r="G879"/>
  <c r="F879"/>
  <c r="C879"/>
  <c r="K878"/>
  <c r="J878"/>
  <c r="G878"/>
  <c r="F878"/>
  <c r="C878"/>
  <c r="K877"/>
  <c r="J877"/>
  <c r="G877"/>
  <c r="F877"/>
  <c r="C877"/>
  <c r="K876"/>
  <c r="J876"/>
  <c r="G876"/>
  <c r="F876"/>
  <c r="C876"/>
  <c r="K875"/>
  <c r="J875"/>
  <c r="G875"/>
  <c r="F875"/>
  <c r="C875"/>
  <c r="K874"/>
  <c r="J874"/>
  <c r="G874"/>
  <c r="F874"/>
  <c r="C874"/>
  <c r="K873"/>
  <c r="J873"/>
  <c r="G873"/>
  <c r="F873"/>
  <c r="C873"/>
  <c r="K872"/>
  <c r="J872"/>
  <c r="G872"/>
  <c r="F872"/>
  <c r="C872"/>
  <c r="K871"/>
  <c r="J871"/>
  <c r="G871"/>
  <c r="F871"/>
  <c r="C871"/>
  <c r="K870"/>
  <c r="J870"/>
  <c r="G870"/>
  <c r="F870"/>
  <c r="C870"/>
  <c r="K869"/>
  <c r="J869"/>
  <c r="G869"/>
  <c r="F869"/>
  <c r="C869"/>
  <c r="K868"/>
  <c r="J868"/>
  <c r="G868"/>
  <c r="F868"/>
  <c r="C868"/>
  <c r="K867"/>
  <c r="J867"/>
  <c r="G867"/>
  <c r="F867"/>
  <c r="C867"/>
  <c r="K866"/>
  <c r="J866"/>
  <c r="G866"/>
  <c r="F866"/>
  <c r="C866"/>
  <c r="K865"/>
  <c r="J865"/>
  <c r="G865"/>
  <c r="F865"/>
  <c r="C865"/>
  <c r="K864"/>
  <c r="J864"/>
  <c r="G864"/>
  <c r="F864"/>
  <c r="C864"/>
  <c r="K863"/>
  <c r="J863"/>
  <c r="G863"/>
  <c r="F863"/>
  <c r="C863"/>
  <c r="K862"/>
  <c r="J862"/>
  <c r="G862"/>
  <c r="F862"/>
  <c r="C862"/>
  <c r="K861"/>
  <c r="J861"/>
  <c r="G861"/>
  <c r="F861"/>
  <c r="C861"/>
  <c r="K860"/>
  <c r="J860"/>
  <c r="G860"/>
  <c r="F860"/>
  <c r="C860"/>
  <c r="K859"/>
  <c r="J859"/>
  <c r="G859"/>
  <c r="F859"/>
  <c r="C859"/>
  <c r="K858"/>
  <c r="J858"/>
  <c r="G858"/>
  <c r="F858"/>
  <c r="C858"/>
  <c r="K857"/>
  <c r="J857"/>
  <c r="G857"/>
  <c r="F857"/>
  <c r="C857"/>
  <c r="K856"/>
  <c r="J856"/>
  <c r="G856"/>
  <c r="F856"/>
  <c r="C856"/>
  <c r="K855"/>
  <c r="J855"/>
  <c r="G855"/>
  <c r="F855"/>
  <c r="C855"/>
  <c r="K854"/>
  <c r="J854"/>
  <c r="G854"/>
  <c r="F854"/>
  <c r="C854"/>
  <c r="K853"/>
  <c r="J853"/>
  <c r="G853"/>
  <c r="F853"/>
  <c r="C853"/>
  <c r="K852"/>
  <c r="J852"/>
  <c r="G852"/>
  <c r="F852"/>
  <c r="C852"/>
  <c r="K851"/>
  <c r="J851"/>
  <c r="G851"/>
  <c r="F851"/>
  <c r="C851"/>
  <c r="K850"/>
  <c r="J850"/>
  <c r="G850"/>
  <c r="F850"/>
  <c r="C850"/>
  <c r="K849"/>
  <c r="J849"/>
  <c r="G849"/>
  <c r="F849"/>
  <c r="C849"/>
  <c r="K848"/>
  <c r="J848"/>
  <c r="G848"/>
  <c r="F848"/>
  <c r="C848"/>
  <c r="K847"/>
  <c r="J847"/>
  <c r="G847"/>
  <c r="F847"/>
  <c r="C847"/>
  <c r="K846"/>
  <c r="J846"/>
  <c r="G846"/>
  <c r="F846"/>
  <c r="C846"/>
  <c r="K845"/>
  <c r="J845"/>
  <c r="G845"/>
  <c r="F845"/>
  <c r="C845"/>
  <c r="K844"/>
  <c r="J844"/>
  <c r="G844"/>
  <c r="F844"/>
  <c r="C844"/>
  <c r="K843"/>
  <c r="J843"/>
  <c r="G843"/>
  <c r="F843"/>
  <c r="C843"/>
  <c r="K842"/>
  <c r="J842"/>
  <c r="G842"/>
  <c r="F842"/>
  <c r="C842"/>
  <c r="K841"/>
  <c r="J841"/>
  <c r="G841"/>
  <c r="F841"/>
  <c r="C841"/>
  <c r="K840"/>
  <c r="J840"/>
  <c r="G840"/>
  <c r="F840"/>
  <c r="C840"/>
  <c r="K839"/>
  <c r="J839"/>
  <c r="G839"/>
  <c r="F839"/>
  <c r="C839"/>
  <c r="K838"/>
  <c r="J838"/>
  <c r="G838"/>
  <c r="F838"/>
  <c r="C838"/>
  <c r="K837"/>
  <c r="J837"/>
  <c r="G837"/>
  <c r="F837"/>
  <c r="C837"/>
  <c r="K836"/>
  <c r="J836"/>
  <c r="G836"/>
  <c r="F836"/>
  <c r="C836"/>
  <c r="K835"/>
  <c r="J835"/>
  <c r="G835"/>
  <c r="F835"/>
  <c r="C835"/>
  <c r="K834"/>
  <c r="J834"/>
  <c r="G834"/>
  <c r="F834"/>
  <c r="C834"/>
  <c r="K833"/>
  <c r="J833"/>
  <c r="G833"/>
  <c r="F833"/>
  <c r="C833"/>
  <c r="K832"/>
  <c r="J832"/>
  <c r="G832"/>
  <c r="F832"/>
  <c r="C832"/>
  <c r="K831"/>
  <c r="J831"/>
  <c r="G831"/>
  <c r="F831"/>
  <c r="C831"/>
  <c r="K830"/>
  <c r="J830"/>
  <c r="G830"/>
  <c r="F830"/>
  <c r="C830"/>
  <c r="K829"/>
  <c r="J829"/>
  <c r="G829"/>
  <c r="F829"/>
  <c r="C829"/>
  <c r="K828"/>
  <c r="J828"/>
  <c r="G828"/>
  <c r="F828"/>
  <c r="C828"/>
  <c r="K827"/>
  <c r="J827"/>
  <c r="G827"/>
  <c r="F827"/>
  <c r="C827"/>
  <c r="K826"/>
  <c r="J826"/>
  <c r="G826"/>
  <c r="F826"/>
  <c r="C826"/>
  <c r="K825"/>
  <c r="J825"/>
  <c r="G825"/>
  <c r="F825"/>
  <c r="C825"/>
  <c r="K824"/>
  <c r="J824"/>
  <c r="G824"/>
  <c r="F824"/>
  <c r="C824"/>
  <c r="K823"/>
  <c r="J823"/>
  <c r="G823"/>
  <c r="F823"/>
  <c r="C823"/>
  <c r="K822"/>
  <c r="J822"/>
  <c r="G822"/>
  <c r="F822"/>
  <c r="C822"/>
  <c r="K821"/>
  <c r="J821"/>
  <c r="G821"/>
  <c r="F821"/>
  <c r="C821"/>
  <c r="K820"/>
  <c r="J820"/>
  <c r="G820"/>
  <c r="F820"/>
  <c r="C820"/>
  <c r="K819"/>
  <c r="J819"/>
  <c r="G819"/>
  <c r="F819"/>
  <c r="C819"/>
  <c r="K818"/>
  <c r="J818"/>
  <c r="G818"/>
  <c r="F818"/>
  <c r="C818"/>
  <c r="K817"/>
  <c r="J817"/>
  <c r="G817"/>
  <c r="F817"/>
  <c r="C817"/>
  <c r="K816"/>
  <c r="J816"/>
  <c r="G816"/>
  <c r="F816"/>
  <c r="C816"/>
  <c r="K815"/>
  <c r="J815"/>
  <c r="G815"/>
  <c r="F815"/>
  <c r="C815"/>
  <c r="K814"/>
  <c r="J814"/>
  <c r="G814"/>
  <c r="F814"/>
  <c r="C814"/>
  <c r="K813"/>
  <c r="J813"/>
  <c r="G813"/>
  <c r="F813"/>
  <c r="C813"/>
  <c r="K812"/>
  <c r="J812"/>
  <c r="G812"/>
  <c r="F812"/>
  <c r="C812"/>
  <c r="K811"/>
  <c r="J811"/>
  <c r="G811"/>
  <c r="F811"/>
  <c r="C811"/>
  <c r="K810"/>
  <c r="J810"/>
  <c r="G810"/>
  <c r="F810"/>
  <c r="C810"/>
  <c r="K809"/>
  <c r="J809"/>
  <c r="G809"/>
  <c r="F809"/>
  <c r="C809"/>
  <c r="K808"/>
  <c r="J808"/>
  <c r="G808"/>
  <c r="F808"/>
  <c r="C808"/>
  <c r="K807"/>
  <c r="J807"/>
  <c r="G807"/>
  <c r="F807"/>
  <c r="C807"/>
  <c r="K806"/>
  <c r="J806"/>
  <c r="G806"/>
  <c r="F806"/>
  <c r="C806"/>
  <c r="K805"/>
  <c r="J805"/>
  <c r="G805"/>
  <c r="F805"/>
  <c r="C805"/>
  <c r="K804"/>
  <c r="J804"/>
  <c r="G804"/>
  <c r="F804"/>
  <c r="C804"/>
  <c r="K803"/>
  <c r="J803"/>
  <c r="G803"/>
  <c r="F803"/>
  <c r="C803"/>
  <c r="K802"/>
  <c r="J802"/>
  <c r="G802"/>
  <c r="F802"/>
  <c r="C802"/>
  <c r="K801"/>
  <c r="J801"/>
  <c r="G801"/>
  <c r="F801"/>
  <c r="C801"/>
  <c r="K800"/>
  <c r="J800"/>
  <c r="G800"/>
  <c r="F800"/>
  <c r="C800"/>
  <c r="K799"/>
  <c r="J799"/>
  <c r="G799"/>
  <c r="F799"/>
  <c r="C799"/>
  <c r="K798"/>
  <c r="J798"/>
  <c r="G798"/>
  <c r="F798"/>
  <c r="C798"/>
  <c r="K797"/>
  <c r="J797"/>
  <c r="G797"/>
  <c r="F797"/>
  <c r="C797"/>
  <c r="K796"/>
  <c r="J796"/>
  <c r="G796"/>
  <c r="F796"/>
  <c r="C796"/>
  <c r="K795"/>
  <c r="J795"/>
  <c r="G795"/>
  <c r="F795"/>
  <c r="C795"/>
  <c r="K794"/>
  <c r="J794"/>
  <c r="G794"/>
  <c r="F794"/>
  <c r="C794"/>
  <c r="K793"/>
  <c r="J793"/>
  <c r="G793"/>
  <c r="F793"/>
  <c r="C793"/>
  <c r="K792"/>
  <c r="J792"/>
  <c r="G792"/>
  <c r="F792"/>
  <c r="C792"/>
  <c r="K791"/>
  <c r="J791"/>
  <c r="G791"/>
  <c r="F791"/>
  <c r="C791"/>
  <c r="K790"/>
  <c r="J790"/>
  <c r="G790"/>
  <c r="F790"/>
  <c r="C790"/>
  <c r="K789"/>
  <c r="J789"/>
  <c r="G789"/>
  <c r="F789"/>
  <c r="C789"/>
  <c r="K788"/>
  <c r="J788"/>
  <c r="G788"/>
  <c r="F788"/>
  <c r="C788"/>
  <c r="K787"/>
  <c r="J787"/>
  <c r="G787"/>
  <c r="F787"/>
  <c r="C787"/>
  <c r="K786"/>
  <c r="J786"/>
  <c r="G786"/>
  <c r="F786"/>
  <c r="C786"/>
  <c r="K785"/>
  <c r="J785"/>
  <c r="G785"/>
  <c r="F785"/>
  <c r="C785"/>
  <c r="K784"/>
  <c r="J784"/>
  <c r="G784"/>
  <c r="F784"/>
  <c r="C784"/>
  <c r="K783"/>
  <c r="J783"/>
  <c r="G783"/>
  <c r="F783"/>
  <c r="C783"/>
  <c r="K782"/>
  <c r="J782"/>
  <c r="G782"/>
  <c r="F782"/>
  <c r="C782"/>
  <c r="K781"/>
  <c r="J781"/>
  <c r="G781"/>
  <c r="F781"/>
  <c r="C781"/>
  <c r="K780"/>
  <c r="J780"/>
  <c r="G780"/>
  <c r="F780"/>
  <c r="C780"/>
  <c r="K779"/>
  <c r="J779"/>
  <c r="G779"/>
  <c r="F779"/>
  <c r="C779"/>
  <c r="K778"/>
  <c r="J778"/>
  <c r="G778"/>
  <c r="F778"/>
  <c r="C778"/>
  <c r="K777"/>
  <c r="J777"/>
  <c r="G777"/>
  <c r="F777"/>
  <c r="C777"/>
  <c r="K776"/>
  <c r="J776"/>
  <c r="G776"/>
  <c r="F776"/>
  <c r="C776"/>
  <c r="K775"/>
  <c r="J775"/>
  <c r="G775"/>
  <c r="F775"/>
  <c r="C775"/>
  <c r="K774"/>
  <c r="J774"/>
  <c r="G774"/>
  <c r="F774"/>
  <c r="C774"/>
  <c r="K773"/>
  <c r="J773"/>
  <c r="G773"/>
  <c r="F773"/>
  <c r="C773"/>
  <c r="K772"/>
  <c r="J772"/>
  <c r="G772"/>
  <c r="F772"/>
  <c r="C772"/>
  <c r="K771"/>
  <c r="J771"/>
  <c r="G771"/>
  <c r="F771"/>
  <c r="C771"/>
  <c r="K770"/>
  <c r="J770"/>
  <c r="G770"/>
  <c r="F770"/>
  <c r="C770"/>
  <c r="K769"/>
  <c r="J769"/>
  <c r="G769"/>
  <c r="F769"/>
  <c r="C769"/>
  <c r="K768"/>
  <c r="J768"/>
  <c r="G768"/>
  <c r="F768"/>
  <c r="C768"/>
  <c r="K767"/>
  <c r="J767"/>
  <c r="G767"/>
  <c r="F767"/>
  <c r="C767"/>
  <c r="K766"/>
  <c r="J766"/>
  <c r="G766"/>
  <c r="F766"/>
  <c r="C766"/>
  <c r="K765"/>
  <c r="J765"/>
  <c r="G765"/>
  <c r="F765"/>
  <c r="C765"/>
  <c r="K764"/>
  <c r="J764"/>
  <c r="G764"/>
  <c r="F764"/>
  <c r="C764"/>
  <c r="K763"/>
  <c r="J763"/>
  <c r="G763"/>
  <c r="F763"/>
  <c r="C763"/>
  <c r="K762"/>
  <c r="J762"/>
  <c r="G762"/>
  <c r="F762"/>
  <c r="C762"/>
  <c r="K761"/>
  <c r="J761"/>
  <c r="G761"/>
  <c r="F761"/>
  <c r="C761"/>
  <c r="K760"/>
  <c r="J760"/>
  <c r="G760"/>
  <c r="F760"/>
  <c r="C760"/>
  <c r="K759"/>
  <c r="J759"/>
  <c r="G759"/>
  <c r="F759"/>
  <c r="C759"/>
  <c r="K758"/>
  <c r="J758"/>
  <c r="G758"/>
  <c r="F758"/>
  <c r="C758"/>
  <c r="K757"/>
  <c r="J757"/>
  <c r="G757"/>
  <c r="F757"/>
  <c r="C757"/>
  <c r="K756"/>
  <c r="J756"/>
  <c r="G756"/>
  <c r="F756"/>
  <c r="C756"/>
  <c r="K755"/>
  <c r="J755"/>
  <c r="G755"/>
  <c r="F755"/>
  <c r="C755"/>
  <c r="K754"/>
  <c r="J754"/>
  <c r="G754"/>
  <c r="F754"/>
  <c r="C754"/>
  <c r="K753"/>
  <c r="J753"/>
  <c r="G753"/>
  <c r="F753"/>
  <c r="C753"/>
  <c r="K752"/>
  <c r="J752"/>
  <c r="G752"/>
  <c r="F752"/>
  <c r="C752"/>
  <c r="K751"/>
  <c r="J751"/>
  <c r="G751"/>
  <c r="F751"/>
  <c r="C751"/>
  <c r="K750"/>
  <c r="J750"/>
  <c r="G750"/>
  <c r="F750"/>
  <c r="C750"/>
  <c r="K749"/>
  <c r="J749"/>
  <c r="G749"/>
  <c r="F749"/>
  <c r="C749"/>
  <c r="K748"/>
  <c r="J748"/>
  <c r="G748"/>
  <c r="F748"/>
  <c r="C748"/>
  <c r="K747"/>
  <c r="J747"/>
  <c r="G747"/>
  <c r="F747"/>
  <c r="C747"/>
  <c r="K746"/>
  <c r="J746"/>
  <c r="G746"/>
  <c r="F746"/>
  <c r="C746"/>
  <c r="K745"/>
  <c r="J745"/>
  <c r="G745"/>
  <c r="F745"/>
  <c r="C745"/>
  <c r="K744"/>
  <c r="J744"/>
  <c r="G744"/>
  <c r="F744"/>
  <c r="C744"/>
  <c r="K743"/>
  <c r="J743"/>
  <c r="G743"/>
  <c r="F743"/>
  <c r="C743"/>
  <c r="K742"/>
  <c r="J742"/>
  <c r="G742"/>
  <c r="F742"/>
  <c r="C742"/>
  <c r="K741"/>
  <c r="J741"/>
  <c r="G741"/>
  <c r="F741"/>
  <c r="C741"/>
  <c r="K740"/>
  <c r="J740"/>
  <c r="G740"/>
  <c r="F740"/>
  <c r="C740"/>
  <c r="K739"/>
  <c r="J739"/>
  <c r="G739"/>
  <c r="F739"/>
  <c r="C739"/>
  <c r="K738"/>
  <c r="J738"/>
  <c r="G738"/>
  <c r="F738"/>
  <c r="C738"/>
  <c r="K737"/>
  <c r="J737"/>
  <c r="G737"/>
  <c r="F737"/>
  <c r="C737"/>
  <c r="K736"/>
  <c r="J736"/>
  <c r="G736"/>
  <c r="F736"/>
  <c r="C736"/>
  <c r="K735"/>
  <c r="J735"/>
  <c r="G735"/>
  <c r="F735"/>
  <c r="C735"/>
  <c r="K734"/>
  <c r="J734"/>
  <c r="G734"/>
  <c r="F734"/>
  <c r="C734"/>
  <c r="K733"/>
  <c r="J733"/>
  <c r="G733"/>
  <c r="F733"/>
  <c r="C733"/>
  <c r="K732"/>
  <c r="J732"/>
  <c r="G732"/>
  <c r="F732"/>
  <c r="C732"/>
  <c r="K731"/>
  <c r="J731"/>
  <c r="G731"/>
  <c r="F731"/>
  <c r="C731"/>
  <c r="K730"/>
  <c r="J730"/>
  <c r="G730"/>
  <c r="F730"/>
  <c r="C730"/>
  <c r="K729"/>
  <c r="J729"/>
  <c r="G729"/>
  <c r="F729"/>
  <c r="C729"/>
  <c r="K728"/>
  <c r="J728"/>
  <c r="G728"/>
  <c r="F728"/>
  <c r="C728"/>
  <c r="K727"/>
  <c r="J727"/>
  <c r="G727"/>
  <c r="F727"/>
  <c r="C727"/>
  <c r="K726"/>
  <c r="J726"/>
  <c r="G726"/>
  <c r="F726"/>
  <c r="C726"/>
  <c r="K725"/>
  <c r="J725"/>
  <c r="G725"/>
  <c r="F725"/>
  <c r="C725"/>
  <c r="K724"/>
  <c r="J724"/>
  <c r="G724"/>
  <c r="F724"/>
  <c r="C724"/>
  <c r="K723"/>
  <c r="J723"/>
  <c r="G723"/>
  <c r="F723"/>
  <c r="C723"/>
  <c r="K722"/>
  <c r="J722"/>
  <c r="G722"/>
  <c r="F722"/>
  <c r="C722"/>
  <c r="K721"/>
  <c r="J721"/>
  <c r="G721"/>
  <c r="F721"/>
  <c r="C721"/>
  <c r="K720"/>
  <c r="J720"/>
  <c r="G720"/>
  <c r="F720"/>
  <c r="C720"/>
  <c r="K719"/>
  <c r="J719"/>
  <c r="G719"/>
  <c r="F719"/>
  <c r="C719"/>
  <c r="K718"/>
  <c r="J718"/>
  <c r="G718"/>
  <c r="F718"/>
  <c r="C718"/>
  <c r="K717"/>
  <c r="J717"/>
  <c r="G717"/>
  <c r="F717"/>
  <c r="C717"/>
  <c r="K716"/>
  <c r="J716"/>
  <c r="G716"/>
  <c r="F716"/>
  <c r="C716"/>
  <c r="K715"/>
  <c r="J715"/>
  <c r="G715"/>
  <c r="F715"/>
  <c r="C715"/>
  <c r="K714"/>
  <c r="J714"/>
  <c r="G714"/>
  <c r="F714"/>
  <c r="C714"/>
  <c r="K713"/>
  <c r="J713"/>
  <c r="G713"/>
  <c r="F713"/>
  <c r="C713"/>
  <c r="K712"/>
  <c r="J712"/>
  <c r="G712"/>
  <c r="F712"/>
  <c r="C712"/>
  <c r="K711"/>
  <c r="J711"/>
  <c r="G711"/>
  <c r="F711"/>
  <c r="C711"/>
  <c r="K710"/>
  <c r="J710"/>
  <c r="G710"/>
  <c r="F710"/>
  <c r="C710"/>
  <c r="K709"/>
  <c r="J709"/>
  <c r="G709"/>
  <c r="F709"/>
  <c r="C709"/>
  <c r="K708"/>
  <c r="J708"/>
  <c r="G708"/>
  <c r="F708"/>
  <c r="C708"/>
  <c r="K707"/>
  <c r="J707"/>
  <c r="G707"/>
  <c r="F707"/>
  <c r="C707"/>
  <c r="K706"/>
  <c r="J706"/>
  <c r="G706"/>
  <c r="F706"/>
  <c r="C706"/>
  <c r="K705"/>
  <c r="J705"/>
  <c r="G705"/>
  <c r="F705"/>
  <c r="C705"/>
  <c r="K704"/>
  <c r="J704"/>
  <c r="G704"/>
  <c r="F704"/>
  <c r="C704"/>
  <c r="K703"/>
  <c r="J703"/>
  <c r="G703"/>
  <c r="F703"/>
  <c r="C703"/>
  <c r="K702"/>
  <c r="J702"/>
  <c r="G702"/>
  <c r="F702"/>
  <c r="C702"/>
  <c r="K701"/>
  <c r="J701"/>
  <c r="G701"/>
  <c r="F701"/>
  <c r="C701"/>
  <c r="K700"/>
  <c r="J700"/>
  <c r="G700"/>
  <c r="F700"/>
  <c r="C700"/>
  <c r="K699"/>
  <c r="J699"/>
  <c r="G699"/>
  <c r="F699"/>
  <c r="C699"/>
  <c r="K698"/>
  <c r="J698"/>
  <c r="G698"/>
  <c r="F698"/>
  <c r="C698"/>
  <c r="K697"/>
  <c r="J697"/>
  <c r="G697"/>
  <c r="F697"/>
  <c r="C697"/>
  <c r="K696"/>
  <c r="J696"/>
  <c r="G696"/>
  <c r="F696"/>
  <c r="C696"/>
  <c r="K695"/>
  <c r="J695"/>
  <c r="G695"/>
  <c r="F695"/>
  <c r="C695"/>
  <c r="K694"/>
  <c r="J694"/>
  <c r="G694"/>
  <c r="F694"/>
  <c r="C694"/>
  <c r="K693"/>
  <c r="J693"/>
  <c r="G693"/>
  <c r="F693"/>
  <c r="C693"/>
  <c r="K692"/>
  <c r="J692"/>
  <c r="G692"/>
  <c r="F692"/>
  <c r="C692"/>
  <c r="K691"/>
  <c r="J691"/>
  <c r="G691"/>
  <c r="F691"/>
  <c r="C691"/>
  <c r="K690"/>
  <c r="J690"/>
  <c r="G690"/>
  <c r="F690"/>
  <c r="C690"/>
  <c r="K689"/>
  <c r="J689"/>
  <c r="G689"/>
  <c r="F689"/>
  <c r="C689"/>
  <c r="K688"/>
  <c r="J688"/>
  <c r="G688"/>
  <c r="F688"/>
  <c r="C688"/>
  <c r="K687"/>
  <c r="J687"/>
  <c r="G687"/>
  <c r="F687"/>
  <c r="C687"/>
  <c r="K686"/>
  <c r="J686"/>
  <c r="G686"/>
  <c r="F686"/>
  <c r="C686"/>
  <c r="K685"/>
  <c r="J685"/>
  <c r="G685"/>
  <c r="F685"/>
  <c r="C685"/>
  <c r="K684"/>
  <c r="J684"/>
  <c r="G684"/>
  <c r="F684"/>
  <c r="C684"/>
  <c r="K683"/>
  <c r="J683"/>
  <c r="G683"/>
  <c r="F683"/>
  <c r="C683"/>
  <c r="K682"/>
  <c r="J682"/>
  <c r="G682"/>
  <c r="F682"/>
  <c r="C682"/>
  <c r="K681"/>
  <c r="J681"/>
  <c r="G681"/>
  <c r="F681"/>
  <c r="C681"/>
  <c r="K680"/>
  <c r="J680"/>
  <c r="G680"/>
  <c r="F680"/>
  <c r="C680"/>
  <c r="K679"/>
  <c r="J679"/>
  <c r="G679"/>
  <c r="F679"/>
  <c r="C679"/>
  <c r="K678"/>
  <c r="J678"/>
  <c r="G678"/>
  <c r="F678"/>
  <c r="C678"/>
  <c r="K677"/>
  <c r="J677"/>
  <c r="G677"/>
  <c r="F677"/>
  <c r="C677"/>
  <c r="K676"/>
  <c r="J676"/>
  <c r="G676"/>
  <c r="F676"/>
  <c r="C676"/>
  <c r="K675"/>
  <c r="J675"/>
  <c r="G675"/>
  <c r="F675"/>
  <c r="C675"/>
  <c r="K674"/>
  <c r="J674"/>
  <c r="G674"/>
  <c r="F674"/>
  <c r="C674"/>
  <c r="K673"/>
  <c r="J673"/>
  <c r="G673"/>
  <c r="F673"/>
  <c r="C673"/>
  <c r="K672"/>
  <c r="J672"/>
  <c r="G672"/>
  <c r="F672"/>
  <c r="C672"/>
  <c r="K671"/>
  <c r="J671"/>
  <c r="G671"/>
  <c r="F671"/>
  <c r="C671"/>
  <c r="K670"/>
  <c r="J670"/>
  <c r="G670"/>
  <c r="F670"/>
  <c r="C670"/>
  <c r="K669"/>
  <c r="J669"/>
  <c r="G669"/>
  <c r="F669"/>
  <c r="C669"/>
  <c r="K668"/>
  <c r="J668"/>
  <c r="G668"/>
  <c r="F668"/>
  <c r="C668"/>
  <c r="K667"/>
  <c r="J667"/>
  <c r="G667"/>
  <c r="F667"/>
  <c r="C667"/>
  <c r="K666"/>
  <c r="J666"/>
  <c r="G666"/>
  <c r="F666"/>
  <c r="C666"/>
  <c r="K665"/>
  <c r="J665"/>
  <c r="G665"/>
  <c r="F665"/>
  <c r="C665"/>
  <c r="K664"/>
  <c r="J664"/>
  <c r="G664"/>
  <c r="F664"/>
  <c r="C664"/>
  <c r="K663"/>
  <c r="J663"/>
  <c r="G663"/>
  <c r="F663"/>
  <c r="C663"/>
  <c r="K662"/>
  <c r="J662"/>
  <c r="G662"/>
  <c r="F662"/>
  <c r="C662"/>
  <c r="K661"/>
  <c r="J661"/>
  <c r="G661"/>
  <c r="F661"/>
  <c r="C661"/>
  <c r="K660"/>
  <c r="J660"/>
  <c r="G660"/>
  <c r="F660"/>
  <c r="C660"/>
  <c r="K659"/>
  <c r="J659"/>
  <c r="G659"/>
  <c r="F659"/>
  <c r="C659"/>
  <c r="K658"/>
  <c r="J658"/>
  <c r="G658"/>
  <c r="F658"/>
  <c r="C658"/>
  <c r="K657"/>
  <c r="J657"/>
  <c r="G657"/>
  <c r="F657"/>
  <c r="C657"/>
  <c r="K656"/>
  <c r="J656"/>
  <c r="G656"/>
  <c r="F656"/>
  <c r="C656"/>
  <c r="K655"/>
  <c r="J655"/>
  <c r="G655"/>
  <c r="F655"/>
  <c r="C655"/>
  <c r="K654"/>
  <c r="J654"/>
  <c r="G654"/>
  <c r="F654"/>
  <c r="C654"/>
  <c r="K653"/>
  <c r="J653"/>
  <c r="G653"/>
  <c r="F653"/>
  <c r="C653"/>
  <c r="K652"/>
  <c r="J652"/>
  <c r="G652"/>
  <c r="F652"/>
  <c r="C652"/>
  <c r="K651"/>
  <c r="J651"/>
  <c r="G651"/>
  <c r="F651"/>
  <c r="C651"/>
  <c r="K650"/>
  <c r="J650"/>
  <c r="G650"/>
  <c r="F650"/>
  <c r="C650"/>
  <c r="K649"/>
  <c r="J649"/>
  <c r="G649"/>
  <c r="F649"/>
  <c r="C649"/>
  <c r="K648"/>
  <c r="J648"/>
  <c r="G648"/>
  <c r="F648"/>
  <c r="C648"/>
  <c r="K647"/>
  <c r="J647"/>
  <c r="G647"/>
  <c r="F647"/>
  <c r="C647"/>
  <c r="K646"/>
  <c r="J646"/>
  <c r="G646"/>
  <c r="F646"/>
  <c r="C646"/>
  <c r="K645"/>
  <c r="J645"/>
  <c r="G645"/>
  <c r="F645"/>
  <c r="C645"/>
  <c r="K644"/>
  <c r="J644"/>
  <c r="G644"/>
  <c r="F644"/>
  <c r="C644"/>
  <c r="K643"/>
  <c r="J643"/>
  <c r="G643"/>
  <c r="F643"/>
  <c r="C643"/>
  <c r="K642"/>
  <c r="J642"/>
  <c r="G642"/>
  <c r="F642"/>
  <c r="C642"/>
  <c r="K641"/>
  <c r="J641"/>
  <c r="G641"/>
  <c r="F641"/>
  <c r="C641"/>
  <c r="K640"/>
  <c r="J640"/>
  <c r="G640"/>
  <c r="F640"/>
  <c r="C640"/>
  <c r="K639"/>
  <c r="J639"/>
  <c r="G639"/>
  <c r="F639"/>
  <c r="C639"/>
  <c r="K638"/>
  <c r="J638"/>
  <c r="G638"/>
  <c r="F638"/>
  <c r="C638"/>
  <c r="K637"/>
  <c r="J637"/>
  <c r="G637"/>
  <c r="F637"/>
  <c r="C637"/>
  <c r="K636"/>
  <c r="J636"/>
  <c r="G636"/>
  <c r="F636"/>
  <c r="C636"/>
  <c r="K635"/>
  <c r="J635"/>
  <c r="G635"/>
  <c r="F635"/>
  <c r="C635"/>
  <c r="K634"/>
  <c r="J634"/>
  <c r="G634"/>
  <c r="F634"/>
  <c r="C634"/>
  <c r="K633"/>
  <c r="J633"/>
  <c r="G633"/>
  <c r="F633"/>
  <c r="C633"/>
  <c r="K632"/>
  <c r="J632"/>
  <c r="G632"/>
  <c r="F632"/>
  <c r="C632"/>
  <c r="K631"/>
  <c r="J631"/>
  <c r="G631"/>
  <c r="F631"/>
  <c r="C631"/>
  <c r="K630"/>
  <c r="J630"/>
  <c r="G630"/>
  <c r="F630"/>
  <c r="C630"/>
  <c r="K629"/>
  <c r="J629"/>
  <c r="G629"/>
  <c r="F629"/>
  <c r="C629"/>
  <c r="K628"/>
  <c r="J628"/>
  <c r="G628"/>
  <c r="F628"/>
  <c r="C628"/>
  <c r="K627"/>
  <c r="J627"/>
  <c r="G627"/>
  <c r="F627"/>
  <c r="C627"/>
  <c r="K626"/>
  <c r="J626"/>
  <c r="G626"/>
  <c r="F626"/>
  <c r="C626"/>
  <c r="K625"/>
  <c r="J625"/>
  <c r="G625"/>
  <c r="F625"/>
  <c r="C625"/>
  <c r="K624"/>
  <c r="J624"/>
  <c r="G624"/>
  <c r="F624"/>
  <c r="C624"/>
  <c r="K623"/>
  <c r="J623"/>
  <c r="G623"/>
  <c r="F623"/>
  <c r="C623"/>
  <c r="K622"/>
  <c r="J622"/>
  <c r="G622"/>
  <c r="F622"/>
  <c r="C622"/>
  <c r="K621"/>
  <c r="J621"/>
  <c r="G621"/>
  <c r="F621"/>
  <c r="C621"/>
  <c r="K620"/>
  <c r="J620"/>
  <c r="G620"/>
  <c r="F620"/>
  <c r="C620"/>
  <c r="K619"/>
  <c r="J619"/>
  <c r="G619"/>
  <c r="F619"/>
  <c r="C619"/>
  <c r="K618"/>
  <c r="J618"/>
  <c r="G618"/>
  <c r="F618"/>
  <c r="C618"/>
  <c r="K617"/>
  <c r="J617"/>
  <c r="G617"/>
  <c r="F617"/>
  <c r="C617"/>
  <c r="K616"/>
  <c r="J616"/>
  <c r="G616"/>
  <c r="F616"/>
  <c r="C616"/>
  <c r="K615"/>
  <c r="J615"/>
  <c r="G615"/>
  <c r="F615"/>
  <c r="C615"/>
  <c r="K614"/>
  <c r="J614"/>
  <c r="G614"/>
  <c r="F614"/>
  <c r="C614"/>
  <c r="K613"/>
  <c r="J613"/>
  <c r="G613"/>
  <c r="F613"/>
  <c r="C613"/>
  <c r="K612"/>
  <c r="J612"/>
  <c r="G612"/>
  <c r="F612"/>
  <c r="C612"/>
  <c r="K611"/>
  <c r="J611"/>
  <c r="G611"/>
  <c r="F611"/>
  <c r="C611"/>
  <c r="K610"/>
  <c r="J610"/>
  <c r="G610"/>
  <c r="F610"/>
  <c r="C610"/>
  <c r="K609"/>
  <c r="J609"/>
  <c r="G609"/>
  <c r="F609"/>
  <c r="C609"/>
  <c r="K608"/>
  <c r="J608"/>
  <c r="G608"/>
  <c r="F608"/>
  <c r="C608"/>
  <c r="K607"/>
  <c r="J607"/>
  <c r="G607"/>
  <c r="F607"/>
  <c r="C607"/>
  <c r="K606"/>
  <c r="J606"/>
  <c r="G606"/>
  <c r="F606"/>
  <c r="C606"/>
  <c r="K605"/>
  <c r="J605"/>
  <c r="G605"/>
  <c r="F605"/>
  <c r="C605"/>
  <c r="K604"/>
  <c r="J604"/>
  <c r="G604"/>
  <c r="F604"/>
  <c r="C604"/>
  <c r="K603"/>
  <c r="J603"/>
  <c r="G603"/>
  <c r="F603"/>
  <c r="C603"/>
  <c r="K602"/>
  <c r="J602"/>
  <c r="G602"/>
  <c r="F602"/>
  <c r="C602"/>
  <c r="K601"/>
  <c r="J601"/>
  <c r="G601"/>
  <c r="F601"/>
  <c r="C601"/>
  <c r="K600"/>
  <c r="J600"/>
  <c r="G600"/>
  <c r="F600"/>
  <c r="C600"/>
  <c r="K599"/>
  <c r="J599"/>
  <c r="G599"/>
  <c r="F599"/>
  <c r="C599"/>
  <c r="K598"/>
  <c r="J598"/>
  <c r="G598"/>
  <c r="F598"/>
  <c r="C598"/>
  <c r="K597"/>
  <c r="J597"/>
  <c r="G597"/>
  <c r="F597"/>
  <c r="C597"/>
  <c r="K596"/>
  <c r="J596"/>
  <c r="G596"/>
  <c r="F596"/>
  <c r="C596"/>
  <c r="K595"/>
  <c r="J595"/>
  <c r="G595"/>
  <c r="F595"/>
  <c r="C595"/>
  <c r="K594"/>
  <c r="J594"/>
  <c r="G594"/>
  <c r="F594"/>
  <c r="C594"/>
  <c r="K593"/>
  <c r="J593"/>
  <c r="G593"/>
  <c r="F593"/>
  <c r="C593"/>
  <c r="K592"/>
  <c r="J592"/>
  <c r="G592"/>
  <c r="F592"/>
  <c r="C592"/>
  <c r="K591"/>
  <c r="J591"/>
  <c r="G591"/>
  <c r="F591"/>
  <c r="C591"/>
  <c r="K590"/>
  <c r="J590"/>
  <c r="G590"/>
  <c r="F590"/>
  <c r="C590"/>
  <c r="K589"/>
  <c r="J589"/>
  <c r="G589"/>
  <c r="F589"/>
  <c r="C589"/>
  <c r="K588"/>
  <c r="J588"/>
  <c r="G588"/>
  <c r="F588"/>
  <c r="C588"/>
  <c r="K587"/>
  <c r="J587"/>
  <c r="G587"/>
  <c r="F587"/>
  <c r="C587"/>
  <c r="K586"/>
  <c r="J586"/>
  <c r="G586"/>
  <c r="F586"/>
  <c r="C586"/>
  <c r="K585"/>
  <c r="J585"/>
  <c r="G585"/>
  <c r="F585"/>
  <c r="C585"/>
  <c r="K584"/>
  <c r="J584"/>
  <c r="G584"/>
  <c r="F584"/>
  <c r="C584"/>
  <c r="K583"/>
  <c r="J583"/>
  <c r="G583"/>
  <c r="F583"/>
  <c r="C583"/>
  <c r="K582"/>
  <c r="J582"/>
  <c r="G582"/>
  <c r="F582"/>
  <c r="C582"/>
  <c r="K581"/>
  <c r="J581"/>
  <c r="G581"/>
  <c r="F581"/>
  <c r="C581"/>
  <c r="K580"/>
  <c r="J580"/>
  <c r="G580"/>
  <c r="F580"/>
  <c r="C580"/>
  <c r="K579"/>
  <c r="J579"/>
  <c r="G579"/>
  <c r="F579"/>
  <c r="C579"/>
  <c r="K578"/>
  <c r="J578"/>
  <c r="G578"/>
  <c r="F578"/>
  <c r="C578"/>
  <c r="K577"/>
  <c r="J577"/>
  <c r="G577"/>
  <c r="F577"/>
  <c r="C577"/>
  <c r="K576"/>
  <c r="J576"/>
  <c r="G576"/>
  <c r="F576"/>
  <c r="C576"/>
  <c r="K575"/>
  <c r="J575"/>
  <c r="G575"/>
  <c r="F575"/>
  <c r="C575"/>
  <c r="K574"/>
  <c r="J574"/>
  <c r="G574"/>
  <c r="F574"/>
  <c r="C574"/>
  <c r="K573"/>
  <c r="J573"/>
  <c r="G573"/>
  <c r="F573"/>
  <c r="C573"/>
  <c r="K572"/>
  <c r="J572"/>
  <c r="G572"/>
  <c r="F572"/>
  <c r="C572"/>
  <c r="K571"/>
  <c r="J571"/>
  <c r="G571"/>
  <c r="F571"/>
  <c r="C571"/>
  <c r="K570"/>
  <c r="J570"/>
  <c r="G570"/>
  <c r="F570"/>
  <c r="C570"/>
  <c r="K569"/>
  <c r="J569"/>
  <c r="G569"/>
  <c r="F569"/>
  <c r="C569"/>
  <c r="K568"/>
  <c r="J568"/>
  <c r="G568"/>
  <c r="F568"/>
  <c r="C568"/>
  <c r="K567"/>
  <c r="J567"/>
  <c r="G567"/>
  <c r="F567"/>
  <c r="C567"/>
  <c r="K566"/>
  <c r="J566"/>
  <c r="G566"/>
  <c r="F566"/>
  <c r="C566"/>
  <c r="K565"/>
  <c r="J565"/>
  <c r="G565"/>
  <c r="F565"/>
  <c r="C565"/>
  <c r="K564"/>
  <c r="J564"/>
  <c r="G564"/>
  <c r="F564"/>
  <c r="C564"/>
  <c r="K563"/>
  <c r="J563"/>
  <c r="G563"/>
  <c r="F563"/>
  <c r="C563"/>
  <c r="K562"/>
  <c r="J562"/>
  <c r="G562"/>
  <c r="F562"/>
  <c r="C562"/>
  <c r="K561"/>
  <c r="J561"/>
  <c r="G561"/>
  <c r="F561"/>
  <c r="C561"/>
  <c r="K560"/>
  <c r="J560"/>
  <c r="G560"/>
  <c r="F560"/>
  <c r="C560"/>
  <c r="K559"/>
  <c r="J559"/>
  <c r="G559"/>
  <c r="F559"/>
  <c r="C559"/>
  <c r="K558"/>
  <c r="J558"/>
  <c r="G558"/>
  <c r="F558"/>
  <c r="C558"/>
  <c r="K557"/>
  <c r="J557"/>
  <c r="G557"/>
  <c r="F557"/>
  <c r="C557"/>
  <c r="K556"/>
  <c r="J556"/>
  <c r="G556"/>
  <c r="F556"/>
  <c r="C556"/>
  <c r="K555"/>
  <c r="J555"/>
  <c r="G555"/>
  <c r="F555"/>
  <c r="C555"/>
  <c r="K554"/>
  <c r="J554"/>
  <c r="G554"/>
  <c r="F554"/>
  <c r="C554"/>
  <c r="K553"/>
  <c r="J553"/>
  <c r="G553"/>
  <c r="F553"/>
  <c r="C553"/>
  <c r="K552"/>
  <c r="J552"/>
  <c r="G552"/>
  <c r="F552"/>
  <c r="C552"/>
  <c r="K551"/>
  <c r="J551"/>
  <c r="G551"/>
  <c r="F551"/>
  <c r="C551"/>
  <c r="K550"/>
  <c r="J550"/>
  <c r="G550"/>
  <c r="F550"/>
  <c r="C550"/>
  <c r="K549"/>
  <c r="J549"/>
  <c r="G549"/>
  <c r="F549"/>
  <c r="C549"/>
  <c r="K548"/>
  <c r="J548"/>
  <c r="G548"/>
  <c r="F548"/>
  <c r="C548"/>
  <c r="K547"/>
  <c r="J547"/>
  <c r="G547"/>
  <c r="F547"/>
  <c r="C547"/>
  <c r="K546"/>
  <c r="J546"/>
  <c r="G546"/>
  <c r="F546"/>
  <c r="C546"/>
  <c r="K545"/>
  <c r="J545"/>
  <c r="G545"/>
  <c r="F545"/>
  <c r="C545"/>
  <c r="K544"/>
  <c r="J544"/>
  <c r="G544"/>
  <c r="F544"/>
  <c r="C544"/>
  <c r="K543"/>
  <c r="J543"/>
  <c r="G543"/>
  <c r="F543"/>
  <c r="C543"/>
  <c r="K542"/>
  <c r="J542"/>
  <c r="G542"/>
  <c r="F542"/>
  <c r="C542"/>
  <c r="K541"/>
  <c r="J541"/>
  <c r="G541"/>
  <c r="F541"/>
  <c r="C541"/>
  <c r="K540"/>
  <c r="J540"/>
  <c r="G540"/>
  <c r="F540"/>
  <c r="C540"/>
  <c r="K539"/>
  <c r="J539"/>
  <c r="G539"/>
  <c r="F539"/>
  <c r="C539"/>
  <c r="K538"/>
  <c r="J538"/>
  <c r="G538"/>
  <c r="F538"/>
  <c r="C538"/>
  <c r="K537"/>
  <c r="J537"/>
  <c r="G537"/>
  <c r="F537"/>
  <c r="C537"/>
  <c r="K536"/>
  <c r="J536"/>
  <c r="G536"/>
  <c r="F536"/>
  <c r="C536"/>
  <c r="K535"/>
  <c r="J535"/>
  <c r="G535"/>
  <c r="F535"/>
  <c r="C535"/>
  <c r="K534"/>
  <c r="J534"/>
  <c r="G534"/>
  <c r="F534"/>
  <c r="C534"/>
  <c r="K533"/>
  <c r="J533"/>
  <c r="G533"/>
  <c r="F533"/>
  <c r="C533"/>
  <c r="K532"/>
  <c r="J532"/>
  <c r="G532"/>
  <c r="F532"/>
  <c r="C532"/>
  <c r="K531"/>
  <c r="J531"/>
  <c r="G531"/>
  <c r="F531"/>
  <c r="C531"/>
  <c r="K530"/>
  <c r="J530"/>
  <c r="G530"/>
  <c r="F530"/>
  <c r="C530"/>
  <c r="K529"/>
  <c r="J529"/>
  <c r="G529"/>
  <c r="F529"/>
  <c r="C529"/>
  <c r="K528"/>
  <c r="J528"/>
  <c r="G528"/>
  <c r="F528"/>
  <c r="C528"/>
  <c r="K527"/>
  <c r="J527"/>
  <c r="G527"/>
  <c r="F527"/>
  <c r="C527"/>
  <c r="K526"/>
  <c r="J526"/>
  <c r="G526"/>
  <c r="F526"/>
  <c r="C526"/>
  <c r="K525"/>
  <c r="J525"/>
  <c r="G525"/>
  <c r="F525"/>
  <c r="C525"/>
  <c r="K524"/>
  <c r="J524"/>
  <c r="G524"/>
  <c r="F524"/>
  <c r="C524"/>
  <c r="K523"/>
  <c r="J523"/>
  <c r="G523"/>
  <c r="F523"/>
  <c r="C523"/>
  <c r="K522"/>
  <c r="J522"/>
  <c r="G522"/>
  <c r="F522"/>
  <c r="C522"/>
  <c r="K521"/>
  <c r="J521"/>
  <c r="G521"/>
  <c r="F521"/>
  <c r="C521"/>
  <c r="K520"/>
  <c r="J520"/>
  <c r="G520"/>
  <c r="F520"/>
  <c r="C520"/>
  <c r="K519"/>
  <c r="J519"/>
  <c r="G519"/>
  <c r="F519"/>
  <c r="C519"/>
  <c r="K518"/>
  <c r="J518"/>
  <c r="G518"/>
  <c r="F518"/>
  <c r="C518"/>
  <c r="K517"/>
  <c r="J517"/>
  <c r="G517"/>
  <c r="F517"/>
  <c r="C517"/>
  <c r="K516"/>
  <c r="J516"/>
  <c r="G516"/>
  <c r="F516"/>
  <c r="C516"/>
  <c r="K515"/>
  <c r="J515"/>
  <c r="G515"/>
  <c r="F515"/>
  <c r="C515"/>
  <c r="K514"/>
  <c r="J514"/>
  <c r="G514"/>
  <c r="F514"/>
  <c r="C514"/>
  <c r="K513"/>
  <c r="J513"/>
  <c r="G513"/>
  <c r="F513"/>
  <c r="C513"/>
  <c r="K512"/>
  <c r="J512"/>
  <c r="G512"/>
  <c r="F512"/>
  <c r="C512"/>
  <c r="K511"/>
  <c r="J511"/>
  <c r="G511"/>
  <c r="F511"/>
  <c r="C511"/>
  <c r="K510"/>
  <c r="J510"/>
  <c r="G510"/>
  <c r="F510"/>
  <c r="C510"/>
  <c r="K509"/>
  <c r="J509"/>
  <c r="G509"/>
  <c r="F509"/>
  <c r="C509"/>
  <c r="K508"/>
  <c r="J508"/>
  <c r="G508"/>
  <c r="F508"/>
  <c r="C508"/>
  <c r="K507"/>
  <c r="J507"/>
  <c r="G507"/>
  <c r="F507"/>
  <c r="C507"/>
  <c r="K506"/>
  <c r="J506"/>
  <c r="G506"/>
  <c r="F506"/>
  <c r="C506"/>
  <c r="K505"/>
  <c r="J505"/>
  <c r="G505"/>
  <c r="F505"/>
  <c r="C505"/>
  <c r="K504"/>
  <c r="J504"/>
  <c r="G504"/>
  <c r="F504"/>
  <c r="C504"/>
  <c r="K503"/>
  <c r="J503"/>
  <c r="G503"/>
  <c r="F503"/>
  <c r="C503"/>
  <c r="K502"/>
  <c r="J502"/>
  <c r="G502"/>
  <c r="F502"/>
  <c r="C502"/>
  <c r="K501"/>
  <c r="J501"/>
  <c r="G501"/>
  <c r="F501"/>
  <c r="C501"/>
  <c r="K500"/>
  <c r="J500"/>
  <c r="G500"/>
  <c r="F500"/>
  <c r="C500"/>
  <c r="K499"/>
  <c r="J499"/>
  <c r="G499"/>
  <c r="F499"/>
  <c r="C499"/>
  <c r="K498"/>
  <c r="J498"/>
  <c r="G498"/>
  <c r="F498"/>
  <c r="C498"/>
  <c r="K497"/>
  <c r="J497"/>
  <c r="G497"/>
  <c r="F497"/>
  <c r="C497"/>
  <c r="K496"/>
  <c r="J496"/>
  <c r="G496"/>
  <c r="F496"/>
  <c r="C496"/>
  <c r="K495"/>
  <c r="J495"/>
  <c r="G495"/>
  <c r="F495"/>
  <c r="C495"/>
  <c r="K494"/>
  <c r="J494"/>
  <c r="G494"/>
  <c r="F494"/>
  <c r="C494"/>
  <c r="K493"/>
  <c r="J493"/>
  <c r="G493"/>
  <c r="F493"/>
  <c r="C493"/>
  <c r="K492"/>
  <c r="J492"/>
  <c r="G492"/>
  <c r="F492"/>
  <c r="C492"/>
  <c r="K491"/>
  <c r="J491"/>
  <c r="G491"/>
  <c r="F491"/>
  <c r="C491"/>
  <c r="K490"/>
  <c r="J490"/>
  <c r="G490"/>
  <c r="F490"/>
  <c r="C490"/>
  <c r="K489"/>
  <c r="J489"/>
  <c r="G489"/>
  <c r="F489"/>
  <c r="C489"/>
  <c r="K488"/>
  <c r="J488"/>
  <c r="G488"/>
  <c r="F488"/>
  <c r="C488"/>
  <c r="K487"/>
  <c r="J487"/>
  <c r="G487"/>
  <c r="F487"/>
  <c r="C487"/>
  <c r="K486"/>
  <c r="J486"/>
  <c r="G486"/>
  <c r="F486"/>
  <c r="C486"/>
  <c r="K485"/>
  <c r="J485"/>
  <c r="G485"/>
  <c r="F485"/>
  <c r="C485"/>
  <c r="K484"/>
  <c r="J484"/>
  <c r="G484"/>
  <c r="F484"/>
  <c r="C484"/>
  <c r="K483"/>
  <c r="J483"/>
  <c r="G483"/>
  <c r="F483"/>
  <c r="C483"/>
  <c r="K482"/>
  <c r="J482"/>
  <c r="G482"/>
  <c r="F482"/>
  <c r="C482"/>
  <c r="K481"/>
  <c r="J481"/>
  <c r="G481"/>
  <c r="F481"/>
  <c r="C481"/>
  <c r="K480"/>
  <c r="J480"/>
  <c r="G480"/>
  <c r="F480"/>
  <c r="C480"/>
  <c r="K479"/>
  <c r="J479"/>
  <c r="G479"/>
  <c r="F479"/>
  <c r="C479"/>
  <c r="K478"/>
  <c r="J478"/>
  <c r="G478"/>
  <c r="F478"/>
  <c r="C478"/>
  <c r="K477"/>
  <c r="J477"/>
  <c r="G477"/>
  <c r="F477"/>
  <c r="C477"/>
  <c r="K476"/>
  <c r="J476"/>
  <c r="G476"/>
  <c r="F476"/>
  <c r="C476"/>
  <c r="K475"/>
  <c r="J475"/>
  <c r="G475"/>
  <c r="F475"/>
  <c r="C475"/>
  <c r="K474"/>
  <c r="J474"/>
  <c r="G474"/>
  <c r="F474"/>
  <c r="C474"/>
  <c r="K473"/>
  <c r="J473"/>
  <c r="G473"/>
  <c r="F473"/>
  <c r="C473"/>
  <c r="K472"/>
  <c r="J472"/>
  <c r="G472"/>
  <c r="F472"/>
  <c r="C472"/>
  <c r="K471"/>
  <c r="J471"/>
  <c r="G471"/>
  <c r="F471"/>
  <c r="C471"/>
  <c r="K470"/>
  <c r="J470"/>
  <c r="G470"/>
  <c r="F470"/>
  <c r="C470"/>
  <c r="K469"/>
  <c r="J469"/>
  <c r="G469"/>
  <c r="F469"/>
  <c r="C469"/>
  <c r="K468"/>
  <c r="J468"/>
  <c r="G468"/>
  <c r="F468"/>
  <c r="C468"/>
  <c r="K467"/>
  <c r="J467"/>
  <c r="G467"/>
  <c r="F467"/>
  <c r="C467"/>
  <c r="K466"/>
  <c r="J466"/>
  <c r="G466"/>
  <c r="F466"/>
  <c r="C466"/>
  <c r="K465"/>
  <c r="J465"/>
  <c r="G465"/>
  <c r="F465"/>
  <c r="C465"/>
  <c r="K464"/>
  <c r="J464"/>
  <c r="G464"/>
  <c r="F464"/>
  <c r="C464"/>
  <c r="K463"/>
  <c r="J463"/>
  <c r="G463"/>
  <c r="F463"/>
  <c r="C463"/>
  <c r="K462"/>
  <c r="J462"/>
  <c r="G462"/>
  <c r="F462"/>
  <c r="C462"/>
  <c r="K461"/>
  <c r="J461"/>
  <c r="G461"/>
  <c r="F461"/>
  <c r="C461"/>
  <c r="K460"/>
  <c r="J460"/>
  <c r="G460"/>
  <c r="F460"/>
  <c r="C460"/>
  <c r="K459"/>
  <c r="J459"/>
  <c r="G459"/>
  <c r="F459"/>
  <c r="C459"/>
  <c r="K458"/>
  <c r="J458"/>
  <c r="G458"/>
  <c r="F458"/>
  <c r="C458"/>
  <c r="K457"/>
  <c r="J457"/>
  <c r="G457"/>
  <c r="F457"/>
  <c r="C457"/>
  <c r="K456"/>
  <c r="J456"/>
  <c r="G456"/>
  <c r="F456"/>
  <c r="C456"/>
  <c r="K455"/>
  <c r="J455"/>
  <c r="G455"/>
  <c r="F455"/>
  <c r="C455"/>
  <c r="K454"/>
  <c r="J454"/>
  <c r="G454"/>
  <c r="F454"/>
  <c r="C454"/>
  <c r="K453"/>
  <c r="J453"/>
  <c r="G453"/>
  <c r="F453"/>
  <c r="C453"/>
  <c r="K452"/>
  <c r="J452"/>
  <c r="G452"/>
  <c r="F452"/>
  <c r="C452"/>
  <c r="K451"/>
  <c r="J451"/>
  <c r="G451"/>
  <c r="F451"/>
  <c r="C451"/>
  <c r="K450"/>
  <c r="J450"/>
  <c r="G450"/>
  <c r="F450"/>
  <c r="C450"/>
  <c r="K449"/>
  <c r="J449"/>
  <c r="G449"/>
  <c r="F449"/>
  <c r="C449"/>
  <c r="K448"/>
  <c r="J448"/>
  <c r="G448"/>
  <c r="F448"/>
  <c r="C448"/>
  <c r="K447"/>
  <c r="J447"/>
  <c r="G447"/>
  <c r="F447"/>
  <c r="C447"/>
  <c r="K446"/>
  <c r="J446"/>
  <c r="G446"/>
  <c r="F446"/>
  <c r="C446"/>
  <c r="K445"/>
  <c r="J445"/>
  <c r="G445"/>
  <c r="F445"/>
  <c r="C445"/>
  <c r="K444"/>
  <c r="J444"/>
  <c r="G444"/>
  <c r="F444"/>
  <c r="C444"/>
  <c r="K443"/>
  <c r="J443"/>
  <c r="G443"/>
  <c r="F443"/>
  <c r="C443"/>
  <c r="K442"/>
  <c r="J442"/>
  <c r="G442"/>
  <c r="F442"/>
  <c r="C442"/>
  <c r="K441"/>
  <c r="J441"/>
  <c r="G441"/>
  <c r="F441"/>
  <c r="C441"/>
  <c r="K440"/>
  <c r="J440"/>
  <c r="G440"/>
  <c r="F440"/>
  <c r="C440"/>
  <c r="K439"/>
  <c r="J439"/>
  <c r="G439"/>
  <c r="F439"/>
  <c r="C439"/>
  <c r="K438"/>
  <c r="J438"/>
  <c r="G438"/>
  <c r="F438"/>
  <c r="C438"/>
  <c r="K437"/>
  <c r="J437"/>
  <c r="G437"/>
  <c r="F437"/>
  <c r="C437"/>
  <c r="K436"/>
  <c r="J436"/>
  <c r="G436"/>
  <c r="F436"/>
  <c r="C436"/>
  <c r="K435"/>
  <c r="J435"/>
  <c r="G435"/>
  <c r="F435"/>
  <c r="C435"/>
  <c r="K434"/>
  <c r="J434"/>
  <c r="G434"/>
  <c r="F434"/>
  <c r="C434"/>
  <c r="K433"/>
  <c r="J433"/>
  <c r="G433"/>
  <c r="F433"/>
  <c r="C433"/>
  <c r="K432"/>
  <c r="J432"/>
  <c r="G432"/>
  <c r="F432"/>
  <c r="C432"/>
  <c r="K431"/>
  <c r="J431"/>
  <c r="G431"/>
  <c r="F431"/>
  <c r="C431"/>
  <c r="K430"/>
  <c r="J430"/>
  <c r="G430"/>
  <c r="F430"/>
  <c r="C430"/>
  <c r="K429"/>
  <c r="J429"/>
  <c r="G429"/>
  <c r="F429"/>
  <c r="C429"/>
  <c r="K428"/>
  <c r="J428"/>
  <c r="G428"/>
  <c r="F428"/>
  <c r="C428"/>
  <c r="K427"/>
  <c r="J427"/>
  <c r="G427"/>
  <c r="F427"/>
  <c r="C427"/>
  <c r="K426"/>
  <c r="J426"/>
  <c r="G426"/>
  <c r="F426"/>
  <c r="C426"/>
  <c r="K425"/>
  <c r="J425"/>
  <c r="G425"/>
  <c r="F425"/>
  <c r="C425"/>
  <c r="K424"/>
  <c r="J424"/>
  <c r="G424"/>
  <c r="F424"/>
  <c r="C424"/>
  <c r="K423"/>
  <c r="J423"/>
  <c r="G423"/>
  <c r="F423"/>
  <c r="C423"/>
  <c r="K422"/>
  <c r="J422"/>
  <c r="G422"/>
  <c r="F422"/>
  <c r="C422"/>
  <c r="K421"/>
  <c r="J421"/>
  <c r="G421"/>
  <c r="F421"/>
  <c r="C421"/>
  <c r="K420"/>
  <c r="J420"/>
  <c r="G420"/>
  <c r="F420"/>
  <c r="C420"/>
  <c r="K419"/>
  <c r="J419"/>
  <c r="G419"/>
  <c r="F419"/>
  <c r="C419"/>
  <c r="K418"/>
  <c r="J418"/>
  <c r="G418"/>
  <c r="F418"/>
  <c r="C418"/>
  <c r="K417"/>
  <c r="J417"/>
  <c r="G417"/>
  <c r="F417"/>
  <c r="C417"/>
  <c r="K416"/>
  <c r="J416"/>
  <c r="G416"/>
  <c r="F416"/>
  <c r="C416"/>
  <c r="K415"/>
  <c r="J415"/>
  <c r="G415"/>
  <c r="F415"/>
  <c r="C415"/>
  <c r="K414"/>
  <c r="J414"/>
  <c r="G414"/>
  <c r="F414"/>
  <c r="C414"/>
  <c r="K413"/>
  <c r="J413"/>
  <c r="G413"/>
  <c r="F413"/>
  <c r="C413"/>
  <c r="K412"/>
  <c r="J412"/>
  <c r="G412"/>
  <c r="F412"/>
  <c r="C412"/>
  <c r="K411"/>
  <c r="J411"/>
  <c r="G411"/>
  <c r="F411"/>
  <c r="C411"/>
  <c r="K410"/>
  <c r="J410"/>
  <c r="G410"/>
  <c r="F410"/>
  <c r="C410"/>
  <c r="K409"/>
  <c r="J409"/>
  <c r="G409"/>
  <c r="F409"/>
  <c r="C409"/>
  <c r="K408"/>
  <c r="J408"/>
  <c r="G408"/>
  <c r="F408"/>
  <c r="C408"/>
  <c r="K407"/>
  <c r="J407"/>
  <c r="G407"/>
  <c r="F407"/>
  <c r="C407"/>
  <c r="K406"/>
  <c r="J406"/>
  <c r="G406"/>
  <c r="F406"/>
  <c r="C406"/>
  <c r="K405"/>
  <c r="J405"/>
  <c r="G405"/>
  <c r="F405"/>
  <c r="C405"/>
  <c r="K404"/>
  <c r="J404"/>
  <c r="G404"/>
  <c r="F404"/>
  <c r="C404"/>
  <c r="K403"/>
  <c r="J403"/>
  <c r="G403"/>
  <c r="F403"/>
  <c r="C403"/>
  <c r="K402"/>
  <c r="J402"/>
  <c r="G402"/>
  <c r="F402"/>
  <c r="C402"/>
  <c r="K401"/>
  <c r="J401"/>
  <c r="G401"/>
  <c r="F401"/>
  <c r="C401"/>
  <c r="K400"/>
  <c r="J400"/>
  <c r="G400"/>
  <c r="F400"/>
  <c r="C400"/>
  <c r="K399"/>
  <c r="J399"/>
  <c r="G399"/>
  <c r="F399"/>
  <c r="C399"/>
  <c r="K398"/>
  <c r="J398"/>
  <c r="G398"/>
  <c r="F398"/>
  <c r="C398"/>
  <c r="K397"/>
  <c r="J397"/>
  <c r="G397"/>
  <c r="F397"/>
  <c r="C397"/>
  <c r="K396"/>
  <c r="J396"/>
  <c r="G396"/>
  <c r="F396"/>
  <c r="C396"/>
  <c r="K395"/>
  <c r="J395"/>
  <c r="G395"/>
  <c r="F395"/>
  <c r="C395"/>
  <c r="K394"/>
  <c r="J394"/>
  <c r="G394"/>
  <c r="F394"/>
  <c r="C394"/>
  <c r="K393"/>
  <c r="J393"/>
  <c r="G393"/>
  <c r="F393"/>
  <c r="C393"/>
  <c r="K392"/>
  <c r="J392"/>
  <c r="G392"/>
  <c r="F392"/>
  <c r="C392"/>
  <c r="K391"/>
  <c r="J391"/>
  <c r="G391"/>
  <c r="F391"/>
  <c r="C391"/>
  <c r="K390"/>
  <c r="J390"/>
  <c r="G390"/>
  <c r="F390"/>
  <c r="C390"/>
  <c r="K389"/>
  <c r="J389"/>
  <c r="G389"/>
  <c r="F389"/>
  <c r="C389"/>
  <c r="K388"/>
  <c r="J388"/>
  <c r="G388"/>
  <c r="F388"/>
  <c r="C388"/>
  <c r="K387"/>
  <c r="J387"/>
  <c r="G387"/>
  <c r="F387"/>
  <c r="C387"/>
  <c r="K386"/>
  <c r="J386"/>
  <c r="G386"/>
  <c r="F386"/>
  <c r="C386"/>
  <c r="K385"/>
  <c r="J385"/>
  <c r="G385"/>
  <c r="F385"/>
  <c r="C385"/>
  <c r="K384"/>
  <c r="J384"/>
  <c r="G384"/>
  <c r="F384"/>
  <c r="C384"/>
  <c r="K383"/>
  <c r="J383"/>
  <c r="G383"/>
  <c r="F383"/>
  <c r="C383"/>
  <c r="K382"/>
  <c r="J382"/>
  <c r="G382"/>
  <c r="F382"/>
  <c r="C382"/>
  <c r="K381"/>
  <c r="J381"/>
  <c r="G381"/>
  <c r="F381"/>
  <c r="C381"/>
  <c r="K380"/>
  <c r="J380"/>
  <c r="G380"/>
  <c r="F380"/>
  <c r="C380"/>
  <c r="K379"/>
  <c r="J379"/>
  <c r="G379"/>
  <c r="F379"/>
  <c r="C379"/>
  <c r="K378"/>
  <c r="J378"/>
  <c r="G378"/>
  <c r="F378"/>
  <c r="C378"/>
  <c r="K377"/>
  <c r="J377"/>
  <c r="G377"/>
  <c r="F377"/>
  <c r="C377"/>
  <c r="K376"/>
  <c r="J376"/>
  <c r="G376"/>
  <c r="F376"/>
  <c r="C376"/>
  <c r="K375"/>
  <c r="J375"/>
  <c r="G375"/>
  <c r="F375"/>
  <c r="C375"/>
  <c r="K374"/>
  <c r="J374"/>
  <c r="G374"/>
  <c r="F374"/>
  <c r="C374"/>
  <c r="K373"/>
  <c r="J373"/>
  <c r="G373"/>
  <c r="F373"/>
  <c r="C373"/>
  <c r="K372"/>
  <c r="J372"/>
  <c r="G372"/>
  <c r="F372"/>
  <c r="C372"/>
  <c r="K371"/>
  <c r="J371"/>
  <c r="G371"/>
  <c r="F371"/>
  <c r="C371"/>
  <c r="K370"/>
  <c r="J370"/>
  <c r="G370"/>
  <c r="F370"/>
  <c r="C370"/>
  <c r="K369"/>
  <c r="J369"/>
  <c r="G369"/>
  <c r="F369"/>
  <c r="C369"/>
  <c r="K368"/>
  <c r="J368"/>
  <c r="G368"/>
  <c r="F368"/>
  <c r="C368"/>
  <c r="K367"/>
  <c r="J367"/>
  <c r="G367"/>
  <c r="F367"/>
  <c r="C367"/>
  <c r="K366"/>
  <c r="J366"/>
  <c r="G366"/>
  <c r="F366"/>
  <c r="C366"/>
  <c r="K365"/>
  <c r="J365"/>
  <c r="G365"/>
  <c r="F365"/>
  <c r="C365"/>
  <c r="K364"/>
  <c r="J364"/>
  <c r="G364"/>
  <c r="F364"/>
  <c r="C364"/>
  <c r="K363"/>
  <c r="J363"/>
  <c r="G363"/>
  <c r="F363"/>
  <c r="C363"/>
  <c r="K362"/>
  <c r="J362"/>
  <c r="G362"/>
  <c r="F362"/>
  <c r="C362"/>
  <c r="K361"/>
  <c r="J361"/>
  <c r="G361"/>
  <c r="F361"/>
  <c r="C361"/>
  <c r="K360"/>
  <c r="J360"/>
  <c r="G360"/>
  <c r="F360"/>
  <c r="C360"/>
  <c r="K359"/>
  <c r="J359"/>
  <c r="G359"/>
  <c r="F359"/>
  <c r="C359"/>
  <c r="K358"/>
  <c r="J358"/>
  <c r="G358"/>
  <c r="F358"/>
  <c r="C358"/>
  <c r="K357"/>
  <c r="J357"/>
  <c r="G357"/>
  <c r="F357"/>
  <c r="C357"/>
  <c r="K356"/>
  <c r="J356"/>
  <c r="G356"/>
  <c r="F356"/>
  <c r="C356"/>
  <c r="K355"/>
  <c r="J355"/>
  <c r="G355"/>
  <c r="F355"/>
  <c r="C355"/>
  <c r="K354"/>
  <c r="J354"/>
  <c r="G354"/>
  <c r="F354"/>
  <c r="C354"/>
  <c r="K353"/>
  <c r="J353"/>
  <c r="G353"/>
  <c r="F353"/>
  <c r="C353"/>
  <c r="K352"/>
  <c r="J352"/>
  <c r="G352"/>
  <c r="F352"/>
  <c r="C352"/>
  <c r="K351"/>
  <c r="J351"/>
  <c r="G351"/>
  <c r="F351"/>
  <c r="C351"/>
  <c r="K350"/>
  <c r="J350"/>
  <c r="G350"/>
  <c r="F350"/>
  <c r="C350"/>
  <c r="K349"/>
  <c r="J349"/>
  <c r="G349"/>
  <c r="F349"/>
  <c r="C349"/>
  <c r="K348"/>
  <c r="J348"/>
  <c r="G348"/>
  <c r="F348"/>
  <c r="C348"/>
  <c r="K347"/>
  <c r="J347"/>
  <c r="G347"/>
  <c r="F347"/>
  <c r="C347"/>
  <c r="K346"/>
  <c r="J346"/>
  <c r="G346"/>
  <c r="F346"/>
  <c r="C346"/>
  <c r="K345"/>
  <c r="J345"/>
  <c r="G345"/>
  <c r="F345"/>
  <c r="C345"/>
  <c r="K344"/>
  <c r="J344"/>
  <c r="G344"/>
  <c r="F344"/>
  <c r="C344"/>
  <c r="K343"/>
  <c r="J343"/>
  <c r="G343"/>
  <c r="F343"/>
  <c r="C343"/>
  <c r="K342"/>
  <c r="J342"/>
  <c r="G342"/>
  <c r="F342"/>
  <c r="C342"/>
  <c r="K341"/>
  <c r="J341"/>
  <c r="G341"/>
  <c r="F341"/>
  <c r="C341"/>
  <c r="K340"/>
  <c r="J340"/>
  <c r="G340"/>
  <c r="F340"/>
  <c r="C340"/>
  <c r="K339"/>
  <c r="J339"/>
  <c r="G339"/>
  <c r="F339"/>
  <c r="C339"/>
  <c r="K338"/>
  <c r="J338"/>
  <c r="G338"/>
  <c r="F338"/>
  <c r="C338"/>
  <c r="K337"/>
  <c r="J337"/>
  <c r="G337"/>
  <c r="F337"/>
  <c r="C337"/>
  <c r="K336"/>
  <c r="J336"/>
  <c r="G336"/>
  <c r="F336"/>
  <c r="C336"/>
  <c r="K335"/>
  <c r="J335"/>
  <c r="G335"/>
  <c r="F335"/>
  <c r="C335"/>
  <c r="K334"/>
  <c r="J334"/>
  <c r="G334"/>
  <c r="F334"/>
  <c r="C334"/>
  <c r="K333"/>
  <c r="G333"/>
  <c r="F333"/>
  <c r="C333"/>
  <c r="K332"/>
  <c r="J332"/>
  <c r="G332"/>
  <c r="F332"/>
  <c r="C332"/>
  <c r="K331"/>
  <c r="G331"/>
  <c r="F331"/>
  <c r="C331"/>
  <c r="K330"/>
  <c r="J330"/>
  <c r="G330"/>
  <c r="F330"/>
  <c r="C330"/>
  <c r="K329"/>
  <c r="J329"/>
  <c r="G329"/>
  <c r="F329"/>
  <c r="C329"/>
  <c r="K328"/>
  <c r="J328"/>
  <c r="G328"/>
  <c r="F328"/>
  <c r="C328"/>
  <c r="K327"/>
  <c r="J327"/>
  <c r="G327"/>
  <c r="F327"/>
  <c r="C327"/>
  <c r="K326"/>
  <c r="J326"/>
  <c r="G326"/>
  <c r="F326"/>
  <c r="C326"/>
  <c r="K325"/>
  <c r="J325"/>
  <c r="G325"/>
  <c r="F325"/>
  <c r="C325"/>
  <c r="K324"/>
  <c r="J324"/>
  <c r="G324"/>
  <c r="F324"/>
  <c r="C324"/>
  <c r="K323"/>
  <c r="J323"/>
  <c r="G323"/>
  <c r="F323"/>
  <c r="C323"/>
  <c r="K322"/>
  <c r="J322"/>
  <c r="G322"/>
  <c r="F322"/>
  <c r="C322"/>
  <c r="K321"/>
  <c r="J321"/>
  <c r="G321"/>
  <c r="F321"/>
  <c r="C321"/>
  <c r="K320"/>
  <c r="J320"/>
  <c r="G320"/>
  <c r="F320"/>
  <c r="C320"/>
  <c r="K319"/>
  <c r="J319"/>
  <c r="G319"/>
  <c r="F319"/>
  <c r="C319"/>
  <c r="K318"/>
  <c r="J318"/>
  <c r="G318"/>
  <c r="F318"/>
  <c r="C318"/>
  <c r="K317"/>
  <c r="J317"/>
  <c r="G317"/>
  <c r="F317"/>
  <c r="C317"/>
  <c r="K316"/>
  <c r="J316"/>
  <c r="G316"/>
  <c r="F316"/>
  <c r="C316"/>
  <c r="K315"/>
  <c r="J315"/>
  <c r="G315"/>
  <c r="F315"/>
  <c r="C315"/>
  <c r="K314"/>
  <c r="J314"/>
  <c r="G314"/>
  <c r="F314"/>
  <c r="C314"/>
  <c r="K313"/>
  <c r="J313"/>
  <c r="G313"/>
  <c r="F313"/>
  <c r="C313"/>
  <c r="K312"/>
  <c r="J312"/>
  <c r="G312"/>
  <c r="F312"/>
  <c r="C312"/>
  <c r="K311"/>
  <c r="J311"/>
  <c r="G311"/>
  <c r="F311"/>
  <c r="C311"/>
  <c r="K310"/>
  <c r="J310"/>
  <c r="G310"/>
  <c r="F310"/>
  <c r="C310"/>
  <c r="K309"/>
  <c r="J309"/>
  <c r="G309"/>
  <c r="F309"/>
  <c r="C309"/>
  <c r="K308"/>
  <c r="J308"/>
  <c r="G308"/>
  <c r="F308"/>
  <c r="C308"/>
  <c r="K307"/>
  <c r="J307"/>
  <c r="G307"/>
  <c r="F307"/>
  <c r="C307"/>
  <c r="K306"/>
  <c r="J306"/>
  <c r="G306"/>
  <c r="F306"/>
  <c r="C306"/>
  <c r="K305"/>
  <c r="J305"/>
  <c r="G305"/>
  <c r="F305"/>
  <c r="C305"/>
  <c r="K304"/>
  <c r="J304"/>
  <c r="G304"/>
  <c r="F304"/>
  <c r="C304"/>
  <c r="K303"/>
  <c r="J303"/>
  <c r="G303"/>
  <c r="F303"/>
  <c r="C303"/>
  <c r="K302"/>
  <c r="J302"/>
  <c r="G302"/>
  <c r="F302"/>
  <c r="C302"/>
  <c r="K301"/>
  <c r="J301"/>
  <c r="G301"/>
  <c r="F301"/>
  <c r="C301"/>
  <c r="K300"/>
  <c r="J300"/>
  <c r="G300"/>
  <c r="F300"/>
  <c r="C300"/>
  <c r="K299"/>
  <c r="J299"/>
  <c r="G299"/>
  <c r="F299"/>
  <c r="C299"/>
  <c r="K298"/>
  <c r="J298"/>
  <c r="G298"/>
  <c r="F298"/>
  <c r="C298"/>
  <c r="K297"/>
  <c r="J297"/>
  <c r="G297"/>
  <c r="F297"/>
  <c r="C297"/>
  <c r="K296"/>
  <c r="J296"/>
  <c r="G296"/>
  <c r="F296"/>
  <c r="C296"/>
  <c r="K295"/>
  <c r="J295"/>
  <c r="G295"/>
  <c r="F295"/>
  <c r="C295"/>
  <c r="K294"/>
  <c r="J294"/>
  <c r="G294"/>
  <c r="F294"/>
  <c r="C294"/>
  <c r="K293"/>
  <c r="J293"/>
  <c r="G293"/>
  <c r="F293"/>
  <c r="C293"/>
  <c r="K292"/>
  <c r="J292"/>
  <c r="G292"/>
  <c r="F292"/>
  <c r="C292"/>
  <c r="K291"/>
  <c r="J291"/>
  <c r="G291"/>
  <c r="F291"/>
  <c r="C291"/>
  <c r="K290"/>
  <c r="J290"/>
  <c r="G290"/>
  <c r="F290"/>
  <c r="C290"/>
  <c r="K289"/>
  <c r="J289"/>
  <c r="G289"/>
  <c r="F289"/>
  <c r="C289"/>
  <c r="K288"/>
  <c r="J288"/>
  <c r="G288"/>
  <c r="F288"/>
  <c r="C288"/>
  <c r="K287"/>
  <c r="J287"/>
  <c r="G287"/>
  <c r="F287"/>
  <c r="C287"/>
  <c r="K286"/>
  <c r="J286"/>
  <c r="G286"/>
  <c r="F286"/>
  <c r="C286"/>
  <c r="K285"/>
  <c r="J285"/>
  <c r="G285"/>
  <c r="F285"/>
  <c r="C285"/>
  <c r="K284"/>
  <c r="J284"/>
  <c r="G284"/>
  <c r="F284"/>
  <c r="C284"/>
  <c r="K283"/>
  <c r="J283"/>
  <c r="G283"/>
  <c r="F283"/>
  <c r="C283"/>
  <c r="K282"/>
  <c r="J282"/>
  <c r="G282"/>
  <c r="F282"/>
  <c r="C282"/>
  <c r="K281"/>
  <c r="J281"/>
  <c r="G281"/>
  <c r="F281"/>
  <c r="C281"/>
  <c r="K280"/>
  <c r="J280"/>
  <c r="G280"/>
  <c r="F280"/>
  <c r="C280"/>
  <c r="K279"/>
  <c r="J279"/>
  <c r="G279"/>
  <c r="F279"/>
  <c r="C279"/>
  <c r="K278"/>
  <c r="J278"/>
  <c r="G278"/>
  <c r="F278"/>
  <c r="C278"/>
  <c r="K277"/>
  <c r="J277"/>
  <c r="G277"/>
  <c r="F277"/>
  <c r="C277"/>
  <c r="K276"/>
  <c r="J276"/>
  <c r="G276"/>
  <c r="F276"/>
  <c r="C276"/>
  <c r="K275"/>
  <c r="J275"/>
  <c r="G275"/>
  <c r="F275"/>
  <c r="C275"/>
  <c r="K274"/>
  <c r="J274"/>
  <c r="G274"/>
  <c r="F274"/>
  <c r="C274"/>
  <c r="K273"/>
  <c r="J273"/>
  <c r="G273"/>
  <c r="F273"/>
  <c r="C273"/>
  <c r="K272"/>
  <c r="J272"/>
  <c r="G272"/>
  <c r="F272"/>
  <c r="C272"/>
  <c r="K271"/>
  <c r="J271"/>
  <c r="G271"/>
  <c r="F271"/>
  <c r="C271"/>
  <c r="K270"/>
  <c r="J270"/>
  <c r="G270"/>
  <c r="F270"/>
  <c r="C270"/>
  <c r="K269"/>
  <c r="J269"/>
  <c r="G269"/>
  <c r="F269"/>
  <c r="C269"/>
  <c r="K268"/>
  <c r="J268"/>
  <c r="G268"/>
  <c r="F268"/>
  <c r="C268"/>
  <c r="K267"/>
  <c r="J267"/>
  <c r="G267"/>
  <c r="F267"/>
  <c r="C267"/>
  <c r="K266"/>
  <c r="J266"/>
  <c r="G266"/>
  <c r="F266"/>
  <c r="C266"/>
  <c r="K265"/>
  <c r="J265"/>
  <c r="G265"/>
  <c r="F265"/>
  <c r="C265"/>
  <c r="K264"/>
  <c r="J264"/>
  <c r="G264"/>
  <c r="F264"/>
  <c r="C264"/>
  <c r="K263"/>
  <c r="J263"/>
  <c r="G263"/>
  <c r="F263"/>
  <c r="C263"/>
  <c r="K262"/>
  <c r="J262"/>
  <c r="G262"/>
  <c r="F262"/>
  <c r="C262"/>
  <c r="K261"/>
  <c r="J261"/>
  <c r="G261"/>
  <c r="F261"/>
  <c r="C261"/>
  <c r="K260"/>
  <c r="J260"/>
  <c r="G260"/>
  <c r="F260"/>
  <c r="C260"/>
  <c r="K259"/>
  <c r="J259"/>
  <c r="G259"/>
  <c r="F259"/>
  <c r="C259"/>
  <c r="K258"/>
  <c r="J258"/>
  <c r="G258"/>
  <c r="F258"/>
  <c r="C258"/>
  <c r="K257"/>
  <c r="J257"/>
  <c r="G257"/>
  <c r="F257"/>
  <c r="C257"/>
  <c r="K256"/>
  <c r="J256"/>
  <c r="G256"/>
  <c r="F256"/>
  <c r="C256"/>
  <c r="K255"/>
  <c r="J255"/>
  <c r="G255"/>
  <c r="F255"/>
  <c r="C255"/>
  <c r="K254"/>
  <c r="J254"/>
  <c r="G254"/>
  <c r="F254"/>
  <c r="C254"/>
  <c r="K253"/>
  <c r="J253"/>
  <c r="G253"/>
  <c r="F253"/>
  <c r="C253"/>
  <c r="K252"/>
  <c r="J252"/>
  <c r="G252"/>
  <c r="F252"/>
  <c r="C252"/>
  <c r="K251"/>
  <c r="J251"/>
  <c r="G251"/>
  <c r="F251"/>
  <c r="C251"/>
  <c r="K250"/>
  <c r="J250"/>
  <c r="G250"/>
  <c r="F250"/>
  <c r="C250"/>
  <c r="K249"/>
  <c r="J249"/>
  <c r="G249"/>
  <c r="F249"/>
  <c r="C249"/>
  <c r="K248"/>
  <c r="J248"/>
  <c r="G248"/>
  <c r="F248"/>
  <c r="C248"/>
  <c r="K247"/>
  <c r="J247"/>
  <c r="G247"/>
  <c r="F247"/>
  <c r="C247"/>
  <c r="K246"/>
  <c r="J246"/>
  <c r="G246"/>
  <c r="F246"/>
  <c r="C246"/>
  <c r="K245"/>
  <c r="J245"/>
  <c r="G245"/>
  <c r="F245"/>
  <c r="C245"/>
  <c r="K244"/>
  <c r="J244"/>
  <c r="G244"/>
  <c r="F244"/>
  <c r="C244"/>
  <c r="K243"/>
  <c r="J243"/>
  <c r="G243"/>
  <c r="F243"/>
  <c r="C243"/>
  <c r="K242"/>
  <c r="J242"/>
  <c r="G242"/>
  <c r="F242"/>
  <c r="C242"/>
  <c r="K241"/>
  <c r="J241"/>
  <c r="G241"/>
  <c r="F241"/>
  <c r="C241"/>
  <c r="K240"/>
  <c r="J240"/>
  <c r="G240"/>
  <c r="F240"/>
  <c r="C240"/>
  <c r="K239"/>
  <c r="J239"/>
  <c r="G239"/>
  <c r="F239"/>
  <c r="C239"/>
  <c r="K238"/>
  <c r="J238"/>
  <c r="G238"/>
  <c r="F238"/>
  <c r="C238"/>
  <c r="K237"/>
  <c r="J237"/>
  <c r="G237"/>
  <c r="F237"/>
  <c r="C237"/>
  <c r="K236"/>
  <c r="J236"/>
  <c r="G236"/>
  <c r="F236"/>
  <c r="C236"/>
  <c r="K235"/>
  <c r="J235"/>
  <c r="G235"/>
  <c r="F235"/>
  <c r="C235"/>
  <c r="K234"/>
  <c r="J234"/>
  <c r="G234"/>
  <c r="F234"/>
  <c r="C234"/>
  <c r="K233"/>
  <c r="J233"/>
  <c r="G233"/>
  <c r="F233"/>
  <c r="C233"/>
  <c r="K232"/>
  <c r="J232"/>
  <c r="G232"/>
  <c r="F232"/>
  <c r="C232"/>
  <c r="K231"/>
  <c r="J231"/>
  <c r="G231"/>
  <c r="F231"/>
  <c r="C231"/>
  <c r="K230"/>
  <c r="J230"/>
  <c r="G230"/>
  <c r="F230"/>
  <c r="C230"/>
  <c r="K229"/>
  <c r="J229"/>
  <c r="G229"/>
  <c r="F229"/>
  <c r="C229"/>
  <c r="K228"/>
  <c r="J228"/>
  <c r="G228"/>
  <c r="F228"/>
  <c r="C228"/>
  <c r="K227"/>
  <c r="J227"/>
  <c r="G227"/>
  <c r="F227"/>
  <c r="C227"/>
  <c r="K226"/>
  <c r="J226"/>
  <c r="G226"/>
  <c r="F226"/>
  <c r="C226"/>
  <c r="K225"/>
  <c r="J225"/>
  <c r="G225"/>
  <c r="F225"/>
  <c r="C225"/>
  <c r="K224"/>
  <c r="J224"/>
  <c r="G224"/>
  <c r="F224"/>
  <c r="C224"/>
  <c r="K223"/>
  <c r="J223"/>
  <c r="G223"/>
  <c r="F223"/>
  <c r="C223"/>
  <c r="K222"/>
  <c r="J222"/>
  <c r="G222"/>
  <c r="F222"/>
  <c r="C222"/>
  <c r="K221"/>
  <c r="J221"/>
  <c r="G221"/>
  <c r="F221"/>
  <c r="C221"/>
  <c r="K220"/>
  <c r="J220"/>
  <c r="G220"/>
  <c r="F220"/>
  <c r="C220"/>
  <c r="K219"/>
  <c r="J219"/>
  <c r="G219"/>
  <c r="F219"/>
  <c r="C219"/>
  <c r="K218"/>
  <c r="J218"/>
  <c r="G218"/>
  <c r="F218"/>
  <c r="C218"/>
  <c r="K217"/>
  <c r="J217"/>
  <c r="G217"/>
  <c r="F217"/>
  <c r="C217"/>
  <c r="K216"/>
  <c r="J216"/>
  <c r="G216"/>
  <c r="F216"/>
  <c r="C216"/>
  <c r="K215"/>
  <c r="J215"/>
  <c r="G215"/>
  <c r="F215"/>
  <c r="C215"/>
  <c r="K214"/>
  <c r="J214"/>
  <c r="G214"/>
  <c r="F214"/>
  <c r="C214"/>
  <c r="K213"/>
  <c r="J213"/>
  <c r="G213"/>
  <c r="F213"/>
  <c r="C213"/>
  <c r="K212"/>
  <c r="J212"/>
  <c r="G212"/>
  <c r="F212"/>
  <c r="C212"/>
  <c r="K211"/>
  <c r="J211"/>
  <c r="G211"/>
  <c r="F211"/>
  <c r="C211"/>
  <c r="K210"/>
  <c r="J210"/>
  <c r="G210"/>
  <c r="F210"/>
  <c r="C210"/>
  <c r="K209"/>
  <c r="J209"/>
  <c r="G209"/>
  <c r="F209"/>
  <c r="C209"/>
  <c r="K208"/>
  <c r="J208"/>
  <c r="G208"/>
  <c r="F208"/>
  <c r="C208"/>
  <c r="K207"/>
  <c r="J207"/>
  <c r="G207"/>
  <c r="F207"/>
  <c r="C207"/>
  <c r="K206"/>
  <c r="J206"/>
  <c r="G206"/>
  <c r="F206"/>
  <c r="C206"/>
  <c r="K205"/>
  <c r="J205"/>
  <c r="G205"/>
  <c r="F205"/>
  <c r="C205"/>
  <c r="K204"/>
  <c r="J204"/>
  <c r="G204"/>
  <c r="F204"/>
  <c r="C204"/>
  <c r="K203"/>
  <c r="J203"/>
  <c r="G203"/>
  <c r="F203"/>
  <c r="C203"/>
  <c r="K202"/>
  <c r="J202"/>
  <c r="G202"/>
  <c r="F202"/>
  <c r="C202"/>
  <c r="K201"/>
  <c r="J201"/>
  <c r="G201"/>
  <c r="F201"/>
  <c r="C201"/>
  <c r="K200"/>
  <c r="J200"/>
  <c r="G200"/>
  <c r="F200"/>
  <c r="C200"/>
  <c r="K199"/>
  <c r="J199"/>
  <c r="G199"/>
  <c r="F199"/>
  <c r="C199"/>
  <c r="K198"/>
  <c r="J198"/>
  <c r="G198"/>
  <c r="F198"/>
  <c r="C198"/>
  <c r="K197"/>
  <c r="J197"/>
  <c r="G197"/>
  <c r="F197"/>
  <c r="C197"/>
  <c r="K196"/>
  <c r="J196"/>
  <c r="G196"/>
  <c r="F196"/>
  <c r="C196"/>
  <c r="K195"/>
  <c r="J195"/>
  <c r="G195"/>
  <c r="F195"/>
  <c r="C195"/>
  <c r="K194"/>
  <c r="J194"/>
  <c r="G194"/>
  <c r="F194"/>
  <c r="C194"/>
  <c r="K193"/>
  <c r="J193"/>
  <c r="G193"/>
  <c r="F193"/>
  <c r="C193"/>
  <c r="K192"/>
  <c r="J192"/>
  <c r="G192"/>
  <c r="F192"/>
  <c r="C192"/>
  <c r="K191"/>
  <c r="J191"/>
  <c r="G191"/>
  <c r="F191"/>
  <c r="C191"/>
  <c r="K190"/>
  <c r="J190"/>
  <c r="G190"/>
  <c r="F190"/>
  <c r="C190"/>
  <c r="K189"/>
  <c r="J189"/>
  <c r="G189"/>
  <c r="F189"/>
  <c r="C189"/>
  <c r="K188"/>
  <c r="J188"/>
  <c r="G188"/>
  <c r="F188"/>
  <c r="C188"/>
  <c r="K187"/>
  <c r="J187"/>
  <c r="G187"/>
  <c r="F187"/>
  <c r="C187"/>
  <c r="K186"/>
  <c r="J186"/>
  <c r="G186"/>
  <c r="F186"/>
  <c r="C186"/>
  <c r="K185"/>
  <c r="J185"/>
  <c r="G185"/>
  <c r="F185"/>
  <c r="C185"/>
  <c r="K184"/>
  <c r="J184"/>
  <c r="G184"/>
  <c r="F184"/>
  <c r="C184"/>
  <c r="K183"/>
  <c r="J183"/>
  <c r="G183"/>
  <c r="F183"/>
  <c r="C183"/>
  <c r="K182"/>
  <c r="J182"/>
  <c r="G182"/>
  <c r="F182"/>
  <c r="C182"/>
  <c r="K181"/>
  <c r="J181"/>
  <c r="G181"/>
  <c r="F181"/>
  <c r="C181"/>
  <c r="K180"/>
  <c r="J180"/>
  <c r="G180"/>
  <c r="F180"/>
  <c r="C180"/>
  <c r="K179"/>
  <c r="J179"/>
  <c r="G179"/>
  <c r="F179"/>
  <c r="C179"/>
  <c r="K178"/>
  <c r="J178"/>
  <c r="G178"/>
  <c r="F178"/>
  <c r="C178"/>
  <c r="K177"/>
  <c r="J177"/>
  <c r="G177"/>
  <c r="F177"/>
  <c r="C177"/>
  <c r="K176"/>
  <c r="J176"/>
  <c r="G176"/>
  <c r="F176"/>
  <c r="C176"/>
  <c r="K175"/>
  <c r="J175"/>
  <c r="G175"/>
  <c r="F175"/>
  <c r="C175"/>
  <c r="K174"/>
  <c r="J174"/>
  <c r="G174"/>
  <c r="F174"/>
  <c r="C174"/>
  <c r="K173"/>
  <c r="J173"/>
  <c r="G173"/>
  <c r="F173"/>
  <c r="C173"/>
  <c r="K172"/>
  <c r="J172"/>
  <c r="G172"/>
  <c r="F172"/>
  <c r="C172"/>
  <c r="K171"/>
  <c r="J171"/>
  <c r="G171"/>
  <c r="F171"/>
  <c r="C171"/>
  <c r="K170"/>
  <c r="J170"/>
  <c r="G170"/>
  <c r="F170"/>
  <c r="C170"/>
  <c r="K169"/>
  <c r="J169"/>
  <c r="G169"/>
  <c r="F169"/>
  <c r="C169"/>
  <c r="K168"/>
  <c r="J168"/>
  <c r="G168"/>
  <c r="F168"/>
  <c r="C168"/>
  <c r="K167"/>
  <c r="J167"/>
  <c r="G167"/>
  <c r="F167"/>
  <c r="C167"/>
  <c r="K166"/>
  <c r="J166"/>
  <c r="G166"/>
  <c r="F166"/>
  <c r="C166"/>
  <c r="K165"/>
  <c r="J165"/>
  <c r="G165"/>
  <c r="F165"/>
  <c r="C165"/>
  <c r="K164"/>
  <c r="J164"/>
  <c r="G164"/>
  <c r="F164"/>
  <c r="C164"/>
  <c r="K163"/>
  <c r="J163"/>
  <c r="G163"/>
  <c r="F163"/>
  <c r="C163"/>
  <c r="K162"/>
  <c r="J162"/>
  <c r="G162"/>
  <c r="F162"/>
  <c r="C162"/>
  <c r="K161"/>
  <c r="J161"/>
  <c r="G161"/>
  <c r="F161"/>
  <c r="C161"/>
  <c r="K160"/>
  <c r="J160"/>
  <c r="G160"/>
  <c r="F160"/>
  <c r="C160"/>
  <c r="K159"/>
  <c r="J159"/>
  <c r="G159"/>
  <c r="F159"/>
  <c r="C159"/>
  <c r="K158"/>
  <c r="J158"/>
  <c r="G158"/>
  <c r="F158"/>
  <c r="C158"/>
  <c r="K157"/>
  <c r="J157"/>
  <c r="G157"/>
  <c r="F157"/>
  <c r="C157"/>
  <c r="K156"/>
  <c r="J156"/>
  <c r="G156"/>
  <c r="F156"/>
  <c r="C156"/>
  <c r="K155"/>
  <c r="J155"/>
  <c r="G155"/>
  <c r="F155"/>
  <c r="C155"/>
  <c r="K154"/>
  <c r="J154"/>
  <c r="G154"/>
  <c r="F154"/>
  <c r="C154"/>
  <c r="K153"/>
  <c r="J153"/>
  <c r="G153"/>
  <c r="F153"/>
  <c r="C153"/>
  <c r="K152"/>
  <c r="J152"/>
  <c r="G152"/>
  <c r="F152"/>
  <c r="C152"/>
  <c r="K151"/>
  <c r="J151"/>
  <c r="G151"/>
  <c r="F151"/>
  <c r="C151"/>
  <c r="K150"/>
  <c r="J150"/>
  <c r="G150"/>
  <c r="F150"/>
  <c r="C150"/>
  <c r="K149"/>
  <c r="J149"/>
  <c r="G149"/>
  <c r="F149"/>
  <c r="C149"/>
  <c r="K148"/>
  <c r="J148"/>
  <c r="G148"/>
  <c r="F148"/>
  <c r="C148"/>
  <c r="K147"/>
  <c r="J147"/>
  <c r="G147"/>
  <c r="F147"/>
  <c r="C147"/>
  <c r="K146"/>
  <c r="J146"/>
  <c r="G146"/>
  <c r="F146"/>
  <c r="C146"/>
  <c r="K145"/>
  <c r="J145"/>
  <c r="G145"/>
  <c r="F145"/>
  <c r="C145"/>
  <c r="K144"/>
  <c r="J144"/>
  <c r="G144"/>
  <c r="F144"/>
  <c r="C144"/>
  <c r="K143"/>
  <c r="J143"/>
  <c r="G143"/>
  <c r="F143"/>
  <c r="C143"/>
  <c r="K142"/>
  <c r="J142"/>
  <c r="G142"/>
  <c r="F142"/>
  <c r="C142"/>
  <c r="K141"/>
  <c r="J141"/>
  <c r="G141"/>
  <c r="F141"/>
  <c r="C141"/>
  <c r="K140"/>
  <c r="J140"/>
  <c r="G140"/>
  <c r="F140"/>
  <c r="C140"/>
  <c r="K139"/>
  <c r="J139"/>
  <c r="G139"/>
  <c r="F139"/>
  <c r="C139"/>
  <c r="K138"/>
  <c r="J138"/>
  <c r="G138"/>
  <c r="F138"/>
  <c r="C138"/>
  <c r="K137"/>
  <c r="J137"/>
  <c r="G137"/>
  <c r="F137"/>
  <c r="C137"/>
  <c r="K136"/>
  <c r="J136"/>
  <c r="G136"/>
  <c r="F136"/>
  <c r="C136"/>
  <c r="K135"/>
  <c r="J135"/>
  <c r="G135"/>
  <c r="F135"/>
  <c r="C135"/>
  <c r="K134"/>
  <c r="J134"/>
  <c r="G134"/>
  <c r="F134"/>
  <c r="C134"/>
  <c r="K133"/>
  <c r="J133"/>
  <c r="G133"/>
  <c r="F133"/>
  <c r="C133"/>
  <c r="K132"/>
  <c r="J132"/>
  <c r="G132"/>
  <c r="F132"/>
  <c r="C132"/>
  <c r="K131"/>
  <c r="J131"/>
  <c r="G131"/>
  <c r="F131"/>
  <c r="C131"/>
  <c r="K130"/>
  <c r="J130"/>
  <c r="G130"/>
  <c r="F130"/>
  <c r="C130"/>
  <c r="K129"/>
  <c r="J129"/>
  <c r="G129"/>
  <c r="F129"/>
  <c r="C129"/>
  <c r="K128"/>
  <c r="J128"/>
  <c r="G128"/>
  <c r="F128"/>
  <c r="C128"/>
  <c r="K127"/>
  <c r="J127"/>
  <c r="G127"/>
  <c r="F127"/>
  <c r="C127"/>
  <c r="K126"/>
  <c r="J126"/>
  <c r="G126"/>
  <c r="F126"/>
  <c r="C126"/>
  <c r="K125"/>
  <c r="J125"/>
  <c r="G125"/>
  <c r="F125"/>
  <c r="C125"/>
  <c r="K124"/>
  <c r="J124"/>
  <c r="G124"/>
  <c r="F124"/>
  <c r="C124"/>
  <c r="K123"/>
  <c r="J123"/>
  <c r="G123"/>
  <c r="F123"/>
  <c r="C123"/>
  <c r="K122"/>
  <c r="J122"/>
  <c r="G122"/>
  <c r="F122"/>
  <c r="C122"/>
  <c r="K121"/>
  <c r="J121"/>
  <c r="G121"/>
  <c r="F121"/>
  <c r="C121"/>
  <c r="K120"/>
  <c r="J120"/>
  <c r="G120"/>
  <c r="F120"/>
  <c r="C120"/>
  <c r="K119"/>
  <c r="J119"/>
  <c r="G119"/>
  <c r="F119"/>
  <c r="C119"/>
  <c r="K118"/>
  <c r="J118"/>
  <c r="G118"/>
  <c r="F118"/>
  <c r="C118"/>
  <c r="K117"/>
  <c r="J117"/>
  <c r="G117"/>
  <c r="F117"/>
  <c r="C117"/>
  <c r="K116"/>
  <c r="J116"/>
  <c r="G116"/>
  <c r="F116"/>
  <c r="C116"/>
  <c r="K115"/>
  <c r="J115"/>
  <c r="G115"/>
  <c r="F115"/>
  <c r="C115"/>
  <c r="K114"/>
  <c r="J114"/>
  <c r="G114"/>
  <c r="F114"/>
  <c r="C114"/>
  <c r="K113"/>
  <c r="J113"/>
  <c r="G113"/>
  <c r="F113"/>
  <c r="C113"/>
  <c r="K112"/>
  <c r="J112"/>
  <c r="G112"/>
  <c r="F112"/>
  <c r="C112"/>
  <c r="K111"/>
  <c r="J111"/>
  <c r="G111"/>
  <c r="F111"/>
  <c r="C111"/>
  <c r="K110"/>
  <c r="J110"/>
  <c r="G110"/>
  <c r="F110"/>
  <c r="C110"/>
  <c r="K109"/>
  <c r="J109"/>
  <c r="G109"/>
  <c r="F109"/>
  <c r="C109"/>
  <c r="K108"/>
  <c r="J108"/>
  <c r="G108"/>
  <c r="F108"/>
  <c r="C108"/>
  <c r="K107"/>
  <c r="J107"/>
  <c r="G107"/>
  <c r="F107"/>
  <c r="C107"/>
  <c r="K106"/>
  <c r="J106"/>
  <c r="G106"/>
  <c r="F106"/>
  <c r="C106"/>
  <c r="K105"/>
  <c r="J105"/>
  <c r="G105"/>
  <c r="F105"/>
  <c r="C105"/>
  <c r="K104"/>
  <c r="J104"/>
  <c r="G104"/>
  <c r="F104"/>
  <c r="C104"/>
  <c r="K103"/>
  <c r="J103"/>
  <c r="G103"/>
  <c r="F103"/>
  <c r="C103"/>
  <c r="K102"/>
  <c r="J102"/>
  <c r="G102"/>
  <c r="F102"/>
  <c r="C102"/>
  <c r="K101"/>
  <c r="J101"/>
  <c r="G101"/>
  <c r="F101"/>
  <c r="C101"/>
  <c r="K100"/>
  <c r="J100"/>
  <c r="G100"/>
  <c r="F100"/>
  <c r="C100"/>
  <c r="K99"/>
  <c r="J99"/>
  <c r="G99"/>
  <c r="F99"/>
  <c r="C99"/>
  <c r="K98"/>
  <c r="J98"/>
  <c r="G98"/>
  <c r="F98"/>
  <c r="C98"/>
  <c r="K97"/>
  <c r="J97"/>
  <c r="G97"/>
  <c r="F97"/>
  <c r="C97"/>
  <c r="K96"/>
  <c r="J96"/>
  <c r="G96"/>
  <c r="F96"/>
  <c r="C96"/>
  <c r="K95"/>
  <c r="J95"/>
  <c r="G95"/>
  <c r="F95"/>
  <c r="C95"/>
  <c r="K94"/>
  <c r="J94"/>
  <c r="G94"/>
  <c r="F94"/>
  <c r="C94"/>
  <c r="K93"/>
  <c r="J93"/>
  <c r="G93"/>
  <c r="F93"/>
  <c r="C93"/>
  <c r="K92"/>
  <c r="J92"/>
  <c r="G92"/>
  <c r="F92"/>
  <c r="C92"/>
  <c r="K91"/>
  <c r="J91"/>
  <c r="G91"/>
  <c r="F91"/>
  <c r="C91"/>
  <c r="K90"/>
  <c r="J90"/>
  <c r="G90"/>
  <c r="F90"/>
  <c r="C90"/>
  <c r="K89"/>
  <c r="J89"/>
  <c r="G89"/>
  <c r="F89"/>
  <c r="C89"/>
  <c r="K88"/>
  <c r="J88"/>
  <c r="G88"/>
  <c r="F88"/>
  <c r="C88"/>
  <c r="K87"/>
  <c r="J87"/>
  <c r="G87"/>
  <c r="F87"/>
  <c r="C87"/>
  <c r="K86"/>
  <c r="J86"/>
  <c r="G86"/>
  <c r="F86"/>
  <c r="C86"/>
  <c r="K85"/>
  <c r="J85"/>
  <c r="G85"/>
  <c r="F85"/>
  <c r="C85"/>
  <c r="K84"/>
  <c r="J84"/>
  <c r="G84"/>
  <c r="F84"/>
  <c r="C84"/>
  <c r="K83"/>
  <c r="J83"/>
  <c r="G83"/>
  <c r="F83"/>
  <c r="C83"/>
  <c r="K82"/>
  <c r="J82"/>
  <c r="G82"/>
  <c r="F82"/>
  <c r="C82"/>
  <c r="K81"/>
  <c r="J81"/>
  <c r="G81"/>
  <c r="F81"/>
  <c r="C81"/>
  <c r="K80"/>
  <c r="J80"/>
  <c r="G80"/>
  <c r="F80"/>
  <c r="C80"/>
  <c r="K79"/>
  <c r="J79"/>
  <c r="G79"/>
  <c r="F79"/>
  <c r="C79"/>
  <c r="K78"/>
  <c r="J78"/>
  <c r="G78"/>
  <c r="F78"/>
  <c r="C78"/>
  <c r="K77"/>
  <c r="J77"/>
  <c r="G77"/>
  <c r="F77"/>
  <c r="C77"/>
  <c r="K76"/>
  <c r="J76"/>
  <c r="G76"/>
  <c r="F76"/>
  <c r="C76"/>
  <c r="K75"/>
  <c r="J75"/>
  <c r="G75"/>
  <c r="F75"/>
  <c r="C75"/>
  <c r="K74"/>
  <c r="J74"/>
  <c r="G74"/>
  <c r="F74"/>
  <c r="C74"/>
  <c r="K73"/>
  <c r="J73"/>
  <c r="G73"/>
  <c r="F73"/>
  <c r="C73"/>
  <c r="K72"/>
  <c r="J72"/>
  <c r="G72"/>
  <c r="F72"/>
  <c r="C72"/>
  <c r="K71"/>
  <c r="J71"/>
  <c r="G71"/>
  <c r="F71"/>
  <c r="C71"/>
  <c r="K70"/>
  <c r="J70"/>
  <c r="G70"/>
  <c r="F70"/>
  <c r="C70"/>
  <c r="K69"/>
  <c r="J69"/>
  <c r="G69"/>
  <c r="F69"/>
  <c r="C69"/>
  <c r="K68"/>
  <c r="J68"/>
  <c r="G68"/>
  <c r="F68"/>
  <c r="C68"/>
  <c r="K67"/>
  <c r="J67"/>
  <c r="G67"/>
  <c r="F67"/>
  <c r="C67"/>
  <c r="K66"/>
  <c r="J66"/>
  <c r="G66"/>
  <c r="F66"/>
  <c r="C66"/>
  <c r="K65"/>
  <c r="J65"/>
  <c r="G65"/>
  <c r="F65"/>
  <c r="C65"/>
  <c r="K64"/>
  <c r="J64"/>
  <c r="G64"/>
  <c r="F64"/>
  <c r="C64"/>
  <c r="K63"/>
  <c r="J63"/>
  <c r="G63"/>
  <c r="F63"/>
  <c r="C63"/>
  <c r="K62"/>
  <c r="J62"/>
  <c r="G62"/>
  <c r="F62"/>
  <c r="C62"/>
  <c r="K61"/>
  <c r="J61"/>
  <c r="G61"/>
  <c r="F61"/>
  <c r="C61"/>
  <c r="K60"/>
  <c r="J60"/>
  <c r="G60"/>
  <c r="F60"/>
  <c r="C60"/>
  <c r="K59"/>
  <c r="J59"/>
  <c r="G59"/>
  <c r="F59"/>
  <c r="C59"/>
  <c r="K58"/>
  <c r="J58"/>
  <c r="G58"/>
  <c r="F58"/>
  <c r="C58"/>
  <c r="K57"/>
  <c r="J57"/>
  <c r="G57"/>
  <c r="F57"/>
  <c r="C57"/>
  <c r="K56"/>
  <c r="J56"/>
  <c r="G56"/>
  <c r="F56"/>
  <c r="C56"/>
  <c r="K55"/>
  <c r="J55"/>
  <c r="G55"/>
  <c r="F55"/>
  <c r="C55"/>
  <c r="K54"/>
  <c r="J54"/>
  <c r="G54"/>
  <c r="F54"/>
  <c r="C54"/>
  <c r="K53"/>
  <c r="J53"/>
  <c r="G53"/>
  <c r="F53"/>
  <c r="C53"/>
  <c r="K52"/>
  <c r="J52"/>
  <c r="G52"/>
  <c r="F52"/>
  <c r="C52"/>
  <c r="K51"/>
  <c r="J51"/>
  <c r="G51"/>
  <c r="F51"/>
  <c r="C51"/>
  <c r="K50"/>
  <c r="J50"/>
  <c r="G50"/>
  <c r="F50"/>
  <c r="C50"/>
  <c r="K49"/>
  <c r="J49"/>
  <c r="G49"/>
  <c r="F49"/>
  <c r="C49"/>
  <c r="K48"/>
  <c r="J48"/>
  <c r="G48"/>
  <c r="F48"/>
  <c r="C48"/>
  <c r="K47"/>
  <c r="J47"/>
  <c r="G47"/>
  <c r="F47"/>
  <c r="C47"/>
  <c r="K46"/>
  <c r="J46"/>
  <c r="G46"/>
  <c r="F46"/>
  <c r="C46"/>
  <c r="K45"/>
  <c r="J45"/>
  <c r="G45"/>
  <c r="F45"/>
  <c r="C45"/>
  <c r="K44"/>
  <c r="J44"/>
  <c r="G44"/>
  <c r="F44"/>
  <c r="C44"/>
  <c r="K43"/>
  <c r="J43"/>
  <c r="G43"/>
  <c r="F43"/>
  <c r="C43"/>
  <c r="K42"/>
  <c r="J42"/>
  <c r="G42"/>
  <c r="F42"/>
  <c r="C42"/>
  <c r="K41"/>
  <c r="J41"/>
  <c r="G41"/>
  <c r="F41"/>
  <c r="C41"/>
  <c r="K40"/>
  <c r="J40"/>
  <c r="G40"/>
  <c r="F40"/>
  <c r="C40"/>
  <c r="K39"/>
  <c r="J39"/>
  <c r="G39"/>
  <c r="F39"/>
  <c r="C39"/>
  <c r="K38"/>
  <c r="J38"/>
  <c r="G38"/>
  <c r="F38"/>
  <c r="C38"/>
  <c r="K37"/>
  <c r="J37"/>
  <c r="G37"/>
  <c r="F37"/>
  <c r="C37"/>
  <c r="K36"/>
  <c r="J36"/>
  <c r="G36"/>
  <c r="F36"/>
  <c r="C36"/>
  <c r="K35"/>
  <c r="J35"/>
  <c r="G35"/>
  <c r="F35"/>
  <c r="C35"/>
  <c r="K34"/>
  <c r="J34"/>
  <c r="G34"/>
  <c r="F34"/>
  <c r="C34"/>
  <c r="K33"/>
  <c r="J33"/>
  <c r="G33"/>
  <c r="F33"/>
  <c r="C33"/>
  <c r="K32"/>
  <c r="J32"/>
  <c r="G32"/>
  <c r="F32"/>
  <c r="C32"/>
  <c r="K31"/>
  <c r="J31"/>
  <c r="G31"/>
  <c r="F31"/>
  <c r="C31"/>
  <c r="K30"/>
  <c r="J30"/>
  <c r="G30"/>
  <c r="F30"/>
  <c r="C30"/>
  <c r="K29"/>
  <c r="J29"/>
  <c r="G29"/>
  <c r="F29"/>
  <c r="C29"/>
  <c r="K28"/>
  <c r="J28"/>
  <c r="G28"/>
  <c r="F28"/>
  <c r="C28"/>
  <c r="K27"/>
  <c r="J27"/>
  <c r="G27"/>
  <c r="F27"/>
  <c r="C27"/>
  <c r="K26"/>
  <c r="J26"/>
  <c r="G26"/>
  <c r="F26"/>
  <c r="C26"/>
  <c r="K25"/>
  <c r="J25"/>
  <c r="G25"/>
  <c r="F25"/>
  <c r="C25"/>
  <c r="K24"/>
  <c r="J24"/>
  <c r="G24"/>
  <c r="F24"/>
  <c r="C24"/>
  <c r="K23"/>
  <c r="J23"/>
  <c r="G23"/>
  <c r="F23"/>
  <c r="C23"/>
  <c r="K22"/>
  <c r="J22"/>
  <c r="G22"/>
  <c r="F22"/>
  <c r="C22"/>
  <c r="K21"/>
  <c r="J21"/>
  <c r="G21"/>
  <c r="F21"/>
  <c r="C21"/>
  <c r="K20"/>
  <c r="J20"/>
  <c r="G20"/>
  <c r="F20"/>
  <c r="C20"/>
  <c r="K19"/>
  <c r="J19"/>
  <c r="G19"/>
  <c r="F19"/>
  <c r="C19"/>
  <c r="K18"/>
  <c r="J18"/>
  <c r="G18"/>
  <c r="F18"/>
  <c r="C18"/>
  <c r="K17"/>
  <c r="J17"/>
  <c r="G17"/>
  <c r="F17"/>
  <c r="C17"/>
  <c r="K16"/>
  <c r="J16"/>
  <c r="G16"/>
  <c r="F16"/>
  <c r="C16"/>
  <c r="K15"/>
  <c r="J15"/>
  <c r="G15"/>
  <c r="F15"/>
  <c r="C15"/>
  <c r="K14"/>
  <c r="J14"/>
  <c r="G14"/>
  <c r="F14"/>
  <c r="C14"/>
  <c r="K13"/>
  <c r="J13"/>
  <c r="G13"/>
  <c r="F13"/>
  <c r="C13"/>
  <c r="K12"/>
  <c r="J12"/>
  <c r="G12"/>
  <c r="F12"/>
  <c r="C12"/>
  <c r="K11"/>
  <c r="J11"/>
  <c r="G11"/>
  <c r="F11"/>
  <c r="C11"/>
  <c r="K10"/>
  <c r="J10"/>
  <c r="G10"/>
  <c r="F10"/>
  <c r="C10"/>
  <c r="K9"/>
  <c r="J9"/>
  <c r="G9"/>
  <c r="F9"/>
  <c r="C9"/>
  <c r="K8"/>
  <c r="J8"/>
  <c r="G8"/>
  <c r="F8"/>
  <c r="C8"/>
  <c r="K7"/>
  <c r="J7"/>
  <c r="G7"/>
  <c r="F7"/>
  <c r="C7"/>
  <c r="K6"/>
  <c r="J6"/>
  <c r="G6"/>
  <c r="F6"/>
  <c r="C6"/>
</calcChain>
</file>

<file path=xl/sharedStrings.xml><?xml version="1.0" encoding="utf-8"?>
<sst xmlns="http://schemas.openxmlformats.org/spreadsheetml/2006/main" count="7439" uniqueCount="882">
  <si>
    <t>IFES</t>
  </si>
  <si>
    <t xml:space="preserve">FESTO                                                                                                                                                                                                                                                     </t>
  </si>
  <si>
    <t>Skynet In-House Manifest</t>
  </si>
  <si>
    <t>DATE</t>
  </si>
  <si>
    <t>C17924</t>
  </si>
  <si>
    <t>TIME</t>
  </si>
  <si>
    <t>Date</t>
  </si>
  <si>
    <t>Time</t>
  </si>
  <si>
    <t>Waybill</t>
  </si>
  <si>
    <t>Sender</t>
  </si>
  <si>
    <t>Consignee</t>
  </si>
  <si>
    <t>Client Ref</t>
  </si>
  <si>
    <t>Service</t>
  </si>
  <si>
    <t>Send Branch</t>
  </si>
  <si>
    <t>Dest Branch</t>
  </si>
  <si>
    <t>Special Instr</t>
  </si>
  <si>
    <t>Parcel No</t>
  </si>
  <si>
    <t>No Prcls</t>
  </si>
  <si>
    <t>Tot Kgs</t>
  </si>
  <si>
    <t xml:space="preserve">Festo               </t>
  </si>
  <si>
    <t xml:space="preserve">DALEIN AGRI PLAN PTY LTD                </t>
  </si>
  <si>
    <t>JNB</t>
  </si>
  <si>
    <t>LEEUWFONTEIN</t>
  </si>
  <si>
    <t>ROCKTREES ELECTRIC &amp; INDUSTRIAL SUPPLIES</t>
  </si>
  <si>
    <t>ROSSLYN</t>
  </si>
  <si>
    <t xml:space="preserve">LEONARD DIGLER (PTY)LTD                 </t>
  </si>
  <si>
    <t>BOKSBURG</t>
  </si>
  <si>
    <t xml:space="preserve">ACEPAK PACKAGING SYSTEMS                </t>
  </si>
  <si>
    <t>MONTAGUE GARDENS</t>
  </si>
  <si>
    <t xml:space="preserve">QUALIPAK (PTY) LTD                      </t>
  </si>
  <si>
    <t>PAARL</t>
  </si>
  <si>
    <t xml:space="preserve">TILE MAGIC CC                           </t>
  </si>
  <si>
    <t>BAPSFONTEIN</t>
  </si>
  <si>
    <t xml:space="preserve">MAINSTREET 1310                         </t>
  </si>
  <si>
    <t>PRETORIA WEST</t>
  </si>
  <si>
    <t xml:space="preserve">MICROMATH TRADING 168 CC                </t>
  </si>
  <si>
    <t>CENTURION</t>
  </si>
  <si>
    <t xml:space="preserve">UNILIVER SA                             </t>
  </si>
  <si>
    <t xml:space="preserve">IMP AUTOMATED LABORATORY SERVICE        </t>
  </si>
  <si>
    <t xml:space="preserve">BEARING MAN GROUP                       </t>
  </si>
  <si>
    <t>DROSTE PARK</t>
  </si>
  <si>
    <t xml:space="preserve">CLURE PROJECTS CC                       </t>
  </si>
  <si>
    <t>NEAVE TSP</t>
  </si>
  <si>
    <t xml:space="preserve">COCA-COLA BEVERGES SOUTH AFRICA PTY LTD </t>
  </si>
  <si>
    <t>PHOENIX INDUSTRIAL AREA</t>
  </si>
  <si>
    <t>ALBANY BAKERIES A DIVISION OF TIGER BRAN</t>
  </si>
  <si>
    <t>MANABA BEACH</t>
  </si>
  <si>
    <t xml:space="preserve">FOXOLUTION SYSTEMS ENG CC               </t>
  </si>
  <si>
    <t>SUNNYDALE</t>
  </si>
  <si>
    <t xml:space="preserve">UNION -SWISS PTY LTD                    </t>
  </si>
  <si>
    <t xml:space="preserve">CPC STSTEMS CC                          </t>
  </si>
  <si>
    <t>DOORNBULT</t>
  </si>
  <si>
    <t xml:space="preserve">UNILIVER                                </t>
  </si>
  <si>
    <t>ANDERBOLT</t>
  </si>
  <si>
    <t xml:space="preserve">AGM 2 TRUST                             </t>
  </si>
  <si>
    <t>LOTHAIR</t>
  </si>
  <si>
    <t xml:space="preserve">EGLI PRECISION ENGINEERING PTY LTD      </t>
  </si>
  <si>
    <t>PIETERMARITZBURG</t>
  </si>
  <si>
    <t xml:space="preserve">H.G MOLENAAR (PTY) LTD                  </t>
  </si>
  <si>
    <t xml:space="preserve">COMMUTER TRANSPORT ENGINEERING          </t>
  </si>
  <si>
    <t>OKAVANGO PARK</t>
  </si>
  <si>
    <t xml:space="preserve">DISTELL (PTY) LTD                       </t>
  </si>
  <si>
    <t>STELLENBOSCH</t>
  </si>
  <si>
    <t xml:space="preserve">QUALITECHS                              </t>
  </si>
  <si>
    <t>STEELEDALE</t>
  </si>
  <si>
    <t xml:space="preserve">CONTINENTAL TYRE SA                     </t>
  </si>
  <si>
    <t>STRUANDALE</t>
  </si>
  <si>
    <t xml:space="preserve">FIRST NATIONAL BATTERY                  </t>
  </si>
  <si>
    <t>EAST LONDON</t>
  </si>
  <si>
    <t xml:space="preserve">BMG EAST LONDON                         </t>
  </si>
  <si>
    <t xml:space="preserve">CLIFFORD WELDING SYSTEMS PTY LTD        </t>
  </si>
  <si>
    <t xml:space="preserve">FESTO DUR OFFICE                        </t>
  </si>
  <si>
    <t>SPRINGFIELD PARK</t>
  </si>
  <si>
    <t xml:space="preserve">TIGER BRANDS                            </t>
  </si>
  <si>
    <t>JACOBS</t>
  </si>
  <si>
    <t xml:space="preserve">POLYOAK PACKAGING (PTY) LTD             </t>
  </si>
  <si>
    <t>PINETOWN</t>
  </si>
  <si>
    <t xml:space="preserve">UMKOMAAS LIGNIN                         </t>
  </si>
  <si>
    <t>UMKOMAAS</t>
  </si>
  <si>
    <t xml:space="preserve">NARROWTEX PTY LTD                       </t>
  </si>
  <si>
    <t>ESTCOURT</t>
  </si>
  <si>
    <t xml:space="preserve">CIM AUTOMATION                          </t>
  </si>
  <si>
    <t xml:space="preserve">PROGETTO INTERNATIONAL                  </t>
  </si>
  <si>
    <t>KILLARNEY GARDENS</t>
  </si>
  <si>
    <t xml:space="preserve">GOSSAMER STRUCTURES CC                  </t>
  </si>
  <si>
    <t>SOMERSET WEST</t>
  </si>
  <si>
    <t xml:space="preserve">TS ENGINEERING                          </t>
  </si>
  <si>
    <t>MULDERSDRIF</t>
  </si>
  <si>
    <t xml:space="preserve">BMG PRETORIA 0169                       </t>
  </si>
  <si>
    <t>PRETORIA</t>
  </si>
  <si>
    <t xml:space="preserve">HYFLO SOUTHERN AFRICA (PTY) LTD         </t>
  </si>
  <si>
    <t>PAARDENEILAND</t>
  </si>
  <si>
    <t xml:space="preserve">METROCAS CC                             </t>
  </si>
  <si>
    <t>VORNA VALLEY</t>
  </si>
  <si>
    <t xml:space="preserve">JOHNSON MATTHEY PTY LTD                 </t>
  </si>
  <si>
    <t>GERMISTON SOUTH</t>
  </si>
  <si>
    <t xml:space="preserve">TRUDA SNACKS CAPE CC                    </t>
  </si>
  <si>
    <t>EPPING INDUSTRIAL</t>
  </si>
  <si>
    <t xml:space="preserve">AMS BEARING CC                          </t>
  </si>
  <si>
    <t xml:space="preserve">M &amp; C BEARINGS &amp; TRANSMISSION           </t>
  </si>
  <si>
    <t>NIGEL</t>
  </si>
  <si>
    <t xml:space="preserve">PFG BUILDING GLASS                      </t>
  </si>
  <si>
    <t>SPRINGS</t>
  </si>
  <si>
    <t xml:space="preserve">THE SOUTH AFRICAN BREWERIES LTD         </t>
  </si>
  <si>
    <t xml:space="preserve">CB PNEUMATICS PTY LTD                   </t>
  </si>
  <si>
    <t>WADEVILLE</t>
  </si>
  <si>
    <t xml:space="preserve">COCA COLA BEVERAGES SA                  </t>
  </si>
  <si>
    <t>OLIFANTSFONTEIN</t>
  </si>
  <si>
    <t xml:space="preserve">ALBANY BAKERIES                         </t>
  </si>
  <si>
    <t>WALTLOO</t>
  </si>
  <si>
    <t xml:space="preserve">MECHANICAL CONCEPTS CC                  </t>
  </si>
  <si>
    <t xml:space="preserve">HYFLO SA PTY LTD                        </t>
  </si>
  <si>
    <t>EAST END</t>
  </si>
  <si>
    <t xml:space="preserve">MONDELEZ PE FACTORY INC                 </t>
  </si>
  <si>
    <t>HOLLAND PARK</t>
  </si>
  <si>
    <t xml:space="preserve">OVER ARFICA INDUSTRIAL SUPPLIES         </t>
  </si>
  <si>
    <t xml:space="preserve">ANALOG &amp; DIGITAL POWER ELECTRONICS      </t>
  </si>
  <si>
    <t>UITENHAGE</t>
  </si>
  <si>
    <t>KORSTEN</t>
  </si>
  <si>
    <t xml:space="preserve">MERCEDES - BENZ S.A LIMITED             </t>
  </si>
  <si>
    <t xml:space="preserve">FORD OF SOUTHERN AFRICA AX9WA           </t>
  </si>
  <si>
    <t xml:space="preserve">SMA ENGINEERING S.A. (PTY) LTD          </t>
  </si>
  <si>
    <t>WOODBROOK</t>
  </si>
  <si>
    <t xml:space="preserve">S4 INTEGRATION (PTY) LTD                </t>
  </si>
  <si>
    <t>PORT ELIZABETH</t>
  </si>
  <si>
    <t xml:space="preserve">FILTEC AUTOMATION PTY LTD               </t>
  </si>
  <si>
    <t>MOUNT EDGECOMBE</t>
  </si>
  <si>
    <t xml:space="preserve">NATIONAL BRANDS BUSCUITS &amp; SNACKS       </t>
  </si>
  <si>
    <t>WESTMEAD</t>
  </si>
  <si>
    <t xml:space="preserve">PNEUMATIC AID                           </t>
  </si>
  <si>
    <t xml:space="preserve">G.U.D. HOLDINGS                         </t>
  </si>
  <si>
    <t>ISIPINGO</t>
  </si>
  <si>
    <t xml:space="preserve">ILLOVO SUGAR LTD                        </t>
  </si>
  <si>
    <t>EDENVALE</t>
  </si>
  <si>
    <t xml:space="preserve">FORD MOTORING CO OF SA                  </t>
  </si>
  <si>
    <t>SILVERTON</t>
  </si>
  <si>
    <t xml:space="preserve">MA AUTOMOTIVE TOOL &amp; DIE                </t>
  </si>
  <si>
    <t xml:space="preserve">SANMIK AGENCIES CC                      </t>
  </si>
  <si>
    <t>GEORGE INDUSTRIA</t>
  </si>
  <si>
    <t xml:space="preserve">TECHNOGRAN                              </t>
  </si>
  <si>
    <t>LINKSFIELD</t>
  </si>
  <si>
    <t xml:space="preserve">HYDROMATIC                              </t>
  </si>
  <si>
    <t xml:space="preserve">MAVTECH                                 </t>
  </si>
  <si>
    <t>ROOIHUISKRAAL</t>
  </si>
  <si>
    <t xml:space="preserve">DE BEERS GROUP SERVICES                 </t>
  </si>
  <si>
    <t>BOOYSENS RESERVE</t>
  </si>
  <si>
    <t xml:space="preserve">RECKITT BENCKISER SA                    </t>
  </si>
  <si>
    <t>ELANDSFONTEIN</t>
  </si>
  <si>
    <t xml:space="preserve">RAND BLOWER (PTY)LTD                    </t>
  </si>
  <si>
    <t xml:space="preserve">UNILEVER SOUTH AFRICA (PTY) LTD         </t>
  </si>
  <si>
    <t>DURBAN</t>
  </si>
  <si>
    <t xml:space="preserve">SASOL CHEMICALS SA                      </t>
  </si>
  <si>
    <t>SASOLBURG</t>
  </si>
  <si>
    <t xml:space="preserve">CULINARY A DIV OF TIGER CONSUMER BRANDS </t>
  </si>
  <si>
    <t>BOKSBURG EAST</t>
  </si>
  <si>
    <t xml:space="preserve">ACK SOLUTIONS PTY LTD                   </t>
  </si>
  <si>
    <t xml:space="preserve">VARELEC DISTRIBUTORS CC                 </t>
  </si>
  <si>
    <t>BRIARDENE</t>
  </si>
  <si>
    <t>TIGER BRANDS SNACKS &amp; TREATS &amp; BEVERAGES</t>
  </si>
  <si>
    <t>MOBENI</t>
  </si>
  <si>
    <t xml:space="preserve">NR EXTREME ENGINEERING &amp; PIPING         </t>
  </si>
  <si>
    <t>CONGELLA</t>
  </si>
  <si>
    <t xml:space="preserve">FILMATIC PACKAGING SYSTEM (PTY) LTD     </t>
  </si>
  <si>
    <t xml:space="preserve">AL'S PROJECTS SPECIALIZED               </t>
  </si>
  <si>
    <t>BRACKENFELL</t>
  </si>
  <si>
    <t xml:space="preserve">COCA COLA SHANDUKA BEVERAGES            </t>
  </si>
  <si>
    <t xml:space="preserve">BRADCHER INDUSTRIAL WHOLESALER          </t>
  </si>
  <si>
    <t>RYNFIELD</t>
  </si>
  <si>
    <t xml:space="preserve">SICPA                                   </t>
  </si>
  <si>
    <t>SANDTON</t>
  </si>
  <si>
    <t xml:space="preserve">AIR PRODUCTS                            </t>
  </si>
  <si>
    <t>SPARTAN</t>
  </si>
  <si>
    <t xml:space="preserve">CONSOL GLASS                            </t>
  </si>
  <si>
    <t xml:space="preserve">CDP MANUFACTURING CC                    </t>
  </si>
  <si>
    <t xml:space="preserve">JENDAMARK AUTOMATION PTY LTD            </t>
  </si>
  <si>
    <t>NORTH END</t>
  </si>
  <si>
    <t xml:space="preserve">REEF CONSTRUCTION MACHINERY             </t>
  </si>
  <si>
    <t>JET PARK</t>
  </si>
  <si>
    <t xml:space="preserve">SAR ELECTRONIC SA (PTY)LTD              </t>
  </si>
  <si>
    <t>SIDWELL</t>
  </si>
  <si>
    <t xml:space="preserve">MERCEDES BENZ TRAINING CENTRE           </t>
  </si>
  <si>
    <t xml:space="preserve">AUTO TRIM ROSSLYN AD DIV OF FETEX       </t>
  </si>
  <si>
    <t xml:space="preserve">LINDE + WIEMANN (PTY) LTD               </t>
  </si>
  <si>
    <t xml:space="preserve">NATIONAL PACKAGING SYSTEMS              </t>
  </si>
  <si>
    <t xml:space="preserve"> FERROCHORME                            </t>
  </si>
  <si>
    <t>STEELPOORT</t>
  </si>
  <si>
    <t xml:space="preserve">MITAS CORPORATION (PTY)LTD              </t>
  </si>
  <si>
    <t>NORTH RIDING</t>
  </si>
  <si>
    <t xml:space="preserve">PG BISON A DIV OF KAP DIVERSIFIED       </t>
  </si>
  <si>
    <t>ALRODE</t>
  </si>
  <si>
    <t xml:space="preserve">UMOYA AUTOMATION CC                     </t>
  </si>
  <si>
    <t>ALBERTON NORTH</t>
  </si>
  <si>
    <t xml:space="preserve">FAMOUS BRANDS MANAGEMENT                </t>
  </si>
  <si>
    <t>MIDRAND</t>
  </si>
  <si>
    <t xml:space="preserve">HYDRAQUIP                               </t>
  </si>
  <si>
    <t>DAL JOSAFAT</t>
  </si>
  <si>
    <t xml:space="preserve">PAARL PNEUMATICS CC                     </t>
  </si>
  <si>
    <t>PAROW EAST</t>
  </si>
  <si>
    <t xml:space="preserve">STRIDENT ENGINEERING CC                 </t>
  </si>
  <si>
    <t xml:space="preserve">EAST COAST INSTRUMENTATION SALES        </t>
  </si>
  <si>
    <t xml:space="preserve">TONGAAT HULETT STARCH PTY LTD           </t>
  </si>
  <si>
    <t>BELLVILLE SOUTH</t>
  </si>
  <si>
    <t xml:space="preserve">DES GROUP (PTY)LTD                      </t>
  </si>
  <si>
    <t xml:space="preserve">STEINHOBEL INSTRUMENTATION (PTY)LTD     </t>
  </si>
  <si>
    <t>RUSTENBURG</t>
  </si>
  <si>
    <t xml:space="preserve">UMICORE CATALYST SA PTY LTD             </t>
  </si>
  <si>
    <t>DEAL PARTY</t>
  </si>
  <si>
    <t xml:space="preserve">VAN NIEKERK PACKAGING SUPPORT           </t>
  </si>
  <si>
    <t xml:space="preserve">VITAL HEALTH FOODS PTY LTD              </t>
  </si>
  <si>
    <t>KUILS RIVER</t>
  </si>
  <si>
    <t xml:space="preserve">PIONEER FOOD PTY LTD                    </t>
  </si>
  <si>
    <t>AEROTON</t>
  </si>
  <si>
    <t xml:space="preserve">POLYOAK PACKAGING PTY LTD               </t>
  </si>
  <si>
    <t xml:space="preserve">ISOWAL SA PTY LTD                       </t>
  </si>
  <si>
    <t xml:space="preserve">RHODES FOOD GROUP                       </t>
  </si>
  <si>
    <t>KRUGERSDORP</t>
  </si>
  <si>
    <t xml:space="preserve">STARKE INDUSTRIES CC                    </t>
  </si>
  <si>
    <t>PRETORIA NORTH</t>
  </si>
  <si>
    <t xml:space="preserve">MARCOM PLASTICS CC                      </t>
  </si>
  <si>
    <t xml:space="preserve">PRESSURE DIE CASTINGS PTY LTD           </t>
  </si>
  <si>
    <t xml:space="preserve">COMPRESSED AIR EQUIPMENT                </t>
  </si>
  <si>
    <t xml:space="preserve">CAVALETTO 98                            </t>
  </si>
  <si>
    <t>UMBILO</t>
  </si>
  <si>
    <t xml:space="preserve">ADCOCK INGRASM CRITICAL CARE PTY LTD    </t>
  </si>
  <si>
    <t xml:space="preserve">DIVFOOD A DIV OF NAMPAK PRODUCTS LTD    </t>
  </si>
  <si>
    <t>VANDERBIJLPARK</t>
  </si>
  <si>
    <t xml:space="preserve">TRU GAGE MACHINES                       </t>
  </si>
  <si>
    <t>KNIGHTS</t>
  </si>
  <si>
    <t xml:space="preserve">VICTORY ELECTRICAL CC                   </t>
  </si>
  <si>
    <t>MILNERTON</t>
  </si>
  <si>
    <t xml:space="preserve">CEREBOS LTD                             </t>
  </si>
  <si>
    <t>COEGA</t>
  </si>
  <si>
    <t xml:space="preserve">Liqui Box                               </t>
  </si>
  <si>
    <t>AIRPORT INDUSTRIA</t>
  </si>
  <si>
    <t xml:space="preserve">FAURECIA EMISSIONS CONTROL TECHNOLOGY   </t>
  </si>
  <si>
    <t>RETREAT</t>
  </si>
  <si>
    <t xml:space="preserve">FILKRAFT ( PTY) LTD                     </t>
  </si>
  <si>
    <t xml:space="preserve">CONLOG PTY LTD                          </t>
  </si>
  <si>
    <t>OVERPORT</t>
  </si>
  <si>
    <t xml:space="preserve">BBF SAFETY GROUP PTY LTD                </t>
  </si>
  <si>
    <t xml:space="preserve">SODECIA SA                              </t>
  </si>
  <si>
    <t xml:space="preserve">SA STEELPACK SYSTEM SOLUTION            </t>
  </si>
  <si>
    <t>TONGAAT</t>
  </si>
  <si>
    <t xml:space="preserve">NORTH STAR INDUSTRIAL SUPPLIES CC       </t>
  </si>
  <si>
    <t xml:space="preserve">UV + IR ENGINEERING PTY LTD             </t>
  </si>
  <si>
    <t xml:space="preserve">G.U.D HOLDINGS                          </t>
  </si>
  <si>
    <t>WILLOWTON</t>
  </si>
  <si>
    <t xml:space="preserve">OPEN DOOR TRADERS CC                    </t>
  </si>
  <si>
    <t>WOODSTOCK</t>
  </si>
  <si>
    <t xml:space="preserve">DENEL VEHICLE SYSTEMS                   </t>
  </si>
  <si>
    <t>BENONI</t>
  </si>
  <si>
    <t xml:space="preserve">AEL MINING SERVICES LIMITED             </t>
  </si>
  <si>
    <t>MODDERFONTEIN</t>
  </si>
  <si>
    <t xml:space="preserve">ROBOTIC INNOVATIONS PTY                 </t>
  </si>
  <si>
    <t>IRENE</t>
  </si>
  <si>
    <t xml:space="preserve">KARAN BEEF (PTY) LTD                    </t>
  </si>
  <si>
    <t>BALFOUR</t>
  </si>
  <si>
    <t xml:space="preserve">DISTELL (PTY)LTD                        </t>
  </si>
  <si>
    <t>WELLINGTON</t>
  </si>
  <si>
    <t xml:space="preserve">PREMIER FMCG PTY LTD                    </t>
  </si>
  <si>
    <t>MTHATHA</t>
  </si>
  <si>
    <t xml:space="preserve">AUTOMA MULTI STYRENE PTY LTD            </t>
  </si>
  <si>
    <t xml:space="preserve">TONGAAT HULLET STARCH                   </t>
  </si>
  <si>
    <t>RANDVAAL</t>
  </si>
  <si>
    <t xml:space="preserve">SANDOZ SA PTY LTD                       </t>
  </si>
  <si>
    <t xml:space="preserve">ELUMATEC SOUTH AFRICA                   </t>
  </si>
  <si>
    <t xml:space="preserve">PAMODZI UNIQUE ENGINEERING              </t>
  </si>
  <si>
    <t>LILIANTON</t>
  </si>
  <si>
    <t xml:space="preserve">DISTELL                                 </t>
  </si>
  <si>
    <t>NUFFIELD</t>
  </si>
  <si>
    <t xml:space="preserve">MBSA # PASSENGER CARS                   </t>
  </si>
  <si>
    <t xml:space="preserve">CLOVER WATERS PTY LTD                   </t>
  </si>
  <si>
    <t xml:space="preserve">EFAMATIC MACHINE TOOLS                  </t>
  </si>
  <si>
    <t>CLEVELAND</t>
  </si>
  <si>
    <t xml:space="preserve">OBERTHUR TECHNOLOGIES S.A (PTY)LTD      </t>
  </si>
  <si>
    <t xml:space="preserve">BARNES REINFORCING INDUSTRIES           </t>
  </si>
  <si>
    <t xml:space="preserve">CBI ELECTRIC TELECOM CABLES             </t>
  </si>
  <si>
    <t>BRITS</t>
  </si>
  <si>
    <t xml:space="preserve">SHATTERPRUFE TRADING                    </t>
  </si>
  <si>
    <t>GARANKUWA</t>
  </si>
  <si>
    <t xml:space="preserve">BMW ROSSLYN                             </t>
  </si>
  <si>
    <t xml:space="preserve">HACKMACK ENTERPRISES                    </t>
  </si>
  <si>
    <t>ARCADIA</t>
  </si>
  <si>
    <t>PERSEVERANCE</t>
  </si>
  <si>
    <t xml:space="preserve">ANDERSON ENGINEERING &amp;                  </t>
  </si>
  <si>
    <t xml:space="preserve">HENRED FRUEHAUF PART DIV TRAIL          </t>
  </si>
  <si>
    <t xml:space="preserve">PAILPAC PTY LTD                         </t>
  </si>
  <si>
    <t>GILLITTS</t>
  </si>
  <si>
    <t xml:space="preserve">ELEMENT SIX PRODUCTION                  </t>
  </si>
  <si>
    <t xml:space="preserve">WEIR MINERALS AFRICA                    </t>
  </si>
  <si>
    <t>ISANDO</t>
  </si>
  <si>
    <t xml:space="preserve">UNIQUE HYDRA (PTY)LTD                   </t>
  </si>
  <si>
    <t xml:space="preserve">CIRCUIT BREAKER INDUSTRIES PTY LTD      </t>
  </si>
  <si>
    <t xml:space="preserve">PROCESS DYNAMICS PTY LTD                </t>
  </si>
  <si>
    <t>RHODESFIELD</t>
  </si>
  <si>
    <t xml:space="preserve">FORD MOTOR CO. SA MANUFACTURING         </t>
  </si>
  <si>
    <t xml:space="preserve">MECHATRONICS                            </t>
  </si>
  <si>
    <t xml:space="preserve">AUTO X PTY LTD                          </t>
  </si>
  <si>
    <t xml:space="preserve">PHARMACARE LTD T/A ASPEN                </t>
  </si>
  <si>
    <t xml:space="preserve">REHAU POLYMER (PTY) LTD                 </t>
  </si>
  <si>
    <t>FORT JACKSON</t>
  </si>
  <si>
    <t xml:space="preserve">RCL FOODS CONSUMER (PTY)LTD             </t>
  </si>
  <si>
    <t>INDUSTRIAL AREA</t>
  </si>
  <si>
    <t xml:space="preserve">BLENDCOR (PTY) LTD                      </t>
  </si>
  <si>
    <t>FYNNLAND</t>
  </si>
  <si>
    <t xml:space="preserve">NESTLE SA                               </t>
  </si>
  <si>
    <t>HARRISMITH</t>
  </si>
  <si>
    <t xml:space="preserve">MAHLE BEHR SOUTH AFRCA (PTY) LTD        </t>
  </si>
  <si>
    <t>NEW GERMANY</t>
  </si>
  <si>
    <t>HAMMARSDALE</t>
  </si>
  <si>
    <t xml:space="preserve">SAPPI SA LTD                            </t>
  </si>
  <si>
    <t xml:space="preserve">RICH PRODUCTS CORP OF SA                </t>
  </si>
  <si>
    <t>OPHIRTON</t>
  </si>
  <si>
    <t xml:space="preserve">NATIONAL BRANDS LOMITED                 </t>
  </si>
  <si>
    <t xml:space="preserve">MA CONSUME &amp; MAITENANCE                 </t>
  </si>
  <si>
    <t xml:space="preserve">PLASTIC OMNIUM AUTO INERGY SA           </t>
  </si>
  <si>
    <t xml:space="preserve">CHANLOU TRADING CC                      </t>
  </si>
  <si>
    <t>SELCOURT</t>
  </si>
  <si>
    <t xml:space="preserve">PPC CEMENT SA                           </t>
  </si>
  <si>
    <t>HERCULES</t>
  </si>
  <si>
    <t xml:space="preserve">MCCAIN FOOD SOUTH AFRICA PTY LTD        </t>
  </si>
  <si>
    <t>DELMAS EXT 1</t>
  </si>
  <si>
    <t xml:space="preserve">AFRISAM SA PTY LTD                      </t>
  </si>
  <si>
    <t>VULCANIA</t>
  </si>
  <si>
    <t xml:space="preserve">BEVCAN A DIV OF NAMPAK PRODUCT LTD      </t>
  </si>
  <si>
    <t xml:space="preserve">TDF PROJECTS &amp; EQUIPMENT                </t>
  </si>
  <si>
    <t xml:space="preserve">BRIDGESTONE FIRESTONE SA PTY LTD        </t>
  </si>
  <si>
    <t xml:space="preserve">CONSOLIDATED WATER CONDITIONING         </t>
  </si>
  <si>
    <t xml:space="preserve">HULAMIN OPERATIONTS PTY LTD             </t>
  </si>
  <si>
    <t xml:space="preserve">FLUIDRA WATERLINX                       </t>
  </si>
  <si>
    <t>DENVER</t>
  </si>
  <si>
    <t xml:space="preserve">SOUTHERN PULP MACHINERY                 </t>
  </si>
  <si>
    <t xml:space="preserve">RCL FOODS CONSUMER PTY                  </t>
  </si>
  <si>
    <t>WORCESTER</t>
  </si>
  <si>
    <t xml:space="preserve">KIMBERLY CLARK                          </t>
  </si>
  <si>
    <t xml:space="preserve">TENNECO EMISSION CONTROL                </t>
  </si>
  <si>
    <t xml:space="preserve">BENTELER AUTOMOTIVE SA (PTY) LTD        </t>
  </si>
  <si>
    <t xml:space="preserve">FACTORY AUTOMATION &amp; ENGINEERING        </t>
  </si>
  <si>
    <t>DOORNPOORT</t>
  </si>
  <si>
    <t xml:space="preserve">UNIVERSAL AUTOMATED SYSTEMS PTY LTD     </t>
  </si>
  <si>
    <t>HONEY DEW</t>
  </si>
  <si>
    <t xml:space="preserve">PARMALAT SA                             </t>
  </si>
  <si>
    <t>KYALAMI</t>
  </si>
  <si>
    <t xml:space="preserve">REHAU POLYMER PTY LTD                   </t>
  </si>
  <si>
    <t xml:space="preserve">GRW ENGINERING                          </t>
  </si>
  <si>
    <t xml:space="preserve">TMD FRICTION SA PTY LTD                 </t>
  </si>
  <si>
    <t>MERRIVALE</t>
  </si>
  <si>
    <t xml:space="preserve">UNILEVER SA PTY LTD                     </t>
  </si>
  <si>
    <t>MAYDON WHARF</t>
  </si>
  <si>
    <t xml:space="preserve">PIONEER FOODS (PTY) LTD                 </t>
  </si>
  <si>
    <t xml:space="preserve">ESKORT LTD                              </t>
  </si>
  <si>
    <t xml:space="preserve">TOPLINE TOOLING (PTY) LTD               </t>
  </si>
  <si>
    <t xml:space="preserve">PREMIER FMCG                            </t>
  </si>
  <si>
    <t>VEREENIGING</t>
  </si>
  <si>
    <t xml:space="preserve">PROCON MACHINERY (PTY) LTD              </t>
  </si>
  <si>
    <t>BLACKHEATH</t>
  </si>
  <si>
    <t xml:space="preserve">TRANSVAAL HYDRAULICS                    </t>
  </si>
  <si>
    <t xml:space="preserve">DKT &amp; PARTNERS                          </t>
  </si>
  <si>
    <t xml:space="preserve">YASKAWA S.A                             </t>
  </si>
  <si>
    <t xml:space="preserve">PMD PACKAGING SYSTEMS                   </t>
  </si>
  <si>
    <t xml:space="preserve">DADO MANUFACTURING                      </t>
  </si>
  <si>
    <t xml:space="preserve">BEARING &amp; HYDRAULIC SPARES              </t>
  </si>
  <si>
    <t xml:space="preserve">HANSENS ENGENNERING                     </t>
  </si>
  <si>
    <t xml:space="preserve">PAIL PAC                                </t>
  </si>
  <si>
    <t xml:space="preserve">MAGNACORP 397 CC/TA CONCEPT             </t>
  </si>
  <si>
    <t xml:space="preserve">SOLID WEDGE SERVICES CC                 </t>
  </si>
  <si>
    <t>HALFWAY HOUSE</t>
  </si>
  <si>
    <t xml:space="preserve">SUNBAKE BENONI                          </t>
  </si>
  <si>
    <t xml:space="preserve">NAMPAK LIQUID PACKAGING                 </t>
  </si>
  <si>
    <t xml:space="preserve">TUPPERWARE SA                           </t>
  </si>
  <si>
    <t>BRAKPAN</t>
  </si>
  <si>
    <t xml:space="preserve">COCA COLA CANNERS OF SA                 </t>
  </si>
  <si>
    <t xml:space="preserve">BMG ROSSLYN 0182                        </t>
  </si>
  <si>
    <t xml:space="preserve">Rand Refinery                           </t>
  </si>
  <si>
    <t>Germiston</t>
  </si>
  <si>
    <t xml:space="preserve">ABI DIV OF SAB LTD                      </t>
  </si>
  <si>
    <t xml:space="preserve">MITTAL STEEL SOUTH AFRICA LIMITED       </t>
  </si>
  <si>
    <t xml:space="preserve">ADJ ENGINEERING WORKS                   </t>
  </si>
  <si>
    <t xml:space="preserve">IDWALA CARBONATES                       </t>
  </si>
  <si>
    <t>NEWLANDS</t>
  </si>
  <si>
    <t xml:space="preserve">R.A. DISTRIBUTORS CC                    </t>
  </si>
  <si>
    <t>RACEVIEW</t>
  </si>
  <si>
    <t xml:space="preserve">HYDRAULIC SERVICE SOLUTIONS             </t>
  </si>
  <si>
    <t>BRUMMERIA</t>
  </si>
  <si>
    <t xml:space="preserve">I M E SA                                </t>
  </si>
  <si>
    <t>HONEYDEW</t>
  </si>
  <si>
    <t xml:space="preserve">RCL FOODCORP (PTY) LTD                  </t>
  </si>
  <si>
    <t>RANDFONTEIN</t>
  </si>
  <si>
    <t xml:space="preserve">NON FERROUS METAL WORKS                 </t>
  </si>
  <si>
    <t xml:space="preserve">HARVARD PROJECT                         </t>
  </si>
  <si>
    <t xml:space="preserve">TONGAAT HULETTS GROUP LIMITED           </t>
  </si>
  <si>
    <t>RED HILL</t>
  </si>
  <si>
    <t xml:space="preserve">TECHMATIC ENGINEERING PTY               </t>
  </si>
  <si>
    <t>KAYA SAND</t>
  </si>
  <si>
    <t xml:space="preserve">BSN MEDICAL (PTY) LTD                   </t>
  </si>
  <si>
    <t xml:space="preserve">CEMPACK                                 </t>
  </si>
  <si>
    <t>MEYERTON</t>
  </si>
  <si>
    <t xml:space="preserve">PROMAX                                  </t>
  </si>
  <si>
    <t>CSM BEARING AND PNEUMATIC SUPPLIES PTY L</t>
  </si>
  <si>
    <t xml:space="preserve">TIGER BRANDS SNACKS , TREANTS BEVERAGES </t>
  </si>
  <si>
    <t>ROODEKOP</t>
  </si>
  <si>
    <t xml:space="preserve">ANDREW MENTIS PTY                       </t>
  </si>
  <si>
    <t>ACTIVIA PARK</t>
  </si>
  <si>
    <t xml:space="preserve">TOP LINE STEEL SYSTEMS CC               </t>
  </si>
  <si>
    <t xml:space="preserve">CBI ELECTRIC AFRICAN CABLES             </t>
  </si>
  <si>
    <t>PEACEHAVEN</t>
  </si>
  <si>
    <t xml:space="preserve">AVION EAST RAND PTY LTD                 </t>
  </si>
  <si>
    <t>BENROSE</t>
  </si>
  <si>
    <t xml:space="preserve">THE LION MATCH COMPANY (PTY)LTD         </t>
  </si>
  <si>
    <t>NEWTOWN</t>
  </si>
  <si>
    <t>VREDENBURG</t>
  </si>
  <si>
    <t xml:space="preserve">FAIR CAPE DAIRIES (PTY) LTD             </t>
  </si>
  <si>
    <t xml:space="preserve">FOODCORP PTY LTD                        </t>
  </si>
  <si>
    <t xml:space="preserve">LABONLINK CC                            </t>
  </si>
  <si>
    <t>RANDPARK</t>
  </si>
  <si>
    <t xml:space="preserve">HARVARD PROJECTS                        </t>
  </si>
  <si>
    <t>MARAISBURG</t>
  </si>
  <si>
    <t xml:space="preserve">FINLAR FINE FOOD PTY LTD                </t>
  </si>
  <si>
    <t>CITY DEEP</t>
  </si>
  <si>
    <t xml:space="preserve">SCHULLPAK (PTY)LTD                      </t>
  </si>
  <si>
    <t>OLIVEDALE</t>
  </si>
  <si>
    <t xml:space="preserve">TENNECO RIDE CONTROL SA                 </t>
  </si>
  <si>
    <t xml:space="preserve">SHATTERPRUFE TRADING SA                 </t>
  </si>
  <si>
    <t xml:space="preserve">ALBANY BAKERIES A DIVISION OF TIGER-    </t>
  </si>
  <si>
    <t xml:space="preserve">KIMBERLEY-CLARK S.A                     </t>
  </si>
  <si>
    <t xml:space="preserve">DETNET SA                               </t>
  </si>
  <si>
    <t xml:space="preserve">TIGER BRANDS CHOCOLATE UNIT             </t>
  </si>
  <si>
    <t xml:space="preserve">DANONE SA PTY LTD                       </t>
  </si>
  <si>
    <t xml:space="preserve">ILLOVO SUGAR LTD DALTON                 </t>
  </si>
  <si>
    <t>DALTON</t>
  </si>
  <si>
    <t xml:space="preserve">TILODI ENGINEERING (PTY) LTD            </t>
  </si>
  <si>
    <t>DUNCANVILLE EXT 3</t>
  </si>
  <si>
    <t xml:space="preserve">WOODTECH                                </t>
  </si>
  <si>
    <t>PROSPECTON</t>
  </si>
  <si>
    <t xml:space="preserve">DIVFOOD / NAMPAK                        </t>
  </si>
  <si>
    <t xml:space="preserve">ORION INGENIEURSWERKE                   </t>
  </si>
  <si>
    <t xml:space="preserve">NEOPAK                                  </t>
  </si>
  <si>
    <t xml:space="preserve">THUTHUKA HARNESS SOLUTIONS              </t>
  </si>
  <si>
    <t xml:space="preserve">AMOPACK CAN MANUFACTURERS PTY LTD       </t>
  </si>
  <si>
    <t>SUNDERLAND RIDGE</t>
  </si>
  <si>
    <t xml:space="preserve">FEDERAL MOGUL ENGINE BEARINGS (PTY) LTD </t>
  </si>
  <si>
    <t xml:space="preserve">BAGTECH INTERNATIONAL PTY LTD           </t>
  </si>
  <si>
    <t xml:space="preserve">CSIR CENTRAL PROCUREMENT OFFICE         </t>
  </si>
  <si>
    <t xml:space="preserve">BEARING &amp; ACCESSORIES CC                </t>
  </si>
  <si>
    <t>ALBANY BAKERY A DIVISION OF TIGER BRANDS</t>
  </si>
  <si>
    <t xml:space="preserve">EBERSPACHER SOUTH AFRICA (PTY) LTD      </t>
  </si>
  <si>
    <t xml:space="preserve">CONSOL GLASS (PTY) LTD                  </t>
  </si>
  <si>
    <t xml:space="preserve">COREL INSTRUMENTATION &amp; CONTRO          </t>
  </si>
  <si>
    <t>VAALPARK</t>
  </si>
  <si>
    <t xml:space="preserve">KDP HYDRAULIC SERVICES &amp; ENG CC         </t>
  </si>
  <si>
    <t xml:space="preserve">REEF ENGINEERING &amp; MNFG CO.             </t>
  </si>
  <si>
    <t xml:space="preserve">CW8 BRICKS                              </t>
  </si>
  <si>
    <t xml:space="preserve">PRODUCTIVE SYSTEMS CC                   </t>
  </si>
  <si>
    <t xml:space="preserve">BEVCAN                                  </t>
  </si>
  <si>
    <t xml:space="preserve">TF DESIGN (PTY) LTD                     </t>
  </si>
  <si>
    <t xml:space="preserve">HELLERMANN TYTON                        </t>
  </si>
  <si>
    <t>MARLBORO</t>
  </si>
  <si>
    <t xml:space="preserve">WILMAR CONTINENTAL EDIBLE OILS          </t>
  </si>
  <si>
    <t xml:space="preserve">BEIER ENVIROTEC                         </t>
  </si>
  <si>
    <t xml:space="preserve">FESTO PLZ                               </t>
  </si>
  <si>
    <t>NEWTON PARK</t>
  </si>
  <si>
    <t xml:space="preserve">MPACT OPERATIONS PROPERTY LTD           </t>
  </si>
  <si>
    <t xml:space="preserve">THE SIMBA GROUP PTY LTD                 </t>
  </si>
  <si>
    <t xml:space="preserve">MPACT OPERATIONS PTY LTD                </t>
  </si>
  <si>
    <t xml:space="preserve">AUTO INDUSTRIAL MACHINING               </t>
  </si>
  <si>
    <t xml:space="preserve">ORANJERIVIERWYNKELDERS                  </t>
  </si>
  <si>
    <t>UPINGTON</t>
  </si>
  <si>
    <t xml:space="preserve">Mr FRANK                                </t>
  </si>
  <si>
    <t xml:space="preserve">HOT PLATINUM                            </t>
  </si>
  <si>
    <t>ATHLONE INDUSTRIA 1</t>
  </si>
  <si>
    <t xml:space="preserve">EXCEL TOOLING                           </t>
  </si>
  <si>
    <t xml:space="preserve">ROBOTIC HANDLING SYSTEM Cc              </t>
  </si>
  <si>
    <t>BELLVILLE</t>
  </si>
  <si>
    <t xml:space="preserve">RIDGE DISTRIBUTORS CC                   </t>
  </si>
  <si>
    <t>STIKLAND</t>
  </si>
  <si>
    <t xml:space="preserve">FEDERAL MOGUL SEALING SYSTEMS           </t>
  </si>
  <si>
    <t xml:space="preserve">SOUTH AFRICAN BANK NOTE CO.             </t>
  </si>
  <si>
    <t xml:space="preserve">CROWN CHICKENS                          </t>
  </si>
  <si>
    <t>ANDEON</t>
  </si>
  <si>
    <t xml:space="preserve">HENSOLDT OPTRONICS                      </t>
  </si>
  <si>
    <t xml:space="preserve">LEANZBIZ CONSULTING CC                  </t>
  </si>
  <si>
    <t xml:space="preserve">ADCOCK INGRAM HEALTHCARE (PTY)LTD       </t>
  </si>
  <si>
    <t xml:space="preserve">BMG BELLVILLE 0120                      </t>
  </si>
  <si>
    <t xml:space="preserve">DONN PRODUCTS (PTY) LTD                 </t>
  </si>
  <si>
    <t>GERMISTON</t>
  </si>
  <si>
    <t xml:space="preserve">PBA EQUIPMENT PTY LTD                   </t>
  </si>
  <si>
    <t>PAROW INDUSTRIA</t>
  </si>
  <si>
    <t xml:space="preserve">DUTTON PLASTICS ENGINEERING             </t>
  </si>
  <si>
    <t xml:space="preserve">RG BROSE AUTOMOTIVE COMPONENTS          </t>
  </si>
  <si>
    <t xml:space="preserve">NATIONAL BRANDS BIS / SNK DIV           </t>
  </si>
  <si>
    <t xml:space="preserve">WIZARD TOOL &amp; DIE                       </t>
  </si>
  <si>
    <t xml:space="preserve">MAIN STREET 1310(PTY) L.T.D             </t>
  </si>
  <si>
    <t>KLIPRIVIER</t>
  </si>
  <si>
    <t xml:space="preserve">MEGA-PAK                                </t>
  </si>
  <si>
    <t xml:space="preserve">DES GROUP (PTY) LTD                     </t>
  </si>
  <si>
    <t>UMBOGINTWINI</t>
  </si>
  <si>
    <t xml:space="preserve">SMARTSTONE KZN DIV OF                   </t>
  </si>
  <si>
    <t>OTTAWA</t>
  </si>
  <si>
    <t xml:space="preserve">PILOT FURNITURE MANUFACTURERS           </t>
  </si>
  <si>
    <t>BABELEGI</t>
  </si>
  <si>
    <t xml:space="preserve">MISTER SWEET PTY LTD                    </t>
  </si>
  <si>
    <t xml:space="preserve">FUCHS ELECTRONICS                       </t>
  </si>
  <si>
    <t xml:space="preserve">PRECISION METAL PRODUCTS                </t>
  </si>
  <si>
    <t xml:space="preserve">HYDROMATIC ENTERPRISES PTY LTD          </t>
  </si>
  <si>
    <t>MARBURG</t>
  </si>
  <si>
    <t xml:space="preserve">ESKORT MEAT                             </t>
  </si>
  <si>
    <t>HEIDELBERG</t>
  </si>
  <si>
    <t>RG BROSE AUTOMOTIVE COMPONENTS (PTY) LTD</t>
  </si>
  <si>
    <t>SUNNYRIDGE</t>
  </si>
  <si>
    <t xml:space="preserve">ALBANY BAKERIES A DIV OF TIGER          </t>
  </si>
  <si>
    <t xml:space="preserve">TECHNICRETE ISG                         </t>
  </si>
  <si>
    <t xml:space="preserve">COCA COLA BEVERAGES S.A(PTY)LTD         </t>
  </si>
  <si>
    <t xml:space="preserve">G.U.D. HOLDINGS (PTY) LTD               </t>
  </si>
  <si>
    <t xml:space="preserve">B M S C ENGINEERING CC                  </t>
  </si>
  <si>
    <t>DURBANVILLE</t>
  </si>
  <si>
    <t xml:space="preserve">FAIRFIELD DAIRY PTY LTD                 </t>
  </si>
  <si>
    <t>HOWICK</t>
  </si>
  <si>
    <t xml:space="preserve">TI GROUP AUTOMOTIVE SYSTEM              </t>
  </si>
  <si>
    <t xml:space="preserve">ROLLMECH PTY LTD                        </t>
  </si>
  <si>
    <t xml:space="preserve">BADER SA PTY LTD                        </t>
  </si>
  <si>
    <t xml:space="preserve">KOMMETJIE ENGINEERING &amp;                 </t>
  </si>
  <si>
    <t>CAPE TOWN</t>
  </si>
  <si>
    <t xml:space="preserve">BANDINI CHEESE PTY LTD                  </t>
  </si>
  <si>
    <t>DOORNKOP</t>
  </si>
  <si>
    <t xml:space="preserve">CLOVER SA                               </t>
  </si>
  <si>
    <t>CLAYVILLE</t>
  </si>
  <si>
    <t xml:space="preserve">CSM ENGINEERING CC                      </t>
  </si>
  <si>
    <t xml:space="preserve">LION MATCH PRODUCTS                     </t>
  </si>
  <si>
    <t xml:space="preserve">GRAHAMSTOWN BRICK PTL LTD               </t>
  </si>
  <si>
    <t>GRAHAMSTOWN</t>
  </si>
  <si>
    <t xml:space="preserve">ROV DURRANT ENGINEERING (PTY) LTD       </t>
  </si>
  <si>
    <t xml:space="preserve">CONCORD FOOD &amp; DRUG DISTRIBUTORS        </t>
  </si>
  <si>
    <t>TROYEVILLE</t>
  </si>
  <si>
    <t xml:space="preserve">HIGH - TECH CONTROLS (PTY)LTD           </t>
  </si>
  <si>
    <t xml:space="preserve">MONIER ROOFING PTY LTD                  </t>
  </si>
  <si>
    <t xml:space="preserve">SPIRAX SARCO SA                         </t>
  </si>
  <si>
    <t>CHLOORKOP</t>
  </si>
  <si>
    <t xml:space="preserve">LEONARD DINGLER PTY LTD                 </t>
  </si>
  <si>
    <t xml:space="preserve">NATIONAL BRANDS LTD BECKETTS            </t>
  </si>
  <si>
    <t xml:space="preserve">DEFY APPLIANCES (PTY) LTD               </t>
  </si>
  <si>
    <t xml:space="preserve">ACTIVE DRAWING  &amp; ENGINEERING           </t>
  </si>
  <si>
    <t>MAITLAND</t>
  </si>
  <si>
    <t xml:space="preserve">SASOL DYNO NOBEL PTY LTD                </t>
  </si>
  <si>
    <t>EKANDUSTRIA</t>
  </si>
  <si>
    <t xml:space="preserve">TECHNOVAA PACKAGING                     </t>
  </si>
  <si>
    <t xml:space="preserve">SHATTERPRUFE TRADING AS A               </t>
  </si>
  <si>
    <t xml:space="preserve">BELGOTEX FLOORCOVERINGS PTY LTD         </t>
  </si>
  <si>
    <t xml:space="preserve">THOUROUGHTEC SIMULATION (PTY)LTD        </t>
  </si>
  <si>
    <t>UMHLANGA RIDGE</t>
  </si>
  <si>
    <t xml:space="preserve">CLOVER SA (PTY) LTD                     </t>
  </si>
  <si>
    <t xml:space="preserve">ERA STENE / ROSEMA BRICKS PTY LTD       </t>
  </si>
  <si>
    <t xml:space="preserve">STRAIT ACCESS TECHNOLOGIES HOLDINGS     </t>
  </si>
  <si>
    <t>OBSERVATORY</t>
  </si>
  <si>
    <t>BEVCAN A DIVISION OF NAMPAK  METALS PACK</t>
  </si>
  <si>
    <t>MEADOWDALE</t>
  </si>
  <si>
    <t xml:space="preserve">VIDEX WIRE PRODUCTS PTY LTD             </t>
  </si>
  <si>
    <t xml:space="preserve">DIRECTECH                               </t>
  </si>
  <si>
    <t>KYA SAND</t>
  </si>
  <si>
    <t xml:space="preserve">ULTRAFOOD INNOVATION                    </t>
  </si>
  <si>
    <t xml:space="preserve">RABEL TRADING T/A GAUTENG               </t>
  </si>
  <si>
    <t xml:space="preserve">RCL FOODS CONSUMER                      </t>
  </si>
  <si>
    <t>BOLTONIA</t>
  </si>
  <si>
    <t xml:space="preserve">DYNAMIC AUTOMATION TRUST                </t>
  </si>
  <si>
    <t xml:space="preserve">KELLOGGS CO OF SA                       </t>
  </si>
  <si>
    <t>NEW ERA</t>
  </si>
  <si>
    <t xml:space="preserve">TONGAAT HULLETTS GROUP LTD              </t>
  </si>
  <si>
    <t>ROSSBURGH</t>
  </si>
  <si>
    <t xml:space="preserve">DURR SOUTH AFRICA                       </t>
  </si>
  <si>
    <t>FRAMESBY</t>
  </si>
  <si>
    <t xml:space="preserve">ESSILOR SOUTH AFRICA (PTY)LTD           </t>
  </si>
  <si>
    <t xml:space="preserve">SPRING MEADOW DAIRY FARM (PTY)LTD       </t>
  </si>
  <si>
    <t>NOTTINGHAM ROAD</t>
  </si>
  <si>
    <t xml:space="preserve">SMITHS MANUFACTURING PTY LTD            </t>
  </si>
  <si>
    <t xml:space="preserve">TOSAS PTY LTD                           </t>
  </si>
  <si>
    <t xml:space="preserve">SYNGENTA SA (PTY)LTD                    </t>
  </si>
  <si>
    <t xml:space="preserve">FOODCORP PTY LTD MILLING                </t>
  </si>
  <si>
    <t xml:space="preserve">ILLOVO SUGAR LTDB EDENVEL               </t>
  </si>
  <si>
    <t xml:space="preserve">AMETIS PROJECTS CC                      </t>
  </si>
  <si>
    <t xml:space="preserve">FESTO CPT                               </t>
  </si>
  <si>
    <t>YSTERPLAAT</t>
  </si>
  <si>
    <t xml:space="preserve">CULINARY, A DIVISION OF                 </t>
  </si>
  <si>
    <t>NDABENI</t>
  </si>
  <si>
    <t xml:space="preserve">JADEC STEEL PROJECT CC                  </t>
  </si>
  <si>
    <t xml:space="preserve">MERCEDES BENZ SOUTH AFRICA LIMITED      </t>
  </si>
  <si>
    <t>GATELY TSP</t>
  </si>
  <si>
    <t xml:space="preserve">IDWALA INDUSTRIAL HOLDINGS LTD          </t>
  </si>
  <si>
    <t>DANIELSKUIL</t>
  </si>
  <si>
    <t xml:space="preserve">LW TANK SYSTEMS CC                      </t>
  </si>
  <si>
    <t>UVONGO</t>
  </si>
  <si>
    <t xml:space="preserve">AMARO FOODS                             </t>
  </si>
  <si>
    <t xml:space="preserve">BIO CAPSULE PHARMACEUTICALS             </t>
  </si>
  <si>
    <t>DIEP RIVER</t>
  </si>
  <si>
    <t xml:space="preserve">TIGER BRANDS(CHOCOLATE UNIT)            </t>
  </si>
  <si>
    <t xml:space="preserve">L'OREAL MANUFACTURING (PTY)LTD          </t>
  </si>
  <si>
    <t xml:space="preserve">PAARL COLDSET (PTY) LTD                 </t>
  </si>
  <si>
    <t xml:space="preserve">P T SCALE SERVICE CC                    </t>
  </si>
  <si>
    <t xml:space="preserve">SILVER CONTROLS SYSTEM Cc               </t>
  </si>
  <si>
    <t xml:space="preserve">SENIOR FLEXONICS (SA) (PTY) LTD         </t>
  </si>
  <si>
    <t>THORNTON</t>
  </si>
  <si>
    <t xml:space="preserve">KRONES SA PTY LTD                       </t>
  </si>
  <si>
    <t xml:space="preserve">STAYCOLD INTERNATIONAL PTY LTD          </t>
  </si>
  <si>
    <t>PARYS</t>
  </si>
  <si>
    <t xml:space="preserve">SCHAEFFLER SOUTH AFRICA                 </t>
  </si>
  <si>
    <t>ESTADEAL</t>
  </si>
  <si>
    <t xml:space="preserve">CFW INDUSTRIES (PTY) LTD                </t>
  </si>
  <si>
    <t xml:space="preserve">PIONEER FOOD GROCERIES PTY LTD          </t>
  </si>
  <si>
    <t>CERES</t>
  </si>
  <si>
    <t xml:space="preserve">EBERSPACHER ROSSLYN                     </t>
  </si>
  <si>
    <t xml:space="preserve">SOUTH AFRICAN BUREAU OF STANDARDS       </t>
  </si>
  <si>
    <t>GROENKLOOF</t>
  </si>
  <si>
    <t xml:space="preserve">COMPTECH ELECTRONICS                    </t>
  </si>
  <si>
    <t xml:space="preserve">MAXION WHEELS SA                        </t>
  </si>
  <si>
    <t xml:space="preserve">WOODLANDS RESOURCE RECOVERY PLANT       </t>
  </si>
  <si>
    <t>HUMANSDORP</t>
  </si>
  <si>
    <t xml:space="preserve">EIGER ENGENEERING (PTY)LTD              </t>
  </si>
  <si>
    <t xml:space="preserve">DIYA VALVES INTERNATIONALS CC           </t>
  </si>
  <si>
    <t xml:space="preserve">GRAMEC PTY LTD                          </t>
  </si>
  <si>
    <t>BRAMLEY</t>
  </si>
  <si>
    <t xml:space="preserve">BMG GEORGE 0122                         </t>
  </si>
  <si>
    <t>GEORGE</t>
  </si>
  <si>
    <t xml:space="preserve">GOODYEAR SOUTH AFRICA PTY LTD           </t>
  </si>
  <si>
    <t xml:space="preserve">THE SIMBA GROUP                         </t>
  </si>
  <si>
    <t xml:space="preserve">G.U.D FITTERS                           </t>
  </si>
  <si>
    <t xml:space="preserve">MARLEY PIPE SYSTEMS SA PTY LTD          </t>
  </si>
  <si>
    <t xml:space="preserve">DIGITAL FABRIC                          </t>
  </si>
  <si>
    <t>WITFIELD</t>
  </si>
  <si>
    <t xml:space="preserve">BALLENA TRADING 31 PTY LTD              </t>
  </si>
  <si>
    <t xml:space="preserve">FESTO ELS                               </t>
  </si>
  <si>
    <t>NAHOON</t>
  </si>
  <si>
    <t xml:space="preserve">MEXAN PRODUCTS                          </t>
  </si>
  <si>
    <t>ALLEN RISE</t>
  </si>
  <si>
    <t xml:space="preserve">THE COMBUSTION GROUP (PTY) LTD          </t>
  </si>
  <si>
    <t xml:space="preserve">MONDI LIMITED                           </t>
  </si>
  <si>
    <t>MEREBANK</t>
  </si>
  <si>
    <t xml:space="preserve">TIGER CONSUMER BRANDS                   </t>
  </si>
  <si>
    <t xml:space="preserve">JW STRATON AGENICIES SA PTY LTD         </t>
  </si>
  <si>
    <t>STRYDOMPARK</t>
  </si>
  <si>
    <t xml:space="preserve">IPACKCHEM PTY LTD                       </t>
  </si>
  <si>
    <t xml:space="preserve">LE-SEL RESEARCH (PTY0LTD                </t>
  </si>
  <si>
    <t xml:space="preserve">COPPER TUBING AFRICA                    </t>
  </si>
  <si>
    <t xml:space="preserve">VEES AUTOMATIVE PIPES &amp; FITTINGS        </t>
  </si>
  <si>
    <t>JOHANNESBURG</t>
  </si>
  <si>
    <t xml:space="preserve">PFERD SA PTY LTD                        </t>
  </si>
  <si>
    <t xml:space="preserve">CONTROL SYSTEMS                         </t>
  </si>
  <si>
    <t>FREUDENBURG FIL TRATION TECHNOLOGIES PTY</t>
  </si>
  <si>
    <t>MEADOWLANDS EXT 1</t>
  </si>
  <si>
    <t xml:space="preserve">CADSOURCE                               </t>
  </si>
  <si>
    <t>DUNCANVILLE</t>
  </si>
  <si>
    <t xml:space="preserve">PANDROL SA PTY LTD                      </t>
  </si>
  <si>
    <t xml:space="preserve">UNISA                                   </t>
  </si>
  <si>
    <t>ROODEPOORT</t>
  </si>
  <si>
    <t xml:space="preserve">G N MOTOR REWINDING                     </t>
  </si>
  <si>
    <t>PATENSIE</t>
  </si>
  <si>
    <t xml:space="preserve">KENZEL ENGINEERING TRUST                </t>
  </si>
  <si>
    <t xml:space="preserve">LADYSMITH TRADING CO.                   </t>
  </si>
  <si>
    <t>LADYSMITH</t>
  </si>
  <si>
    <t xml:space="preserve">MSG SYSTEMS                             </t>
  </si>
  <si>
    <t xml:space="preserve">FESTO               </t>
  </si>
  <si>
    <t xml:space="preserve">MEDSHEME                                </t>
  </si>
  <si>
    <t xml:space="preserve">FLEXICON AFRICA PTY LTD                 </t>
  </si>
  <si>
    <t xml:space="preserve">FLUID SYSTEMS                           </t>
  </si>
  <si>
    <t>BEACONVALE</t>
  </si>
  <si>
    <t xml:space="preserve">T E M TOOLING CC                        </t>
  </si>
  <si>
    <t xml:space="preserve">GREENSTONE MANAGEMENT SERVICES          </t>
  </si>
  <si>
    <t xml:space="preserve">PAILPRINT PTY LTD                       </t>
  </si>
  <si>
    <t xml:space="preserve">SUNBAKE BOERSTRA                        </t>
  </si>
  <si>
    <t xml:space="preserve">THE SIMBA GROUP LTD                     </t>
  </si>
  <si>
    <t xml:space="preserve">HYDRABERG HYDRAULICS CC                 </t>
  </si>
  <si>
    <t xml:space="preserve">WILLOWTON OIL &amp; CAKE MILLS              </t>
  </si>
  <si>
    <t xml:space="preserve">NATIONAL BIOPRODUCTS INST               </t>
  </si>
  <si>
    <t xml:space="preserve">CONTROLELECTRIC - GARETH CC             </t>
  </si>
  <si>
    <t>Briardene</t>
  </si>
  <si>
    <t xml:space="preserve">BUILD IT HARRISMITH                     </t>
  </si>
  <si>
    <t xml:space="preserve">LEDA ENGINEERING SERVICES CC            </t>
  </si>
  <si>
    <t xml:space="preserve">NIORO PLASTICS                          </t>
  </si>
  <si>
    <t xml:space="preserve">RCL FOODS SUGAR &amp; MILLING PTY LTD       </t>
  </si>
  <si>
    <t xml:space="preserve">FLSMIDTH (PTY) LTD                      </t>
  </si>
  <si>
    <t>CONSTANTIA KLOOF</t>
  </si>
  <si>
    <t xml:space="preserve">INTELETRACK (PTY) LTD                   </t>
  </si>
  <si>
    <t>MORELETAPARK</t>
  </si>
  <si>
    <t xml:space="preserve">MAXAM DANTEX SA PTY LTD                 </t>
  </si>
  <si>
    <t xml:space="preserve">BBF SAFETY GROUP (PTY)LTD               </t>
  </si>
  <si>
    <t xml:space="preserve">A C PNEUMATICS                          </t>
  </si>
  <si>
    <t>WETTON</t>
  </si>
  <si>
    <t xml:space="preserve">KULKONI-ITS PTY LTD                     </t>
  </si>
  <si>
    <t xml:space="preserve">S.A. MINT                               </t>
  </si>
  <si>
    <t>KOSMOSDAL</t>
  </si>
  <si>
    <t xml:space="preserve">PHARMA - Q PTY LTD                      </t>
  </si>
  <si>
    <t>INDUSTRIA WEST</t>
  </si>
  <si>
    <t xml:space="preserve">TRIFON INDUSTRIAL                       </t>
  </si>
  <si>
    <t xml:space="preserve">T M ENGENEERING                         </t>
  </si>
  <si>
    <t>RANDBURG</t>
  </si>
  <si>
    <t xml:space="preserve">COLUMBIT PTY /T/A INDUSTRIES            </t>
  </si>
  <si>
    <t xml:space="preserve">NORMANDIEN FARMS                        </t>
  </si>
  <si>
    <t>THORNVILLE</t>
  </si>
  <si>
    <t xml:space="preserve">AUTOLIV SA                              </t>
  </si>
  <si>
    <t>CHAMDOR</t>
  </si>
  <si>
    <t xml:space="preserve">ELECTRO TECHNICAL AGENCIES              </t>
  </si>
  <si>
    <t xml:space="preserve">ILLOVO SUGAR LTD - SEZELA               </t>
  </si>
  <si>
    <t xml:space="preserve">PACIFIC FLUID COMPONENTS CC             </t>
  </si>
  <si>
    <t>QUEENSBURGH</t>
  </si>
  <si>
    <t xml:space="preserve">GLEDHOW SUGAR CO. PTY LTD               </t>
  </si>
  <si>
    <t>TIGER CONSUMER BRANDS LTD T/A TIGER MILL</t>
  </si>
  <si>
    <t>NORTHDENE</t>
  </si>
  <si>
    <t xml:space="preserve">TFM INDUSTRIES PTY LTD                  </t>
  </si>
  <si>
    <t xml:space="preserve">ERGO MINING                             </t>
  </si>
  <si>
    <t xml:space="preserve">CHET CHEMICALS A DIV OF                 </t>
  </si>
  <si>
    <t xml:space="preserve">DALE SPIRAL SYSTEMS &amp; BAKERY AUTOMATION </t>
  </si>
  <si>
    <t xml:space="preserve">PRIME INSTRUMENTATION Cc                </t>
  </si>
  <si>
    <t>KLERKSDORP</t>
  </si>
  <si>
    <t xml:space="preserve">TRUDA SNACKS                            </t>
  </si>
  <si>
    <t>MKONDENI</t>
  </si>
  <si>
    <t xml:space="preserve">BORBET SA (PTY) LTD                     </t>
  </si>
  <si>
    <t xml:space="preserve">EVOLVE PRODUCTION SUPPORT PTY LTD       </t>
  </si>
  <si>
    <t xml:space="preserve">ACAP HYDRO PNEUMATIC SUPPLY CC          </t>
  </si>
  <si>
    <t xml:space="preserve">BREWBEV                                 </t>
  </si>
  <si>
    <t xml:space="preserve">HIGH TECH PROCESSING PTY LTD            </t>
  </si>
  <si>
    <t xml:space="preserve">IWIS DRIVE SYSTEMS                      </t>
  </si>
  <si>
    <t xml:space="preserve">SPICER AXLE (PTY) LTD                   </t>
  </si>
  <si>
    <t xml:space="preserve">J F EQUIPMENT                           </t>
  </si>
  <si>
    <t xml:space="preserve">ROBIN COSS AVIATION CC                  </t>
  </si>
  <si>
    <t>CAPE TOWN AIRPORT</t>
  </si>
  <si>
    <t xml:space="preserve">SEALED AIR AFRICA                       </t>
  </si>
  <si>
    <t xml:space="preserve">AVIZ LABORATORIES CC                    </t>
  </si>
  <si>
    <t xml:space="preserve">EUREKA CONSTRUCTION                     </t>
  </si>
  <si>
    <t>HENNENMAN</t>
  </si>
  <si>
    <t xml:space="preserve">NELSON MANDELA METROPOLITAN             </t>
  </si>
  <si>
    <t xml:space="preserve">HULAMIN OPERATIONS PTY LTD              </t>
  </si>
  <si>
    <t xml:space="preserve">RAINBOW FARMS PTY LTD P2                </t>
  </si>
  <si>
    <t xml:space="preserve">THUTHUKA PACKAGING                      </t>
  </si>
  <si>
    <t xml:space="preserve">REEF CONSTRUCTION MACHINERY PTY LTD     </t>
  </si>
  <si>
    <t xml:space="preserve">TECTRA AUTOMATION                       </t>
  </si>
  <si>
    <t>WITFONTEIN</t>
  </si>
  <si>
    <t xml:space="preserve">FRONERI SOUTH AFRICA (PTY)LTD           </t>
  </si>
  <si>
    <t xml:space="preserve">PATERSON HUGHES ENGINEERING             </t>
  </si>
  <si>
    <t xml:space="preserve">PHARMAPAC (PTY)LTD                      </t>
  </si>
  <si>
    <t xml:space="preserve">PFK ELECTRONICS PTY LTD                 </t>
  </si>
  <si>
    <t xml:space="preserve">COIN DE MIRE                            </t>
  </si>
  <si>
    <t xml:space="preserve">SABASTIAN ELECTRICAL WHOLESALE CC       </t>
  </si>
  <si>
    <t xml:space="preserve">PBS MACHINE                             </t>
  </si>
  <si>
    <t xml:space="preserve">BRAKKEFONTEIN CLAY PRODUCKS (PTY)LTD    </t>
  </si>
  <si>
    <t>BIRCH ACRES EXT 24</t>
  </si>
  <si>
    <t xml:space="preserve">NAMPAK CLOSURES                         </t>
  </si>
  <si>
    <t xml:space="preserve">SOUTHERN OIL LTD T/A SOILL              </t>
  </si>
  <si>
    <t>SWELLENDAM</t>
  </si>
  <si>
    <t>KERRY INGREDIENTS SOUTH AFRICA (PTY) LTD</t>
  </si>
  <si>
    <t xml:space="preserve">PREMIER FMCG (PTY)LTD                   </t>
  </si>
  <si>
    <t xml:space="preserve">UNIVERSAL PAPER &amp; PLASTIC               </t>
  </si>
  <si>
    <t>GA-RANKUWA</t>
  </si>
  <si>
    <t xml:space="preserve">CSM BEARINGS AND PNEUMATICS SUPPLIES    </t>
  </si>
  <si>
    <t xml:space="preserve">RCL FOODS CONSUMER BEVERAGES            </t>
  </si>
  <si>
    <t xml:space="preserve">AFRISAM SA                              </t>
  </si>
  <si>
    <t xml:space="preserve">STAR HYDRAULICS &amp; PNEUMATICS            </t>
  </si>
  <si>
    <t xml:space="preserve">BEST TOBACCO CAMPANY                    </t>
  </si>
  <si>
    <t xml:space="preserve">AWESOME SNACKS                          </t>
  </si>
  <si>
    <t>WILBERT</t>
  </si>
  <si>
    <t xml:space="preserve">TECHNICAL SYSTEMS DESIGN CC             </t>
  </si>
  <si>
    <t xml:space="preserve">LAFARGE INDUSTRIES SA                   </t>
  </si>
  <si>
    <t xml:space="preserve">PREFORMED LINE PRODUCTS SA              </t>
  </si>
  <si>
    <t xml:space="preserve">SA SUGAR ASSOCIATION                    </t>
  </si>
  <si>
    <t xml:space="preserve">UNILEVER SOUTH AFRICA PTY LTD PMB TEA   </t>
  </si>
  <si>
    <t xml:space="preserve">MPACT OPERATION PTY LTD                 </t>
  </si>
  <si>
    <t xml:space="preserve">EVERITE BUILDING DIVISION               </t>
  </si>
  <si>
    <t xml:space="preserve">LUNGILE PACKAGING CC                    </t>
  </si>
  <si>
    <t>ACORN</t>
  </si>
  <si>
    <t xml:space="preserve">OFFSET PRESS SUPPLIES (PTY) LTD         </t>
  </si>
  <si>
    <t xml:space="preserve">DISTELL LIMITED                         </t>
  </si>
  <si>
    <t xml:space="preserve">NR EXTREME ENGINEERING AND PIPING       </t>
  </si>
  <si>
    <t xml:space="preserve">MAIN STREET 1310 PTY LTD                </t>
  </si>
  <si>
    <t xml:space="preserve">ILLOVO SUGAR LTD-SEZELA                 </t>
  </si>
  <si>
    <t xml:space="preserve">BASF CONSTRUCTION CHEMICALS SA          </t>
  </si>
  <si>
    <t xml:space="preserve">CTP WEB PRINTERS JOHANNESBURG           </t>
  </si>
  <si>
    <t xml:space="preserve">RAPID INDUSTRIAL SUPPLIES PTY LTD       </t>
  </si>
  <si>
    <t xml:space="preserve">PHARMACEUTICAL CONTRACTORS              </t>
  </si>
  <si>
    <t xml:space="preserve">FOXTEC-IKHWEZI PTY LTD                  </t>
  </si>
  <si>
    <t>WEST BANK</t>
  </si>
  <si>
    <t xml:space="preserve">BUILD IT BETLHEHEM                      </t>
  </si>
  <si>
    <t>BETHLEHEM</t>
  </si>
  <si>
    <t xml:space="preserve">ELECTROTHREAD                           </t>
  </si>
  <si>
    <t xml:space="preserve">PNEUMATICS WEST                         </t>
  </si>
  <si>
    <t xml:space="preserve">ECHO PRESTRESS (PTY)LTD                 </t>
  </si>
  <si>
    <t xml:space="preserve">GRUPO ANTOLIN (PTY) LTD                 </t>
  </si>
  <si>
    <t xml:space="preserve">IMPALA PLATINIUM REFINERIES LTD         </t>
  </si>
  <si>
    <t>EAST GEDULD</t>
  </si>
  <si>
    <t xml:space="preserve">SHONES AUTOMATION                       </t>
  </si>
  <si>
    <t>GATELY</t>
  </si>
  <si>
    <t xml:space="preserve">ENGEN PERTROLEM LTD                     </t>
  </si>
  <si>
    <t>ISLAND VIEW</t>
  </si>
  <si>
    <t xml:space="preserve">UNIVERSAL CLIPS                         </t>
  </si>
  <si>
    <t>INDUSTRIA NORTH</t>
  </si>
  <si>
    <t xml:space="preserve">CHEMPLUS CC                             </t>
  </si>
  <si>
    <t xml:space="preserve">WICTRA HOLDINGS (PTY)LTD                </t>
  </si>
  <si>
    <t xml:space="preserve">YANFENG SA AUTOMOTIVE                   </t>
  </si>
  <si>
    <t xml:space="preserve">ENTYCE BEVERAGES                        </t>
  </si>
  <si>
    <t xml:space="preserve">K R INDUSTRIAL &amp; AUTOMOTIVE SUPPLIES    </t>
  </si>
  <si>
    <t>CLAIRWOOD</t>
  </si>
  <si>
    <t xml:space="preserve">ATLANTIS FOUNDRY                        </t>
  </si>
  <si>
    <t>ATLANTIS</t>
  </si>
  <si>
    <t>KROMBERG &amp; SCHUBERT CABLE &amp; WIRE PTY LTD</t>
  </si>
  <si>
    <t xml:space="preserve">FOXOLUTION SYSTEM ENGINEERING           </t>
  </si>
  <si>
    <t xml:space="preserve">FAIR PLASTICS PACKAGING                 </t>
  </si>
  <si>
    <t xml:space="preserve">NATIONAL BRAND                          </t>
  </si>
  <si>
    <t xml:space="preserve">AFGRI ANIMAL FEEDS                      </t>
  </si>
  <si>
    <t xml:space="preserve">LITTLE GREEN BEVERAGES                  </t>
  </si>
  <si>
    <t xml:space="preserve">COMMUTER TRANSPORT ENGINEERING DUR      </t>
  </si>
  <si>
    <t>MASONS MILL</t>
  </si>
  <si>
    <t xml:space="preserve">RICE &amp; PASTA A DIV OF                   </t>
  </si>
  <si>
    <t xml:space="preserve">MACSTEEL COIL PROCESSING                </t>
  </si>
  <si>
    <t xml:space="preserve">FACET ENGINEERING CC                    </t>
  </si>
  <si>
    <t xml:space="preserve">TRANSNET ENGINEERING                    </t>
  </si>
  <si>
    <t>SALT RIVER</t>
  </si>
  <si>
    <t xml:space="preserve">SUNNY PACKS MANUFACTURING (PTY)LTD      </t>
  </si>
  <si>
    <t xml:space="preserve">PREMIER FOODS (PTY) LTD                 </t>
  </si>
  <si>
    <t xml:space="preserve">AVENG MANUFACTURING INFRASET            </t>
  </si>
  <si>
    <t>EFFINGHAM HEIGHTS</t>
  </si>
  <si>
    <t>ENTERPRISE FOOD AN DIV OF TIGER CONSUMER</t>
  </si>
  <si>
    <t xml:space="preserve">HALEWOOD INTERNATIONAL                  </t>
  </si>
  <si>
    <t>APEX INDUSTRIAL</t>
  </si>
  <si>
    <t xml:space="preserve">PRIMA INDUSTRIAL HOLDINGS               </t>
  </si>
  <si>
    <t xml:space="preserve">SUNNY MACHINES MANUFACTURING PTY LTD    </t>
  </si>
  <si>
    <t xml:space="preserve">HYFLO SA                                </t>
  </si>
  <si>
    <t xml:space="preserve">LYTTELTON DOLOMITE                      </t>
  </si>
  <si>
    <t>LYTTELTON</t>
  </si>
  <si>
    <t xml:space="preserve">VOESTALPINE STAMPTEC SA                 </t>
  </si>
  <si>
    <t xml:space="preserve">FUEL INDUSTRY SERVICES PTY LTD          </t>
  </si>
  <si>
    <t xml:space="preserve">AFRICAN SUN ATCHAR                      </t>
  </si>
  <si>
    <t>TZANEEN</t>
  </si>
  <si>
    <t>QUALITY BOTTLING SERVICES WELGEMOED CELL</t>
  </si>
  <si>
    <t>LYNEDOCH</t>
  </si>
  <si>
    <t xml:space="preserve">FOWKES BROS (PTY ) LTD                  </t>
  </si>
  <si>
    <t xml:space="preserve">GSK CONSUMER HEALTHCARE SA PTY LTD      </t>
  </si>
  <si>
    <t xml:space="preserve">SCAW SA                                 </t>
  </si>
  <si>
    <t xml:space="preserve">DUPLEIX LIQUID METERS PTY LTD           </t>
  </si>
  <si>
    <t xml:space="preserve">JAFAR ENGINERING                        </t>
  </si>
  <si>
    <t xml:space="preserve">UMGENI WATER PINETOWN                   </t>
  </si>
  <si>
    <t>WIGGINS</t>
  </si>
  <si>
    <t xml:space="preserve">MA AUTOMOTIVE                           </t>
  </si>
  <si>
    <t>BERLIN</t>
  </si>
  <si>
    <t xml:space="preserve">Mr RESOLUTION LITHO Cc                  </t>
  </si>
  <si>
    <t xml:space="preserve">HARTMAN INDUST EQUIPMENT C.C            </t>
  </si>
  <si>
    <t>BLOEMFONTEIN</t>
  </si>
  <si>
    <t xml:space="preserve">LASER OPTIONS (PTY)LTD                  </t>
  </si>
  <si>
    <t xml:space="preserve">REPMA ENGINEERING PTY LTD               </t>
  </si>
  <si>
    <t xml:space="preserve">DEVCOTECH ELECTRICAL ENG                </t>
  </si>
  <si>
    <t xml:space="preserve">BOLT &amp; ENG (PLATPROV)                   </t>
  </si>
  <si>
    <t xml:space="preserve">REGRADE MASTERS                         </t>
  </si>
  <si>
    <t>BOKSBURG NORTH</t>
  </si>
  <si>
    <t xml:space="preserve">JOHNSON MATTHEY SALTS                   </t>
  </si>
  <si>
    <t xml:space="preserve">POLAR ICE CREAM                         </t>
  </si>
  <si>
    <t xml:space="preserve">WATCH TOWER BIBLE TRACT SOCIETY OF SA   </t>
  </si>
  <si>
    <t>RANGEVIEW</t>
  </si>
  <si>
    <t xml:space="preserve">TTS TRANS TECHNICAL SOLUTION            </t>
  </si>
  <si>
    <t xml:space="preserve">PROPET SA PTY LTD                       </t>
  </si>
  <si>
    <t xml:space="preserve">PNEUMATIC RETAIL OPERATIONS &amp; HYDAULIC  </t>
  </si>
  <si>
    <t xml:space="preserve">JM FREE &amp; ASSOCIATES C C                </t>
  </si>
  <si>
    <t xml:space="preserve">BURCAP PLASTIC PTY LTD                  </t>
  </si>
  <si>
    <t xml:space="preserve">HULETT HYDRO EXTRUSIONS                 </t>
  </si>
  <si>
    <t xml:space="preserve">QUALITEC ENGINEERING CC                 </t>
  </si>
  <si>
    <t xml:space="preserve">ELECTRO MECH SERVICES Cc                </t>
  </si>
  <si>
    <t xml:space="preserve">AFRICAN GAZELLE PRODUCTS                </t>
  </si>
  <si>
    <t>SUNDRA</t>
  </si>
  <si>
    <t xml:space="preserve">UTI JET PARK                            </t>
  </si>
  <si>
    <t xml:space="preserve">EAST RAND HYDRAULIC                     </t>
  </si>
  <si>
    <t xml:space="preserve">ACT LOGISTICS                           </t>
  </si>
  <si>
    <t xml:space="preserve">SMITHS MANUFACTURING                    </t>
  </si>
  <si>
    <t xml:space="preserve">SAKATA SEED                             </t>
  </si>
  <si>
    <t>LANSERIA</t>
  </si>
  <si>
    <t xml:space="preserve">F &amp; B MULTILUTIONS PTY LTD              </t>
  </si>
  <si>
    <t xml:space="preserve">TROPICAL PLASTICS &amp; PACKAGING (PTY) LTD </t>
  </si>
  <si>
    <t xml:space="preserve">VOLKSWAGEN OF SA                        </t>
  </si>
  <si>
    <t xml:space="preserve">SHUKELA TRAINING CENTRE P/L             </t>
  </si>
  <si>
    <t xml:space="preserve">VOLKSWAGEN SA                           </t>
  </si>
  <si>
    <t xml:space="preserve">FAURECIA EXHAUST SYSTEMS (PTY) LTD      </t>
  </si>
  <si>
    <t xml:space="preserve">EVEREADY (PTY) LTD                      </t>
  </si>
  <si>
    <t xml:space="preserve">JOHN THOMSON A DIV OF ACTOM (PTY) LTD   </t>
  </si>
  <si>
    <t xml:space="preserve">SPERO SENSORS &amp; INSTRUMENTS PTY LTD     </t>
  </si>
  <si>
    <t xml:space="preserve">AUTOPAC MACHINERY CORPORATION           </t>
  </si>
  <si>
    <t xml:space="preserve">CTP PRINTERS CPT                        </t>
  </si>
  <si>
    <t>PAROW</t>
  </si>
  <si>
    <t xml:space="preserve">MED ENGINEERING (PTY) LTD               </t>
  </si>
  <si>
    <t xml:space="preserve">SIGNAL INSTRUMENTATION CC               </t>
  </si>
  <si>
    <t xml:space="preserve">ARCH WATER PRODUCTS SA                  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</si>
</sst>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b/>
      <sz val="10"/>
      <name val="Arial"/>
      <family val="2"/>
    </font>
    <font>
      <sz val="18"/>
      <name val="Arial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4" fontId="1" fillId="0" borderId="0" xfId="0" applyNumberFormat="1" applyFont="1"/>
    <xf numFmtId="14" fontId="0" fillId="0" borderId="0" xfId="0" applyNumberFormat="1"/>
    <xf numFmtId="20" fontId="1" fillId="0" borderId="0" xfId="0" applyNumberFormat="1" applyFont="1"/>
    <xf numFmtId="0" fontId="3" fillId="0" borderId="1" xfId="0" applyFont="1" applyBorder="1"/>
    <xf numFmtId="0" fontId="4" fillId="0" borderId="1" xfId="0" applyFont="1" applyBorder="1"/>
    <xf numFmtId="0" fontId="3" fillId="2" borderId="1" xfId="0" applyFont="1" applyFill="1" applyBorder="1"/>
    <xf numFmtId="14" fontId="5" fillId="0" borderId="1" xfId="0" applyNumberFormat="1" applyFont="1" applyBorder="1" applyAlignment="1">
      <alignment horizontal="center"/>
    </xf>
    <xf numFmtId="20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0</xdr:row>
      <xdr:rowOff>28575</xdr:rowOff>
    </xdr:from>
    <xdr:to>
      <xdr:col>10</xdr:col>
      <xdr:colOff>257175</xdr:colOff>
      <xdr:row>0</xdr:row>
      <xdr:rowOff>504825</xdr:rowOff>
    </xdr:to>
    <xdr:pic>
      <xdr:nvPicPr>
        <xdr:cNvPr id="2" name="Picture 1" descr="Skynet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00525" y="28575"/>
          <a:ext cx="17907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860"/>
  <sheetViews>
    <sheetView tabSelected="1" topLeftCell="A89" workbookViewId="0">
      <selection activeCell="O1637" sqref="O1637"/>
    </sheetView>
  </sheetViews>
  <sheetFormatPr defaultRowHeight="12.75"/>
  <cols>
    <col min="1" max="1" width="10.140625" customWidth="1"/>
    <col min="2" max="2" width="5.85546875" customWidth="1"/>
    <col min="3" max="3" width="15.140625" customWidth="1"/>
    <col min="4" max="4" width="4.140625" customWidth="1"/>
    <col min="5" max="5" width="10.7109375" customWidth="1"/>
    <col min="6" max="6" width="10.85546875" customWidth="1"/>
    <col min="7" max="7" width="5.140625" customWidth="1"/>
    <col min="8" max="8" width="4.7109375" customWidth="1"/>
    <col min="9" max="9" width="14.28515625" customWidth="1"/>
    <col min="10" max="10" width="5" customWidth="1"/>
    <col min="11" max="11" width="16.85546875" bestFit="1" customWidth="1"/>
    <col min="12" max="12" width="5" customWidth="1"/>
    <col min="13" max="13" width="6.7109375" customWidth="1"/>
  </cols>
  <sheetData>
    <row r="1" spans="1:13" ht="41.25" customHeight="1">
      <c r="A1" s="1" t="s">
        <v>0</v>
      </c>
      <c r="B1" s="1" t="s">
        <v>1</v>
      </c>
      <c r="C1" s="11" t="s">
        <v>2</v>
      </c>
      <c r="D1" s="11"/>
      <c r="E1" s="11"/>
    </row>
    <row r="2" spans="1:13">
      <c r="A2" s="1" t="s">
        <v>3</v>
      </c>
      <c r="B2" s="2">
        <v>43346</v>
      </c>
      <c r="C2" s="3" t="s">
        <v>4</v>
      </c>
    </row>
    <row r="3" spans="1:13">
      <c r="A3" s="1" t="s">
        <v>5</v>
      </c>
      <c r="B3" s="4">
        <v>0.69374999999999998</v>
      </c>
    </row>
    <row r="4" spans="1:13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>
      <c r="A5" s="7" t="s">
        <v>6</v>
      </c>
      <c r="B5" s="7" t="s">
        <v>7</v>
      </c>
      <c r="C5" s="7" t="s">
        <v>8</v>
      </c>
      <c r="D5" s="7" t="s">
        <v>9</v>
      </c>
      <c r="E5" s="7" t="s">
        <v>10</v>
      </c>
      <c r="F5" s="7" t="s">
        <v>11</v>
      </c>
      <c r="G5" s="7" t="s">
        <v>12</v>
      </c>
      <c r="H5" s="7" t="s">
        <v>13</v>
      </c>
      <c r="I5" s="7" t="s">
        <v>14</v>
      </c>
      <c r="J5" s="7" t="s">
        <v>15</v>
      </c>
      <c r="K5" s="7" t="s">
        <v>16</v>
      </c>
      <c r="L5" s="7" t="s">
        <v>17</v>
      </c>
      <c r="M5" s="7" t="s">
        <v>18</v>
      </c>
    </row>
    <row r="6" spans="1:13">
      <c r="A6" s="8">
        <v>43346</v>
      </c>
      <c r="B6" s="9">
        <v>0.69305555555555554</v>
      </c>
      <c r="C6" s="10" t="str">
        <f>"FES1162644979"</f>
        <v>FES1162644979</v>
      </c>
      <c r="D6" s="10" t="s">
        <v>19</v>
      </c>
      <c r="E6" s="10" t="s">
        <v>20</v>
      </c>
      <c r="F6" s="10" t="str">
        <f>"2170649768 "</f>
        <v xml:space="preserve">2170649768 </v>
      </c>
      <c r="G6" s="10" t="str">
        <f t="shared" ref="G6:G36" si="0">"ON1"</f>
        <v>ON1</v>
      </c>
      <c r="H6" s="10" t="s">
        <v>21</v>
      </c>
      <c r="I6" s="10" t="s">
        <v>22</v>
      </c>
      <c r="J6" s="10" t="str">
        <f>""</f>
        <v/>
      </c>
      <c r="K6" s="10" t="str">
        <f>"PFES1162644979_0001"</f>
        <v>PFES1162644979_0001</v>
      </c>
      <c r="L6" s="10">
        <v>1</v>
      </c>
      <c r="M6" s="10">
        <v>3</v>
      </c>
    </row>
    <row r="7" spans="1:13">
      <c r="A7" s="8">
        <v>43346</v>
      </c>
      <c r="B7" s="9">
        <v>0.69236111111111109</v>
      </c>
      <c r="C7" s="10" t="str">
        <f>"FES1162644921"</f>
        <v>FES1162644921</v>
      </c>
      <c r="D7" s="10" t="s">
        <v>19</v>
      </c>
      <c r="E7" s="10" t="s">
        <v>23</v>
      </c>
      <c r="F7" s="10" t="str">
        <f>"2170649853 "</f>
        <v xml:space="preserve">2170649853 </v>
      </c>
      <c r="G7" s="10" t="str">
        <f t="shared" si="0"/>
        <v>ON1</v>
      </c>
      <c r="H7" s="10" t="s">
        <v>21</v>
      </c>
      <c r="I7" s="10" t="s">
        <v>24</v>
      </c>
      <c r="J7" s="10" t="str">
        <f>""</f>
        <v/>
      </c>
      <c r="K7" s="10" t="str">
        <f>"PFES1162644921_0001"</f>
        <v>PFES1162644921_0001</v>
      </c>
      <c r="L7" s="10">
        <v>1</v>
      </c>
      <c r="M7" s="10">
        <v>2</v>
      </c>
    </row>
    <row r="8" spans="1:13">
      <c r="A8" s="8">
        <v>43346</v>
      </c>
      <c r="B8" s="9">
        <v>0.69166666666666676</v>
      </c>
      <c r="C8" s="10" t="str">
        <f>"FES1162644954"</f>
        <v>FES1162644954</v>
      </c>
      <c r="D8" s="10" t="s">
        <v>19</v>
      </c>
      <c r="E8" s="10" t="s">
        <v>25</v>
      </c>
      <c r="F8" s="10" t="str">
        <f>"2170649899 "</f>
        <v xml:space="preserve">2170649899 </v>
      </c>
      <c r="G8" s="10" t="str">
        <f t="shared" si="0"/>
        <v>ON1</v>
      </c>
      <c r="H8" s="10" t="s">
        <v>21</v>
      </c>
      <c r="I8" s="10" t="s">
        <v>26</v>
      </c>
      <c r="J8" s="10" t="str">
        <f>""</f>
        <v/>
      </c>
      <c r="K8" s="10" t="str">
        <f>"PFES1162644954_0001"</f>
        <v>PFES1162644954_0001</v>
      </c>
      <c r="L8" s="10">
        <v>1</v>
      </c>
      <c r="M8" s="10">
        <v>5</v>
      </c>
    </row>
    <row r="9" spans="1:13">
      <c r="A9" s="8">
        <v>43346</v>
      </c>
      <c r="B9" s="9">
        <v>0.69027777777777777</v>
      </c>
      <c r="C9" s="10" t="str">
        <f>"FES1162644980"</f>
        <v>FES1162644980</v>
      </c>
      <c r="D9" s="10" t="s">
        <v>19</v>
      </c>
      <c r="E9" s="10" t="s">
        <v>27</v>
      </c>
      <c r="F9" s="10" t="str">
        <f>"2170647580 "</f>
        <v xml:space="preserve">2170647580 </v>
      </c>
      <c r="G9" s="10" t="str">
        <f t="shared" si="0"/>
        <v>ON1</v>
      </c>
      <c r="H9" s="10" t="s">
        <v>21</v>
      </c>
      <c r="I9" s="10" t="s">
        <v>28</v>
      </c>
      <c r="J9" s="10" t="str">
        <f>""</f>
        <v/>
      </c>
      <c r="K9" s="10" t="str">
        <f>"PFES1162644980_0001"</f>
        <v>PFES1162644980_0001</v>
      </c>
      <c r="L9" s="10">
        <v>1</v>
      </c>
      <c r="M9" s="10">
        <v>4</v>
      </c>
    </row>
    <row r="10" spans="1:13">
      <c r="A10" s="8">
        <v>43346</v>
      </c>
      <c r="B10" s="9">
        <v>0.68958333333333333</v>
      </c>
      <c r="C10" s="10" t="str">
        <f>"FES1162644950"</f>
        <v>FES1162644950</v>
      </c>
      <c r="D10" s="10" t="s">
        <v>19</v>
      </c>
      <c r="E10" s="10" t="s">
        <v>29</v>
      </c>
      <c r="F10" s="10" t="str">
        <f>"2170649511 "</f>
        <v xml:space="preserve">2170649511 </v>
      </c>
      <c r="G10" s="10" t="str">
        <f t="shared" si="0"/>
        <v>ON1</v>
      </c>
      <c r="H10" s="10" t="s">
        <v>21</v>
      </c>
      <c r="I10" s="10" t="s">
        <v>30</v>
      </c>
      <c r="J10" s="10" t="str">
        <f>""</f>
        <v/>
      </c>
      <c r="K10" s="10" t="str">
        <f>"PFES1162644950_0001"</f>
        <v>PFES1162644950_0001</v>
      </c>
      <c r="L10" s="10">
        <v>3</v>
      </c>
      <c r="M10" s="10">
        <v>15</v>
      </c>
    </row>
    <row r="11" spans="1:13">
      <c r="A11" s="8">
        <v>43346</v>
      </c>
      <c r="B11" s="9">
        <v>0.68958333333333333</v>
      </c>
      <c r="C11" s="10" t="str">
        <f>"FES1162644971"</f>
        <v>FES1162644971</v>
      </c>
      <c r="D11" s="10" t="s">
        <v>19</v>
      </c>
      <c r="E11" s="10" t="s">
        <v>31</v>
      </c>
      <c r="F11" s="10" t="str">
        <f>"2170649923 "</f>
        <v xml:space="preserve">2170649923 </v>
      </c>
      <c r="G11" s="10" t="str">
        <f t="shared" si="0"/>
        <v>ON1</v>
      </c>
      <c r="H11" s="10" t="s">
        <v>21</v>
      </c>
      <c r="I11" s="10" t="s">
        <v>32</v>
      </c>
      <c r="J11" s="10" t="str">
        <f>""</f>
        <v/>
      </c>
      <c r="K11" s="10" t="str">
        <f>"PFES1162644971_0001"</f>
        <v>PFES1162644971_0001</v>
      </c>
      <c r="L11" s="10">
        <v>1</v>
      </c>
      <c r="M11" s="10">
        <v>17</v>
      </c>
    </row>
    <row r="12" spans="1:13">
      <c r="A12" s="8">
        <v>43346</v>
      </c>
      <c r="B12" s="9">
        <v>0.68402777777777779</v>
      </c>
      <c r="C12" s="10" t="str">
        <f>"FES1162644945"</f>
        <v>FES1162644945</v>
      </c>
      <c r="D12" s="10" t="s">
        <v>19</v>
      </c>
      <c r="E12" s="10" t="s">
        <v>33</v>
      </c>
      <c r="F12" s="10" t="str">
        <f>"2170649892 "</f>
        <v xml:space="preserve">2170649892 </v>
      </c>
      <c r="G12" s="10" t="str">
        <f t="shared" si="0"/>
        <v>ON1</v>
      </c>
      <c r="H12" s="10" t="s">
        <v>21</v>
      </c>
      <c r="I12" s="10" t="s">
        <v>34</v>
      </c>
      <c r="J12" s="10" t="str">
        <f>""</f>
        <v/>
      </c>
      <c r="K12" s="10" t="str">
        <f>"PFES1162644945_0001"</f>
        <v>PFES1162644945_0001</v>
      </c>
      <c r="L12" s="10">
        <v>1</v>
      </c>
      <c r="M12" s="10">
        <v>1</v>
      </c>
    </row>
    <row r="13" spans="1:13">
      <c r="A13" s="8">
        <v>43346</v>
      </c>
      <c r="B13" s="9">
        <v>0.68402777777777779</v>
      </c>
      <c r="C13" s="10" t="str">
        <f>"FES1162644953"</f>
        <v>FES1162644953</v>
      </c>
      <c r="D13" s="10" t="s">
        <v>19</v>
      </c>
      <c r="E13" s="10" t="s">
        <v>35</v>
      </c>
      <c r="F13" s="10" t="str">
        <f>"2170649893 "</f>
        <v xml:space="preserve">2170649893 </v>
      </c>
      <c r="G13" s="10" t="str">
        <f t="shared" si="0"/>
        <v>ON1</v>
      </c>
      <c r="H13" s="10" t="s">
        <v>21</v>
      </c>
      <c r="I13" s="10" t="s">
        <v>36</v>
      </c>
      <c r="J13" s="10" t="str">
        <f>""</f>
        <v/>
      </c>
      <c r="K13" s="10" t="str">
        <f>"PFES1162644953_0001"</f>
        <v>PFES1162644953_0001</v>
      </c>
      <c r="L13" s="10">
        <v>1</v>
      </c>
      <c r="M13" s="10">
        <v>1</v>
      </c>
    </row>
    <row r="14" spans="1:13">
      <c r="A14" s="8">
        <v>43346</v>
      </c>
      <c r="B14" s="9">
        <v>0.68125000000000002</v>
      </c>
      <c r="C14" s="10" t="str">
        <f>"FES1162644959"</f>
        <v>FES1162644959</v>
      </c>
      <c r="D14" s="10" t="s">
        <v>19</v>
      </c>
      <c r="E14" s="10" t="s">
        <v>37</v>
      </c>
      <c r="F14" s="10" t="str">
        <f>"2170644802 "</f>
        <v xml:space="preserve">2170644802 </v>
      </c>
      <c r="G14" s="10" t="str">
        <f t="shared" si="0"/>
        <v>ON1</v>
      </c>
      <c r="H14" s="10" t="s">
        <v>21</v>
      </c>
      <c r="I14" s="10" t="s">
        <v>26</v>
      </c>
      <c r="J14" s="10" t="str">
        <f>""</f>
        <v/>
      </c>
      <c r="K14" s="10" t="str">
        <f>"PFES1162644959_0001"</f>
        <v>PFES1162644959_0001</v>
      </c>
      <c r="L14" s="10">
        <v>1</v>
      </c>
      <c r="M14" s="10">
        <v>1</v>
      </c>
    </row>
    <row r="15" spans="1:13">
      <c r="A15" s="8">
        <v>43346</v>
      </c>
      <c r="B15" s="9">
        <v>0.68125000000000002</v>
      </c>
      <c r="C15" s="10" t="str">
        <f>"FES1162644963"</f>
        <v>FES1162644963</v>
      </c>
      <c r="D15" s="10" t="s">
        <v>19</v>
      </c>
      <c r="E15" s="10" t="s">
        <v>38</v>
      </c>
      <c r="F15" s="10" t="str">
        <f>"2170649912 "</f>
        <v xml:space="preserve">2170649912 </v>
      </c>
      <c r="G15" s="10" t="str">
        <f t="shared" si="0"/>
        <v>ON1</v>
      </c>
      <c r="H15" s="10" t="s">
        <v>21</v>
      </c>
      <c r="I15" s="10" t="s">
        <v>26</v>
      </c>
      <c r="J15" s="10" t="str">
        <f>""</f>
        <v/>
      </c>
      <c r="K15" s="10" t="str">
        <f>"PFES1162644963_0001"</f>
        <v>PFES1162644963_0001</v>
      </c>
      <c r="L15" s="10">
        <v>1</v>
      </c>
      <c r="M15" s="10">
        <v>1</v>
      </c>
    </row>
    <row r="16" spans="1:13">
      <c r="A16" s="8">
        <v>43346</v>
      </c>
      <c r="B16" s="9">
        <v>0.66875000000000007</v>
      </c>
      <c r="C16" s="10" t="str">
        <f>"FES1162644973"</f>
        <v>FES1162644973</v>
      </c>
      <c r="D16" s="10" t="s">
        <v>19</v>
      </c>
      <c r="E16" s="10" t="s">
        <v>39</v>
      </c>
      <c r="F16" s="10" t="str">
        <f>"2170649925 "</f>
        <v xml:space="preserve">2170649925 </v>
      </c>
      <c r="G16" s="10" t="str">
        <f t="shared" si="0"/>
        <v>ON1</v>
      </c>
      <c r="H16" s="10" t="s">
        <v>21</v>
      </c>
      <c r="I16" s="10" t="s">
        <v>40</v>
      </c>
      <c r="J16" s="10" t="str">
        <f>""</f>
        <v/>
      </c>
      <c r="K16" s="10" t="str">
        <f>"PFES1162644973_0001"</f>
        <v>PFES1162644973_0001</v>
      </c>
      <c r="L16" s="10">
        <v>1</v>
      </c>
      <c r="M16" s="10">
        <v>1</v>
      </c>
    </row>
    <row r="17" spans="1:13">
      <c r="A17" s="8">
        <v>43346</v>
      </c>
      <c r="B17" s="9">
        <v>0.66736111111111107</v>
      </c>
      <c r="C17" s="10" t="str">
        <f>"FES1162644966"</f>
        <v>FES1162644966</v>
      </c>
      <c r="D17" s="10" t="s">
        <v>19</v>
      </c>
      <c r="E17" s="10" t="s">
        <v>41</v>
      </c>
      <c r="F17" s="10" t="str">
        <f>"2170649918 "</f>
        <v xml:space="preserve">2170649918 </v>
      </c>
      <c r="G17" s="10" t="str">
        <f t="shared" si="0"/>
        <v>ON1</v>
      </c>
      <c r="H17" s="10" t="s">
        <v>21</v>
      </c>
      <c r="I17" s="10" t="s">
        <v>42</v>
      </c>
      <c r="J17" s="10" t="str">
        <f>""</f>
        <v/>
      </c>
      <c r="K17" s="10" t="str">
        <f>"PFES1162644966_0001"</f>
        <v>PFES1162644966_0001</v>
      </c>
      <c r="L17" s="10">
        <v>1</v>
      </c>
      <c r="M17" s="10">
        <v>1</v>
      </c>
    </row>
    <row r="18" spans="1:13">
      <c r="A18" s="8">
        <v>43346</v>
      </c>
      <c r="B18" s="9">
        <v>0.66597222222222219</v>
      </c>
      <c r="C18" s="10" t="str">
        <f>"FES1162644975"</f>
        <v>FES1162644975</v>
      </c>
      <c r="D18" s="10" t="s">
        <v>19</v>
      </c>
      <c r="E18" s="10" t="s">
        <v>43</v>
      </c>
      <c r="F18" s="10" t="str">
        <f>"2170649930 "</f>
        <v xml:space="preserve">2170649930 </v>
      </c>
      <c r="G18" s="10" t="str">
        <f t="shared" si="0"/>
        <v>ON1</v>
      </c>
      <c r="H18" s="10" t="s">
        <v>21</v>
      </c>
      <c r="I18" s="10" t="s">
        <v>44</v>
      </c>
      <c r="J18" s="10" t="str">
        <f>""</f>
        <v/>
      </c>
      <c r="K18" s="10" t="str">
        <f>"PFES1162644975_0001"</f>
        <v>PFES1162644975_0001</v>
      </c>
      <c r="L18" s="10">
        <v>1</v>
      </c>
      <c r="M18" s="10">
        <v>1</v>
      </c>
    </row>
    <row r="19" spans="1:13">
      <c r="A19" s="8">
        <v>43346</v>
      </c>
      <c r="B19" s="9">
        <v>0.66597222222222219</v>
      </c>
      <c r="C19" s="10" t="str">
        <f>"FES1162644970"</f>
        <v>FES1162644970</v>
      </c>
      <c r="D19" s="10" t="s">
        <v>19</v>
      </c>
      <c r="E19" s="10" t="s">
        <v>45</v>
      </c>
      <c r="F19" s="10" t="str">
        <f>"2170649922 "</f>
        <v xml:space="preserve">2170649922 </v>
      </c>
      <c r="G19" s="10" t="str">
        <f t="shared" si="0"/>
        <v>ON1</v>
      </c>
      <c r="H19" s="10" t="s">
        <v>21</v>
      </c>
      <c r="I19" s="10" t="s">
        <v>46</v>
      </c>
      <c r="J19" s="10" t="str">
        <f>""</f>
        <v/>
      </c>
      <c r="K19" s="10" t="str">
        <f>"PFES1162644970_0001"</f>
        <v>PFES1162644970_0001</v>
      </c>
      <c r="L19" s="10">
        <v>1</v>
      </c>
      <c r="M19" s="10">
        <v>1</v>
      </c>
    </row>
    <row r="20" spans="1:13">
      <c r="A20" s="8">
        <v>43346</v>
      </c>
      <c r="B20" s="9">
        <v>0.66319444444444442</v>
      </c>
      <c r="C20" s="10" t="str">
        <f>"FES1162644941"</f>
        <v>FES1162644941</v>
      </c>
      <c r="D20" s="10" t="s">
        <v>19</v>
      </c>
      <c r="E20" s="10" t="s">
        <v>47</v>
      </c>
      <c r="F20" s="10" t="str">
        <f>"2170649885 "</f>
        <v xml:space="preserve">2170649885 </v>
      </c>
      <c r="G20" s="10" t="str">
        <f t="shared" si="0"/>
        <v>ON1</v>
      </c>
      <c r="H20" s="10" t="s">
        <v>21</v>
      </c>
      <c r="I20" s="10" t="s">
        <v>48</v>
      </c>
      <c r="J20" s="10" t="str">
        <f>""</f>
        <v/>
      </c>
      <c r="K20" s="10" t="str">
        <f>"PFES1162644941_0001"</f>
        <v>PFES1162644941_0001</v>
      </c>
      <c r="L20" s="10">
        <v>1</v>
      </c>
      <c r="M20" s="10">
        <v>3</v>
      </c>
    </row>
    <row r="21" spans="1:13">
      <c r="A21" s="8">
        <v>43346</v>
      </c>
      <c r="B21" s="9">
        <v>0.66041666666666665</v>
      </c>
      <c r="C21" s="10" t="str">
        <f>"FES1162644951"</f>
        <v>FES1162644951</v>
      </c>
      <c r="D21" s="10" t="s">
        <v>19</v>
      </c>
      <c r="E21" s="10" t="s">
        <v>49</v>
      </c>
      <c r="F21" s="10" t="str">
        <f>"2170649860 "</f>
        <v xml:space="preserve">2170649860 </v>
      </c>
      <c r="G21" s="10" t="str">
        <f t="shared" si="0"/>
        <v>ON1</v>
      </c>
      <c r="H21" s="10" t="s">
        <v>21</v>
      </c>
      <c r="I21" s="10" t="s">
        <v>26</v>
      </c>
      <c r="J21" s="10" t="str">
        <f>""</f>
        <v/>
      </c>
      <c r="K21" s="10" t="str">
        <f>"PFES1162644951_0001"</f>
        <v>PFES1162644951_0001</v>
      </c>
      <c r="L21" s="10">
        <v>1</v>
      </c>
      <c r="M21" s="10">
        <v>3</v>
      </c>
    </row>
    <row r="22" spans="1:13">
      <c r="A22" s="8">
        <v>43346</v>
      </c>
      <c r="B22" s="9">
        <v>0.66041666666666665</v>
      </c>
      <c r="C22" s="10" t="str">
        <f>"FES1162644906"</f>
        <v>FES1162644906</v>
      </c>
      <c r="D22" s="10" t="s">
        <v>19</v>
      </c>
      <c r="E22" s="10" t="s">
        <v>50</v>
      </c>
      <c r="F22" s="10" t="str">
        <f>"2170649660 "</f>
        <v xml:space="preserve">2170649660 </v>
      </c>
      <c r="G22" s="10" t="str">
        <f t="shared" si="0"/>
        <v>ON1</v>
      </c>
      <c r="H22" s="10" t="s">
        <v>21</v>
      </c>
      <c r="I22" s="10" t="s">
        <v>51</v>
      </c>
      <c r="J22" s="10" t="str">
        <f>""</f>
        <v/>
      </c>
      <c r="K22" s="10" t="str">
        <f>"PFES1162644906_0001"</f>
        <v>PFES1162644906_0001</v>
      </c>
      <c r="L22" s="10">
        <v>1</v>
      </c>
      <c r="M22" s="10">
        <v>3</v>
      </c>
    </row>
    <row r="23" spans="1:13">
      <c r="A23" s="8">
        <v>43346</v>
      </c>
      <c r="B23" s="9">
        <v>0.65833333333333333</v>
      </c>
      <c r="C23" s="10" t="str">
        <f>"FES1162644940"</f>
        <v>FES1162644940</v>
      </c>
      <c r="D23" s="10" t="s">
        <v>19</v>
      </c>
      <c r="E23" s="10" t="s">
        <v>52</v>
      </c>
      <c r="F23" s="10" t="str">
        <f>"2170646067 "</f>
        <v xml:space="preserve">2170646067 </v>
      </c>
      <c r="G23" s="10" t="str">
        <f t="shared" si="0"/>
        <v>ON1</v>
      </c>
      <c r="H23" s="10" t="s">
        <v>21</v>
      </c>
      <c r="I23" s="10" t="s">
        <v>53</v>
      </c>
      <c r="J23" s="10" t="str">
        <f>""</f>
        <v/>
      </c>
      <c r="K23" s="10" t="str">
        <f>"PFES1162644940_0001"</f>
        <v>PFES1162644940_0001</v>
      </c>
      <c r="L23" s="10">
        <v>1</v>
      </c>
      <c r="M23" s="10">
        <v>3</v>
      </c>
    </row>
    <row r="24" spans="1:13">
      <c r="A24" s="8">
        <v>43346</v>
      </c>
      <c r="B24" s="9">
        <v>0.65555555555555556</v>
      </c>
      <c r="C24" s="10" t="str">
        <f>"FES1162644929"</f>
        <v>FES1162644929</v>
      </c>
      <c r="D24" s="10" t="s">
        <v>19</v>
      </c>
      <c r="E24" s="10" t="s">
        <v>54</v>
      </c>
      <c r="F24" s="10" t="str">
        <f>"2170649868 "</f>
        <v xml:space="preserve">2170649868 </v>
      </c>
      <c r="G24" s="10" t="str">
        <f t="shared" si="0"/>
        <v>ON1</v>
      </c>
      <c r="H24" s="10" t="s">
        <v>21</v>
      </c>
      <c r="I24" s="10" t="s">
        <v>55</v>
      </c>
      <c r="J24" s="10" t="str">
        <f>""</f>
        <v/>
      </c>
      <c r="K24" s="10" t="str">
        <f>"PFES1162644929_0001"</f>
        <v>PFES1162644929_0001</v>
      </c>
      <c r="L24" s="10">
        <v>1</v>
      </c>
      <c r="M24" s="10">
        <v>3</v>
      </c>
    </row>
    <row r="25" spans="1:13">
      <c r="A25" s="8">
        <v>43346</v>
      </c>
      <c r="B25" s="9">
        <v>0.65416666666666667</v>
      </c>
      <c r="C25" s="10" t="str">
        <f>"FES1162644957"</f>
        <v>FES1162644957</v>
      </c>
      <c r="D25" s="10" t="s">
        <v>19</v>
      </c>
      <c r="E25" s="10" t="s">
        <v>56</v>
      </c>
      <c r="F25" s="10" t="str">
        <f>"2170649716 "</f>
        <v xml:space="preserve">2170649716 </v>
      </c>
      <c r="G25" s="10" t="str">
        <f t="shared" si="0"/>
        <v>ON1</v>
      </c>
      <c r="H25" s="10" t="s">
        <v>21</v>
      </c>
      <c r="I25" s="10" t="s">
        <v>57</v>
      </c>
      <c r="J25" s="10" t="str">
        <f>""</f>
        <v/>
      </c>
      <c r="K25" s="10" t="str">
        <f>"PFES1162644957_0001"</f>
        <v>PFES1162644957_0001</v>
      </c>
      <c r="L25" s="10">
        <v>1</v>
      </c>
      <c r="M25" s="10">
        <v>1</v>
      </c>
    </row>
    <row r="26" spans="1:13">
      <c r="A26" s="8">
        <v>43346</v>
      </c>
      <c r="B26" s="9">
        <v>0.65208333333333335</v>
      </c>
      <c r="C26" s="10" t="str">
        <f>"FES1162644939"</f>
        <v>FES1162644939</v>
      </c>
      <c r="D26" s="10" t="s">
        <v>19</v>
      </c>
      <c r="E26" s="10" t="s">
        <v>58</v>
      </c>
      <c r="F26" s="10" t="str">
        <f>"2170649883 "</f>
        <v xml:space="preserve">2170649883 </v>
      </c>
      <c r="G26" s="10" t="str">
        <f t="shared" si="0"/>
        <v>ON1</v>
      </c>
      <c r="H26" s="10" t="s">
        <v>21</v>
      </c>
      <c r="I26" s="10" t="s">
        <v>30</v>
      </c>
      <c r="J26" s="10" t="str">
        <f>""</f>
        <v/>
      </c>
      <c r="K26" s="10" t="str">
        <f>"PFES1162644939_0001"</f>
        <v>PFES1162644939_0001</v>
      </c>
      <c r="L26" s="10">
        <v>1</v>
      </c>
      <c r="M26" s="10">
        <v>1</v>
      </c>
    </row>
    <row r="27" spans="1:13">
      <c r="A27" s="8">
        <v>43346</v>
      </c>
      <c r="B27" s="9">
        <v>0.65069444444444446</v>
      </c>
      <c r="C27" s="10" t="str">
        <f>"FES1162644931"</f>
        <v>FES1162644931</v>
      </c>
      <c r="D27" s="10" t="s">
        <v>19</v>
      </c>
      <c r="E27" s="10" t="s">
        <v>59</v>
      </c>
      <c r="F27" s="10" t="str">
        <f>"2170649871 "</f>
        <v xml:space="preserve">2170649871 </v>
      </c>
      <c r="G27" s="10" t="str">
        <f t="shared" si="0"/>
        <v>ON1</v>
      </c>
      <c r="H27" s="10" t="s">
        <v>21</v>
      </c>
      <c r="I27" s="10" t="s">
        <v>60</v>
      </c>
      <c r="J27" s="10" t="str">
        <f>""</f>
        <v/>
      </c>
      <c r="K27" s="10" t="str">
        <f>"PFES1162644931_0001"</f>
        <v>PFES1162644931_0001</v>
      </c>
      <c r="L27" s="10">
        <v>1</v>
      </c>
      <c r="M27" s="10">
        <v>8</v>
      </c>
    </row>
    <row r="28" spans="1:13">
      <c r="A28" s="8">
        <v>43346</v>
      </c>
      <c r="B28" s="9">
        <v>0.64236111111111105</v>
      </c>
      <c r="C28" s="10" t="str">
        <f>"FES1162644942"</f>
        <v>FES1162644942</v>
      </c>
      <c r="D28" s="10" t="s">
        <v>19</v>
      </c>
      <c r="E28" s="10" t="s">
        <v>61</v>
      </c>
      <c r="F28" s="10" t="str">
        <f>"2170649887 "</f>
        <v xml:space="preserve">2170649887 </v>
      </c>
      <c r="G28" s="10" t="str">
        <f t="shared" si="0"/>
        <v>ON1</v>
      </c>
      <c r="H28" s="10" t="s">
        <v>21</v>
      </c>
      <c r="I28" s="10" t="s">
        <v>62</v>
      </c>
      <c r="J28" s="10" t="str">
        <f>""</f>
        <v/>
      </c>
      <c r="K28" s="10" t="str">
        <f>"PFES1162644942_0001"</f>
        <v>PFES1162644942_0001</v>
      </c>
      <c r="L28" s="10">
        <v>1</v>
      </c>
      <c r="M28" s="10">
        <v>1</v>
      </c>
    </row>
    <row r="29" spans="1:13">
      <c r="A29" s="8">
        <v>43346</v>
      </c>
      <c r="B29" s="9">
        <v>0.64166666666666672</v>
      </c>
      <c r="C29" s="10" t="str">
        <f>"FES1162644964"</f>
        <v>FES1162644964</v>
      </c>
      <c r="D29" s="10" t="s">
        <v>19</v>
      </c>
      <c r="E29" s="10" t="s">
        <v>63</v>
      </c>
      <c r="F29" s="10" t="str">
        <f>"2170649913 "</f>
        <v xml:space="preserve">2170649913 </v>
      </c>
      <c r="G29" s="10" t="str">
        <f t="shared" si="0"/>
        <v>ON1</v>
      </c>
      <c r="H29" s="10" t="s">
        <v>21</v>
      </c>
      <c r="I29" s="10" t="s">
        <v>64</v>
      </c>
      <c r="J29" s="10" t="str">
        <f>""</f>
        <v/>
      </c>
      <c r="K29" s="10" t="str">
        <f>"PFES1162644964_0001"</f>
        <v>PFES1162644964_0001</v>
      </c>
      <c r="L29" s="10">
        <v>1</v>
      </c>
      <c r="M29" s="10">
        <v>1</v>
      </c>
    </row>
    <row r="30" spans="1:13">
      <c r="A30" s="8">
        <v>43346</v>
      </c>
      <c r="B30" s="9">
        <v>0.64166666666666672</v>
      </c>
      <c r="C30" s="10" t="str">
        <f>"FES1162644956"</f>
        <v>FES1162644956</v>
      </c>
      <c r="D30" s="10" t="s">
        <v>19</v>
      </c>
      <c r="E30" s="10" t="s">
        <v>47</v>
      </c>
      <c r="F30" s="10" t="str">
        <f>"2170649903 "</f>
        <v xml:space="preserve">2170649903 </v>
      </c>
      <c r="G30" s="10" t="str">
        <f t="shared" si="0"/>
        <v>ON1</v>
      </c>
      <c r="H30" s="10" t="s">
        <v>21</v>
      </c>
      <c r="I30" s="10" t="s">
        <v>48</v>
      </c>
      <c r="J30" s="10" t="str">
        <f>""</f>
        <v/>
      </c>
      <c r="K30" s="10" t="str">
        <f>"PFES1162644956_0001"</f>
        <v>PFES1162644956_0001</v>
      </c>
      <c r="L30" s="10">
        <v>1</v>
      </c>
      <c r="M30" s="10">
        <v>1</v>
      </c>
    </row>
    <row r="31" spans="1:13">
      <c r="A31" s="8">
        <v>43346</v>
      </c>
      <c r="B31" s="9">
        <v>0.64097222222222217</v>
      </c>
      <c r="C31" s="10" t="str">
        <f>"FES1162644962"</f>
        <v>FES1162644962</v>
      </c>
      <c r="D31" s="10" t="s">
        <v>19</v>
      </c>
      <c r="E31" s="10" t="s">
        <v>65</v>
      </c>
      <c r="F31" s="10" t="str">
        <f>"2170649911 "</f>
        <v xml:space="preserve">2170649911 </v>
      </c>
      <c r="G31" s="10" t="str">
        <f t="shared" si="0"/>
        <v>ON1</v>
      </c>
      <c r="H31" s="10" t="s">
        <v>21</v>
      </c>
      <c r="I31" s="10" t="s">
        <v>66</v>
      </c>
      <c r="J31" s="10" t="str">
        <f>""</f>
        <v/>
      </c>
      <c r="K31" s="10" t="str">
        <f>"PFES1162644962_0001"</f>
        <v>PFES1162644962_0001</v>
      </c>
      <c r="L31" s="10">
        <v>1</v>
      </c>
      <c r="M31" s="10">
        <v>1</v>
      </c>
    </row>
    <row r="32" spans="1:13">
      <c r="A32" s="8">
        <v>43346</v>
      </c>
      <c r="B32" s="9">
        <v>0.64097222222222217</v>
      </c>
      <c r="C32" s="10" t="str">
        <f>"FES1162644961"</f>
        <v>FES1162644961</v>
      </c>
      <c r="D32" s="10" t="s">
        <v>19</v>
      </c>
      <c r="E32" s="10" t="s">
        <v>67</v>
      </c>
      <c r="F32" s="10" t="str">
        <f>"21706498909 "</f>
        <v xml:space="preserve">21706498909 </v>
      </c>
      <c r="G32" s="10" t="str">
        <f t="shared" si="0"/>
        <v>ON1</v>
      </c>
      <c r="H32" s="10" t="s">
        <v>21</v>
      </c>
      <c r="I32" s="10" t="s">
        <v>68</v>
      </c>
      <c r="J32" s="10" t="str">
        <f>""</f>
        <v/>
      </c>
      <c r="K32" s="10" t="str">
        <f>"PFES1162644961_0001"</f>
        <v>PFES1162644961_0001</v>
      </c>
      <c r="L32" s="10">
        <v>1</v>
      </c>
      <c r="M32" s="10">
        <v>1</v>
      </c>
    </row>
    <row r="33" spans="1:13">
      <c r="A33" s="8">
        <v>43346</v>
      </c>
      <c r="B33" s="9">
        <v>0.63194444444444442</v>
      </c>
      <c r="C33" s="10" t="str">
        <f>"FES1162644919"</f>
        <v>FES1162644919</v>
      </c>
      <c r="D33" s="10" t="s">
        <v>19</v>
      </c>
      <c r="E33" s="10" t="s">
        <v>69</v>
      </c>
      <c r="F33" s="10" t="str">
        <f>"2170649789 "</f>
        <v xml:space="preserve">2170649789 </v>
      </c>
      <c r="G33" s="10" t="str">
        <f t="shared" si="0"/>
        <v>ON1</v>
      </c>
      <c r="H33" s="10" t="s">
        <v>21</v>
      </c>
      <c r="I33" s="10" t="s">
        <v>68</v>
      </c>
      <c r="J33" s="10" t="str">
        <f>""</f>
        <v/>
      </c>
      <c r="K33" s="10" t="str">
        <f>"PFES1162644919_0001"</f>
        <v>PFES1162644919_0001</v>
      </c>
      <c r="L33" s="10">
        <v>1</v>
      </c>
      <c r="M33" s="10">
        <v>3</v>
      </c>
    </row>
    <row r="34" spans="1:13">
      <c r="A34" s="8">
        <v>43346</v>
      </c>
      <c r="B34" s="9">
        <v>0.62986111111111109</v>
      </c>
      <c r="C34" s="10" t="str">
        <f>"FES1162644909"</f>
        <v>FES1162644909</v>
      </c>
      <c r="D34" s="10" t="s">
        <v>19</v>
      </c>
      <c r="E34" s="10" t="s">
        <v>65</v>
      </c>
      <c r="F34" s="10" t="str">
        <f>"2170649720 "</f>
        <v xml:space="preserve">2170649720 </v>
      </c>
      <c r="G34" s="10" t="str">
        <f t="shared" si="0"/>
        <v>ON1</v>
      </c>
      <c r="H34" s="10" t="s">
        <v>21</v>
      </c>
      <c r="I34" s="10" t="s">
        <v>66</v>
      </c>
      <c r="J34" s="10" t="str">
        <f>""</f>
        <v/>
      </c>
      <c r="K34" s="10" t="str">
        <f>"PFES1162644909_0001"</f>
        <v>PFES1162644909_0001</v>
      </c>
      <c r="L34" s="10">
        <v>1</v>
      </c>
      <c r="M34" s="10">
        <v>3</v>
      </c>
    </row>
    <row r="35" spans="1:13">
      <c r="A35" s="8">
        <v>43346</v>
      </c>
      <c r="B35" s="9">
        <v>0.62847222222222221</v>
      </c>
      <c r="C35" s="10" t="str">
        <f>"FES1162644918"</f>
        <v>FES1162644918</v>
      </c>
      <c r="D35" s="10" t="s">
        <v>19</v>
      </c>
      <c r="E35" s="10" t="s">
        <v>69</v>
      </c>
      <c r="F35" s="10" t="str">
        <f>"2170649850 "</f>
        <v xml:space="preserve">2170649850 </v>
      </c>
      <c r="G35" s="10" t="str">
        <f t="shared" si="0"/>
        <v>ON1</v>
      </c>
      <c r="H35" s="10" t="s">
        <v>21</v>
      </c>
      <c r="I35" s="10" t="s">
        <v>68</v>
      </c>
      <c r="J35" s="10" t="str">
        <f>""</f>
        <v/>
      </c>
      <c r="K35" s="10" t="str">
        <f>"PFES1162644918_0001"</f>
        <v>PFES1162644918_0001</v>
      </c>
      <c r="L35" s="10">
        <v>1</v>
      </c>
      <c r="M35" s="10">
        <v>3</v>
      </c>
    </row>
    <row r="36" spans="1:13">
      <c r="A36" s="8">
        <v>43346</v>
      </c>
      <c r="B36" s="9">
        <v>0.62777777777777777</v>
      </c>
      <c r="C36" s="10" t="str">
        <f>"FES1162644944"</f>
        <v>FES1162644944</v>
      </c>
      <c r="D36" s="10" t="s">
        <v>19</v>
      </c>
      <c r="E36" s="10" t="s">
        <v>39</v>
      </c>
      <c r="F36" s="10" t="str">
        <f>"2170649891 "</f>
        <v xml:space="preserve">2170649891 </v>
      </c>
      <c r="G36" s="10" t="str">
        <f t="shared" si="0"/>
        <v>ON1</v>
      </c>
      <c r="H36" s="10" t="s">
        <v>21</v>
      </c>
      <c r="I36" s="10" t="s">
        <v>40</v>
      </c>
      <c r="J36" s="10" t="str">
        <f>""</f>
        <v/>
      </c>
      <c r="K36" s="10" t="str">
        <f>"PFES1162644944_0001"</f>
        <v>PFES1162644944_0001</v>
      </c>
      <c r="L36" s="10">
        <v>1</v>
      </c>
      <c r="M36" s="10">
        <v>1</v>
      </c>
    </row>
    <row r="37" spans="1:13">
      <c r="A37" s="8">
        <v>43346</v>
      </c>
      <c r="B37" s="9">
        <v>0.62638888888888888</v>
      </c>
      <c r="C37" s="10" t="str">
        <f>"FES1162644928"</f>
        <v>FES1162644928</v>
      </c>
      <c r="D37" s="10" t="s">
        <v>19</v>
      </c>
      <c r="E37" s="10" t="s">
        <v>70</v>
      </c>
      <c r="F37" s="10" t="str">
        <f>"2170649866 "</f>
        <v xml:space="preserve">2170649866 </v>
      </c>
      <c r="G37" s="10" t="str">
        <f>"DBC"</f>
        <v>DBC</v>
      </c>
      <c r="H37" s="10" t="s">
        <v>21</v>
      </c>
      <c r="I37" s="10" t="s">
        <v>57</v>
      </c>
      <c r="J37" s="10" t="str">
        <f>""</f>
        <v/>
      </c>
      <c r="K37" s="10" t="str">
        <f>"PFES1162644928_0001"</f>
        <v>PFES1162644928_0001</v>
      </c>
      <c r="L37" s="10">
        <v>1</v>
      </c>
      <c r="M37" s="10">
        <v>21</v>
      </c>
    </row>
    <row r="38" spans="1:13">
      <c r="A38" s="8">
        <v>43346</v>
      </c>
      <c r="B38" s="9">
        <v>0.62638888888888888</v>
      </c>
      <c r="C38" s="10" t="str">
        <f>"FES1162644849"</f>
        <v>FES1162644849</v>
      </c>
      <c r="D38" s="10" t="s">
        <v>19</v>
      </c>
      <c r="E38" s="10" t="s">
        <v>71</v>
      </c>
      <c r="F38" s="10" t="str">
        <f>"2170649748+ "</f>
        <v xml:space="preserve">2170649748+ </v>
      </c>
      <c r="G38" s="10" t="str">
        <f t="shared" ref="G38:G48" si="1">"ON1"</f>
        <v>ON1</v>
      </c>
      <c r="H38" s="10" t="s">
        <v>21</v>
      </c>
      <c r="I38" s="10" t="s">
        <v>72</v>
      </c>
      <c r="J38" s="10" t="str">
        <f>""</f>
        <v/>
      </c>
      <c r="K38" s="10" t="str">
        <f>"PFES1162644849_0001"</f>
        <v>PFES1162644849_0001</v>
      </c>
      <c r="L38" s="10">
        <v>1</v>
      </c>
      <c r="M38" s="10">
        <v>1</v>
      </c>
    </row>
    <row r="39" spans="1:13">
      <c r="A39" s="8">
        <v>43346</v>
      </c>
      <c r="B39" s="9">
        <v>0.62569444444444444</v>
      </c>
      <c r="C39" s="10" t="str">
        <f>"FES1162644935"</f>
        <v>FES1162644935</v>
      </c>
      <c r="D39" s="10" t="s">
        <v>19</v>
      </c>
      <c r="E39" s="10" t="s">
        <v>73</v>
      </c>
      <c r="F39" s="10" t="str">
        <f>"2170649876 "</f>
        <v xml:space="preserve">2170649876 </v>
      </c>
      <c r="G39" s="10" t="str">
        <f t="shared" si="1"/>
        <v>ON1</v>
      </c>
      <c r="H39" s="10" t="s">
        <v>21</v>
      </c>
      <c r="I39" s="10" t="s">
        <v>74</v>
      </c>
      <c r="J39" s="10" t="str">
        <f>""</f>
        <v/>
      </c>
      <c r="K39" s="10" t="str">
        <f>"PFES1162644935_0001"</f>
        <v>PFES1162644935_0001</v>
      </c>
      <c r="L39" s="10">
        <v>1</v>
      </c>
      <c r="M39" s="10">
        <v>2</v>
      </c>
    </row>
    <row r="40" spans="1:13">
      <c r="A40" s="8">
        <v>43346</v>
      </c>
      <c r="B40" s="9">
        <v>0.62569444444444444</v>
      </c>
      <c r="C40" s="10" t="str">
        <f>"FES1162644946"</f>
        <v>FES1162644946</v>
      </c>
      <c r="D40" s="10" t="s">
        <v>19</v>
      </c>
      <c r="E40" s="10" t="s">
        <v>41</v>
      </c>
      <c r="F40" s="10" t="str">
        <f>"2170649896 "</f>
        <v xml:space="preserve">2170649896 </v>
      </c>
      <c r="G40" s="10" t="str">
        <f t="shared" si="1"/>
        <v>ON1</v>
      </c>
      <c r="H40" s="10" t="s">
        <v>21</v>
      </c>
      <c r="I40" s="10" t="s">
        <v>42</v>
      </c>
      <c r="J40" s="10" t="str">
        <f>""</f>
        <v/>
      </c>
      <c r="K40" s="10" t="str">
        <f>"PFES1162644946_0001"</f>
        <v>PFES1162644946_0001</v>
      </c>
      <c r="L40" s="10">
        <v>1</v>
      </c>
      <c r="M40" s="10">
        <v>1</v>
      </c>
    </row>
    <row r="41" spans="1:13">
      <c r="A41" s="8">
        <v>43346</v>
      </c>
      <c r="B41" s="9">
        <v>0.625</v>
      </c>
      <c r="C41" s="10" t="str">
        <f>"FES1162644925"</f>
        <v>FES1162644925</v>
      </c>
      <c r="D41" s="10" t="s">
        <v>19</v>
      </c>
      <c r="E41" s="10" t="s">
        <v>75</v>
      </c>
      <c r="F41" s="10" t="str">
        <f>"2170649862 "</f>
        <v xml:space="preserve">2170649862 </v>
      </c>
      <c r="G41" s="10" t="str">
        <f t="shared" si="1"/>
        <v>ON1</v>
      </c>
      <c r="H41" s="10" t="s">
        <v>21</v>
      </c>
      <c r="I41" s="10" t="s">
        <v>76</v>
      </c>
      <c r="J41" s="10" t="str">
        <f>""</f>
        <v/>
      </c>
      <c r="K41" s="10" t="str">
        <f>"PFES1162644925_0001"</f>
        <v>PFES1162644925_0001</v>
      </c>
      <c r="L41" s="10">
        <v>1</v>
      </c>
      <c r="M41" s="10">
        <v>1</v>
      </c>
    </row>
    <row r="42" spans="1:13">
      <c r="A42" s="8">
        <v>43346</v>
      </c>
      <c r="B42" s="9">
        <v>0.625</v>
      </c>
      <c r="C42" s="10" t="str">
        <f>"FES1162644933"</f>
        <v>FES1162644933</v>
      </c>
      <c r="D42" s="10" t="s">
        <v>19</v>
      </c>
      <c r="E42" s="10" t="s">
        <v>70</v>
      </c>
      <c r="F42" s="10" t="str">
        <f>"2170649859 "</f>
        <v xml:space="preserve">2170649859 </v>
      </c>
      <c r="G42" s="10" t="str">
        <f t="shared" si="1"/>
        <v>ON1</v>
      </c>
      <c r="H42" s="10" t="s">
        <v>21</v>
      </c>
      <c r="I42" s="10" t="s">
        <v>57</v>
      </c>
      <c r="J42" s="10" t="str">
        <f>""</f>
        <v/>
      </c>
      <c r="K42" s="10" t="str">
        <f>"PFES1162644933_0001"</f>
        <v>PFES1162644933_0001</v>
      </c>
      <c r="L42" s="10">
        <v>1</v>
      </c>
      <c r="M42" s="10">
        <v>1</v>
      </c>
    </row>
    <row r="43" spans="1:13">
      <c r="A43" s="8">
        <v>43346</v>
      </c>
      <c r="B43" s="9">
        <v>0.625</v>
      </c>
      <c r="C43" s="10" t="str">
        <f>"FES1162644955"</f>
        <v>FES1162644955</v>
      </c>
      <c r="D43" s="10" t="s">
        <v>19</v>
      </c>
      <c r="E43" s="10" t="s">
        <v>77</v>
      </c>
      <c r="F43" s="10" t="str">
        <f>"2170649001 "</f>
        <v xml:space="preserve">2170649001 </v>
      </c>
      <c r="G43" s="10" t="str">
        <f t="shared" si="1"/>
        <v>ON1</v>
      </c>
      <c r="H43" s="10" t="s">
        <v>21</v>
      </c>
      <c r="I43" s="10" t="s">
        <v>78</v>
      </c>
      <c r="J43" s="10" t="str">
        <f>""</f>
        <v/>
      </c>
      <c r="K43" s="10" t="str">
        <f>"PFES1162644955_0001"</f>
        <v>PFES1162644955_0001</v>
      </c>
      <c r="L43" s="10">
        <v>1</v>
      </c>
      <c r="M43" s="10">
        <v>1</v>
      </c>
    </row>
    <row r="44" spans="1:13">
      <c r="A44" s="8">
        <v>43346</v>
      </c>
      <c r="B44" s="9">
        <v>0.62152777777777779</v>
      </c>
      <c r="C44" s="10" t="str">
        <f>"FES1162644923"</f>
        <v>FES1162644923</v>
      </c>
      <c r="D44" s="10" t="s">
        <v>19</v>
      </c>
      <c r="E44" s="10" t="s">
        <v>79</v>
      </c>
      <c r="F44" s="10" t="str">
        <f>"2170649858 "</f>
        <v xml:space="preserve">2170649858 </v>
      </c>
      <c r="G44" s="10" t="str">
        <f t="shared" si="1"/>
        <v>ON1</v>
      </c>
      <c r="H44" s="10" t="s">
        <v>21</v>
      </c>
      <c r="I44" s="10" t="s">
        <v>80</v>
      </c>
      <c r="J44" s="10" t="str">
        <f>""</f>
        <v/>
      </c>
      <c r="K44" s="10" t="str">
        <f>"PFES1162644923_0001"</f>
        <v>PFES1162644923_0001</v>
      </c>
      <c r="L44" s="10">
        <v>1</v>
      </c>
      <c r="M44" s="10">
        <v>2</v>
      </c>
    </row>
    <row r="45" spans="1:13">
      <c r="A45" s="8">
        <v>43346</v>
      </c>
      <c r="B45" s="9">
        <v>0.6118055555555556</v>
      </c>
      <c r="C45" s="10" t="str">
        <f>"FES1162644920"</f>
        <v>FES1162644920</v>
      </c>
      <c r="D45" s="10" t="s">
        <v>19</v>
      </c>
      <c r="E45" s="10" t="s">
        <v>81</v>
      </c>
      <c r="F45" s="10" t="str">
        <f>"2170649851 "</f>
        <v xml:space="preserve">2170649851 </v>
      </c>
      <c r="G45" s="10" t="str">
        <f t="shared" si="1"/>
        <v>ON1</v>
      </c>
      <c r="H45" s="10" t="s">
        <v>21</v>
      </c>
      <c r="I45" s="10" t="s">
        <v>28</v>
      </c>
      <c r="J45" s="10" t="str">
        <f>""</f>
        <v/>
      </c>
      <c r="K45" s="10" t="str">
        <f>"PFES1162644920_0001"</f>
        <v>PFES1162644920_0001</v>
      </c>
      <c r="L45" s="10">
        <v>1</v>
      </c>
      <c r="M45" s="10">
        <v>3</v>
      </c>
    </row>
    <row r="46" spans="1:13">
      <c r="A46" s="8">
        <v>43346</v>
      </c>
      <c r="B46" s="9">
        <v>0.61111111111111105</v>
      </c>
      <c r="C46" s="10" t="str">
        <f>"FES1162644908"</f>
        <v>FES1162644908</v>
      </c>
      <c r="D46" s="10" t="s">
        <v>19</v>
      </c>
      <c r="E46" s="10" t="s">
        <v>82</v>
      </c>
      <c r="F46" s="10" t="str">
        <f>"2170649706 "</f>
        <v xml:space="preserve">2170649706 </v>
      </c>
      <c r="G46" s="10" t="str">
        <f t="shared" si="1"/>
        <v>ON1</v>
      </c>
      <c r="H46" s="10" t="s">
        <v>21</v>
      </c>
      <c r="I46" s="10" t="s">
        <v>83</v>
      </c>
      <c r="J46" s="10" t="str">
        <f>""</f>
        <v/>
      </c>
      <c r="K46" s="10" t="str">
        <f>"PFES1162644908_0001"</f>
        <v>PFES1162644908_0001</v>
      </c>
      <c r="L46" s="10">
        <v>1</v>
      </c>
      <c r="M46" s="10">
        <v>6</v>
      </c>
    </row>
    <row r="47" spans="1:13">
      <c r="A47" s="8">
        <v>43346</v>
      </c>
      <c r="B47" s="9">
        <v>0.60902777777777783</v>
      </c>
      <c r="C47" s="10" t="str">
        <f>"FES1162644916"</f>
        <v>FES1162644916</v>
      </c>
      <c r="D47" s="10" t="s">
        <v>19</v>
      </c>
      <c r="E47" s="10" t="s">
        <v>84</v>
      </c>
      <c r="F47" s="10" t="str">
        <f>"2170649847 "</f>
        <v xml:space="preserve">2170649847 </v>
      </c>
      <c r="G47" s="10" t="str">
        <f t="shared" si="1"/>
        <v>ON1</v>
      </c>
      <c r="H47" s="10" t="s">
        <v>21</v>
      </c>
      <c r="I47" s="10" t="s">
        <v>85</v>
      </c>
      <c r="J47" s="10" t="str">
        <f>""</f>
        <v/>
      </c>
      <c r="K47" s="10" t="str">
        <f>"PFES1162644916_0001"</f>
        <v>PFES1162644916_0001</v>
      </c>
      <c r="L47" s="10">
        <v>1</v>
      </c>
      <c r="M47" s="10">
        <v>17</v>
      </c>
    </row>
    <row r="48" spans="1:13">
      <c r="A48" s="8">
        <v>43346</v>
      </c>
      <c r="B48" s="9">
        <v>0.60763888888888895</v>
      </c>
      <c r="C48" s="10" t="str">
        <f>"FES1162644915"</f>
        <v>FES1162644915</v>
      </c>
      <c r="D48" s="10" t="s">
        <v>19</v>
      </c>
      <c r="E48" s="10" t="s">
        <v>86</v>
      </c>
      <c r="F48" s="10" t="str">
        <f>"2170649846 "</f>
        <v xml:space="preserve">2170649846 </v>
      </c>
      <c r="G48" s="10" t="str">
        <f t="shared" si="1"/>
        <v>ON1</v>
      </c>
      <c r="H48" s="10" t="s">
        <v>21</v>
      </c>
      <c r="I48" s="10" t="s">
        <v>87</v>
      </c>
      <c r="J48" s="10" t="str">
        <f>""</f>
        <v/>
      </c>
      <c r="K48" s="10" t="str">
        <f>"PFES1162644915_0001"</f>
        <v>PFES1162644915_0001</v>
      </c>
      <c r="L48" s="10">
        <v>1</v>
      </c>
      <c r="M48" s="10">
        <v>6</v>
      </c>
    </row>
    <row r="49" spans="1:13">
      <c r="A49" s="8">
        <v>43346</v>
      </c>
      <c r="B49" s="9">
        <v>0.60486111111111118</v>
      </c>
      <c r="C49" s="10" t="str">
        <f>"FES1162644882"</f>
        <v>FES1162644882</v>
      </c>
      <c r="D49" s="10" t="s">
        <v>19</v>
      </c>
      <c r="E49" s="10" t="s">
        <v>88</v>
      </c>
      <c r="F49" s="10" t="str">
        <f>"2170649798 "</f>
        <v xml:space="preserve">2170649798 </v>
      </c>
      <c r="G49" s="10" t="str">
        <f>"ON2"</f>
        <v>ON2</v>
      </c>
      <c r="H49" s="10" t="s">
        <v>21</v>
      </c>
      <c r="I49" s="10" t="s">
        <v>89</v>
      </c>
      <c r="J49" s="10" t="str">
        <f>"FRAGILE"</f>
        <v>FRAGILE</v>
      </c>
      <c r="K49" s="10" t="str">
        <f>"PFES1162644882_0001"</f>
        <v>PFES1162644882_0001</v>
      </c>
      <c r="L49" s="10">
        <v>1</v>
      </c>
      <c r="M49" s="10">
        <v>4</v>
      </c>
    </row>
    <row r="50" spans="1:13">
      <c r="A50" s="8">
        <v>43346</v>
      </c>
      <c r="B50" s="9">
        <v>0.60486111111111118</v>
      </c>
      <c r="C50" s="10" t="str">
        <f>"FES1162644922"</f>
        <v>FES1162644922</v>
      </c>
      <c r="D50" s="10" t="s">
        <v>19</v>
      </c>
      <c r="E50" s="10" t="s">
        <v>90</v>
      </c>
      <c r="F50" s="10" t="str">
        <f>"2170649584 "</f>
        <v xml:space="preserve">2170649584 </v>
      </c>
      <c r="G50" s="10" t="str">
        <f t="shared" ref="G50:G113" si="2">"ON1"</f>
        <v>ON1</v>
      </c>
      <c r="H50" s="10" t="s">
        <v>21</v>
      </c>
      <c r="I50" s="10" t="s">
        <v>91</v>
      </c>
      <c r="J50" s="10" t="str">
        <f>""</f>
        <v/>
      </c>
      <c r="K50" s="10" t="str">
        <f>"PFES1162644922_0001"</f>
        <v>PFES1162644922_0001</v>
      </c>
      <c r="L50" s="10">
        <v>1</v>
      </c>
      <c r="M50" s="10">
        <v>1</v>
      </c>
    </row>
    <row r="51" spans="1:13">
      <c r="A51" s="8">
        <v>43346</v>
      </c>
      <c r="B51" s="9">
        <v>0.60486111111111118</v>
      </c>
      <c r="C51" s="10" t="str">
        <f>"FES1162644912"</f>
        <v>FES1162644912</v>
      </c>
      <c r="D51" s="10" t="s">
        <v>19</v>
      </c>
      <c r="E51" s="10" t="s">
        <v>92</v>
      </c>
      <c r="F51" s="10" t="str">
        <f>"2170649582 "</f>
        <v xml:space="preserve">2170649582 </v>
      </c>
      <c r="G51" s="10" t="str">
        <f t="shared" si="2"/>
        <v>ON1</v>
      </c>
      <c r="H51" s="10" t="s">
        <v>21</v>
      </c>
      <c r="I51" s="10" t="s">
        <v>93</v>
      </c>
      <c r="J51" s="10" t="str">
        <f>""</f>
        <v/>
      </c>
      <c r="K51" s="10" t="str">
        <f>"PFES1162644912_0001"</f>
        <v>PFES1162644912_0001</v>
      </c>
      <c r="L51" s="10">
        <v>1</v>
      </c>
      <c r="M51" s="10">
        <v>1</v>
      </c>
    </row>
    <row r="52" spans="1:13">
      <c r="A52" s="8">
        <v>43346</v>
      </c>
      <c r="B52" s="9">
        <v>0.60486111111111118</v>
      </c>
      <c r="C52" s="10" t="str">
        <f>"FES1162644927"</f>
        <v>FES1162644927</v>
      </c>
      <c r="D52" s="10" t="s">
        <v>19</v>
      </c>
      <c r="E52" s="10" t="s">
        <v>94</v>
      </c>
      <c r="F52" s="10" t="str">
        <f>"2170649865 "</f>
        <v xml:space="preserve">2170649865 </v>
      </c>
      <c r="G52" s="10" t="str">
        <f t="shared" si="2"/>
        <v>ON1</v>
      </c>
      <c r="H52" s="10" t="s">
        <v>21</v>
      </c>
      <c r="I52" s="10" t="s">
        <v>95</v>
      </c>
      <c r="J52" s="10" t="str">
        <f>""</f>
        <v/>
      </c>
      <c r="K52" s="10" t="str">
        <f>"PFES1162644927_0001"</f>
        <v>PFES1162644927_0001</v>
      </c>
      <c r="L52" s="10">
        <v>1</v>
      </c>
      <c r="M52" s="10">
        <v>1</v>
      </c>
    </row>
    <row r="53" spans="1:13">
      <c r="A53" s="8">
        <v>43346</v>
      </c>
      <c r="B53" s="9">
        <v>0.60138888888888886</v>
      </c>
      <c r="C53" s="10" t="str">
        <f>"FES1162644911"</f>
        <v>FES1162644911</v>
      </c>
      <c r="D53" s="10" t="s">
        <v>19</v>
      </c>
      <c r="E53" s="10" t="s">
        <v>96</v>
      </c>
      <c r="F53" s="10" t="str">
        <f>"2170649838 "</f>
        <v xml:space="preserve">2170649838 </v>
      </c>
      <c r="G53" s="10" t="str">
        <f t="shared" si="2"/>
        <v>ON1</v>
      </c>
      <c r="H53" s="10" t="s">
        <v>21</v>
      </c>
      <c r="I53" s="10" t="s">
        <v>97</v>
      </c>
      <c r="J53" s="10" t="str">
        <f>""</f>
        <v/>
      </c>
      <c r="K53" s="10" t="str">
        <f>"PFES1162644911_0001"</f>
        <v>PFES1162644911_0001</v>
      </c>
      <c r="L53" s="10">
        <v>1</v>
      </c>
      <c r="M53" s="10">
        <v>3</v>
      </c>
    </row>
    <row r="54" spans="1:13">
      <c r="A54" s="8">
        <v>43346</v>
      </c>
      <c r="B54" s="9">
        <v>0.59930555555555554</v>
      </c>
      <c r="C54" s="10" t="str">
        <f>"FES1162644907"</f>
        <v>FES1162644907</v>
      </c>
      <c r="D54" s="10" t="s">
        <v>19</v>
      </c>
      <c r="E54" s="10" t="s">
        <v>98</v>
      </c>
      <c r="F54" s="10" t="str">
        <f>"2170649701 "</f>
        <v xml:space="preserve">2170649701 </v>
      </c>
      <c r="G54" s="10" t="str">
        <f t="shared" si="2"/>
        <v>ON1</v>
      </c>
      <c r="H54" s="10" t="s">
        <v>21</v>
      </c>
      <c r="I54" s="10" t="s">
        <v>74</v>
      </c>
      <c r="J54" s="10" t="str">
        <f>""</f>
        <v/>
      </c>
      <c r="K54" s="10" t="str">
        <f>"PFES1162644907_0001"</f>
        <v>PFES1162644907_0001</v>
      </c>
      <c r="L54" s="10">
        <v>1</v>
      </c>
      <c r="M54" s="10">
        <v>3</v>
      </c>
    </row>
    <row r="55" spans="1:13">
      <c r="A55" s="8">
        <v>43346</v>
      </c>
      <c r="B55" s="9">
        <v>0.59722222222222221</v>
      </c>
      <c r="C55" s="10" t="str">
        <f>"FES1162644883"</f>
        <v>FES1162644883</v>
      </c>
      <c r="D55" s="10" t="s">
        <v>19</v>
      </c>
      <c r="E55" s="10" t="s">
        <v>99</v>
      </c>
      <c r="F55" s="10" t="str">
        <f>"2170649802 "</f>
        <v xml:space="preserve">2170649802 </v>
      </c>
      <c r="G55" s="10" t="str">
        <f t="shared" si="2"/>
        <v>ON1</v>
      </c>
      <c r="H55" s="10" t="s">
        <v>21</v>
      </c>
      <c r="I55" s="10" t="s">
        <v>100</v>
      </c>
      <c r="J55" s="10" t="str">
        <f>""</f>
        <v/>
      </c>
      <c r="K55" s="10" t="str">
        <f>"PFES1162644883_0001"</f>
        <v>PFES1162644883_0001</v>
      </c>
      <c r="L55" s="10">
        <v>1</v>
      </c>
      <c r="M55" s="10">
        <v>3</v>
      </c>
    </row>
    <row r="56" spans="1:13">
      <c r="A56" s="8">
        <v>43346</v>
      </c>
      <c r="B56" s="9">
        <v>0.59513888888888888</v>
      </c>
      <c r="C56" s="10" t="str">
        <f>"FES1162644904"</f>
        <v>FES1162644904</v>
      </c>
      <c r="D56" s="10" t="s">
        <v>19</v>
      </c>
      <c r="E56" s="10" t="s">
        <v>101</v>
      </c>
      <c r="F56" s="10" t="str">
        <f>"2170649833 "</f>
        <v xml:space="preserve">2170649833 </v>
      </c>
      <c r="G56" s="10" t="str">
        <f t="shared" si="2"/>
        <v>ON1</v>
      </c>
      <c r="H56" s="10" t="s">
        <v>21</v>
      </c>
      <c r="I56" s="10" t="s">
        <v>102</v>
      </c>
      <c r="J56" s="10" t="str">
        <f>""</f>
        <v/>
      </c>
      <c r="K56" s="10" t="str">
        <f>"PFES1162644904_0001"</f>
        <v>PFES1162644904_0001</v>
      </c>
      <c r="L56" s="10">
        <v>1</v>
      </c>
      <c r="M56" s="10">
        <v>4</v>
      </c>
    </row>
    <row r="57" spans="1:13">
      <c r="A57" s="8">
        <v>43346</v>
      </c>
      <c r="B57" s="9">
        <v>0.59444444444444444</v>
      </c>
      <c r="C57" s="10" t="str">
        <f>"FES1162644895"</f>
        <v>FES1162644895</v>
      </c>
      <c r="D57" s="10" t="s">
        <v>19</v>
      </c>
      <c r="E57" s="10" t="s">
        <v>103</v>
      </c>
      <c r="F57" s="10" t="str">
        <f>"2170649814 "</f>
        <v xml:space="preserve">2170649814 </v>
      </c>
      <c r="G57" s="10" t="str">
        <f t="shared" si="2"/>
        <v>ON1</v>
      </c>
      <c r="H57" s="10" t="s">
        <v>21</v>
      </c>
      <c r="I57" s="10" t="s">
        <v>24</v>
      </c>
      <c r="J57" s="10" t="str">
        <f>""</f>
        <v/>
      </c>
      <c r="K57" s="10" t="str">
        <f>"PFES1162644895_0001"</f>
        <v>PFES1162644895_0001</v>
      </c>
      <c r="L57" s="10">
        <v>1</v>
      </c>
      <c r="M57" s="10">
        <v>1</v>
      </c>
    </row>
    <row r="58" spans="1:13">
      <c r="A58" s="8">
        <v>43346</v>
      </c>
      <c r="B58" s="9">
        <v>0.59444444444444444</v>
      </c>
      <c r="C58" s="10" t="str">
        <f>"FES1162644899"</f>
        <v>FES1162644899</v>
      </c>
      <c r="D58" s="10" t="s">
        <v>19</v>
      </c>
      <c r="E58" s="10" t="s">
        <v>104</v>
      </c>
      <c r="F58" s="10" t="str">
        <f>"21706498213 "</f>
        <v xml:space="preserve">21706498213 </v>
      </c>
      <c r="G58" s="10" t="str">
        <f t="shared" si="2"/>
        <v>ON1</v>
      </c>
      <c r="H58" s="10" t="s">
        <v>21</v>
      </c>
      <c r="I58" s="10" t="s">
        <v>105</v>
      </c>
      <c r="J58" s="10" t="str">
        <f>""</f>
        <v/>
      </c>
      <c r="K58" s="10" t="str">
        <f>"PFES1162644899_0001"</f>
        <v>PFES1162644899_0001</v>
      </c>
      <c r="L58" s="10">
        <v>1</v>
      </c>
      <c r="M58" s="10">
        <v>1</v>
      </c>
    </row>
    <row r="59" spans="1:13">
      <c r="A59" s="8">
        <v>43346</v>
      </c>
      <c r="B59" s="9">
        <v>0.59375</v>
      </c>
      <c r="C59" s="10" t="str">
        <f>"FES1162644890"</f>
        <v>FES1162644890</v>
      </c>
      <c r="D59" s="10" t="s">
        <v>19</v>
      </c>
      <c r="E59" s="10" t="s">
        <v>106</v>
      </c>
      <c r="F59" s="10" t="str">
        <f>"2170647969 "</f>
        <v xml:space="preserve">2170647969 </v>
      </c>
      <c r="G59" s="10" t="str">
        <f t="shared" si="2"/>
        <v>ON1</v>
      </c>
      <c r="H59" s="10" t="s">
        <v>21</v>
      </c>
      <c r="I59" s="10" t="s">
        <v>107</v>
      </c>
      <c r="J59" s="10" t="str">
        <f>""</f>
        <v/>
      </c>
      <c r="K59" s="10" t="str">
        <f>"PFES1162644890_0001"</f>
        <v>PFES1162644890_0001</v>
      </c>
      <c r="L59" s="10">
        <v>1</v>
      </c>
      <c r="M59" s="10">
        <v>1</v>
      </c>
    </row>
    <row r="60" spans="1:13">
      <c r="A60" s="8">
        <v>43346</v>
      </c>
      <c r="B60" s="9">
        <v>0.59375</v>
      </c>
      <c r="C60" s="10" t="str">
        <f>"FES1162644910"</f>
        <v>FES1162644910</v>
      </c>
      <c r="D60" s="10" t="s">
        <v>19</v>
      </c>
      <c r="E60" s="10" t="s">
        <v>104</v>
      </c>
      <c r="F60" s="10" t="str">
        <f>"2170649836 "</f>
        <v xml:space="preserve">2170649836 </v>
      </c>
      <c r="G60" s="10" t="str">
        <f t="shared" si="2"/>
        <v>ON1</v>
      </c>
      <c r="H60" s="10" t="s">
        <v>21</v>
      </c>
      <c r="I60" s="10" t="s">
        <v>105</v>
      </c>
      <c r="J60" s="10" t="str">
        <f>""</f>
        <v/>
      </c>
      <c r="K60" s="10" t="str">
        <f>"PFES1162644910_0001"</f>
        <v>PFES1162644910_0001</v>
      </c>
      <c r="L60" s="10">
        <v>1</v>
      </c>
      <c r="M60" s="10">
        <v>1</v>
      </c>
    </row>
    <row r="61" spans="1:13">
      <c r="A61" s="8">
        <v>43346</v>
      </c>
      <c r="B61" s="9">
        <v>0.59375</v>
      </c>
      <c r="C61" s="10" t="str">
        <f>"FES1162644872"</f>
        <v>FES1162644872</v>
      </c>
      <c r="D61" s="10" t="s">
        <v>19</v>
      </c>
      <c r="E61" s="10" t="s">
        <v>108</v>
      </c>
      <c r="F61" s="10" t="str">
        <f>"21706498780 "</f>
        <v xml:space="preserve">21706498780 </v>
      </c>
      <c r="G61" s="10" t="str">
        <f t="shared" si="2"/>
        <v>ON1</v>
      </c>
      <c r="H61" s="10" t="s">
        <v>21</v>
      </c>
      <c r="I61" s="10" t="s">
        <v>109</v>
      </c>
      <c r="J61" s="10" t="str">
        <f>""</f>
        <v/>
      </c>
      <c r="K61" s="10" t="str">
        <f>"PFES1162644872_0001"</f>
        <v>PFES1162644872_0001</v>
      </c>
      <c r="L61" s="10">
        <v>1</v>
      </c>
      <c r="M61" s="10">
        <v>1</v>
      </c>
    </row>
    <row r="62" spans="1:13">
      <c r="A62" s="8">
        <v>43346</v>
      </c>
      <c r="B62" s="9">
        <v>0.59305555555555556</v>
      </c>
      <c r="C62" s="10" t="str">
        <f>"FES1162644866"</f>
        <v>FES1162644866</v>
      </c>
      <c r="D62" s="10" t="s">
        <v>19</v>
      </c>
      <c r="E62" s="10" t="s">
        <v>20</v>
      </c>
      <c r="F62" s="10" t="str">
        <f>"2170649770 "</f>
        <v xml:space="preserve">2170649770 </v>
      </c>
      <c r="G62" s="10" t="str">
        <f t="shared" si="2"/>
        <v>ON1</v>
      </c>
      <c r="H62" s="10" t="s">
        <v>21</v>
      </c>
      <c r="I62" s="10" t="s">
        <v>22</v>
      </c>
      <c r="J62" s="10" t="str">
        <f>""</f>
        <v/>
      </c>
      <c r="K62" s="10" t="str">
        <f>"PFES1162644866_0001"</f>
        <v>PFES1162644866_0001</v>
      </c>
      <c r="L62" s="10">
        <v>1</v>
      </c>
      <c r="M62" s="10">
        <v>5</v>
      </c>
    </row>
    <row r="63" spans="1:13">
      <c r="A63" s="8">
        <v>43346</v>
      </c>
      <c r="B63" s="9">
        <v>0.54583333333333328</v>
      </c>
      <c r="C63" s="10" t="str">
        <f>"FES1162644880"</f>
        <v>FES1162644880</v>
      </c>
      <c r="D63" s="10" t="s">
        <v>19</v>
      </c>
      <c r="E63" s="10" t="s">
        <v>99</v>
      </c>
      <c r="F63" s="10" t="str">
        <f>"2170649737 "</f>
        <v xml:space="preserve">2170649737 </v>
      </c>
      <c r="G63" s="10" t="str">
        <f t="shared" si="2"/>
        <v>ON1</v>
      </c>
      <c r="H63" s="10" t="s">
        <v>21</v>
      </c>
      <c r="I63" s="10" t="s">
        <v>100</v>
      </c>
      <c r="J63" s="10" t="str">
        <f>""</f>
        <v/>
      </c>
      <c r="K63" s="10" t="str">
        <f>"PFES1162644880_0001"</f>
        <v>PFES1162644880_0001</v>
      </c>
      <c r="L63" s="10">
        <v>1</v>
      </c>
      <c r="M63" s="10">
        <v>8</v>
      </c>
    </row>
    <row r="64" spans="1:13">
      <c r="A64" s="8">
        <v>43346</v>
      </c>
      <c r="B64" s="9">
        <v>0.54513888888888895</v>
      </c>
      <c r="C64" s="10" t="str">
        <f>"FES1162644878"</f>
        <v>FES1162644878</v>
      </c>
      <c r="D64" s="10" t="s">
        <v>19</v>
      </c>
      <c r="E64" s="10" t="s">
        <v>110</v>
      </c>
      <c r="F64" s="10" t="str">
        <f>"2170649790 "</f>
        <v xml:space="preserve">2170649790 </v>
      </c>
      <c r="G64" s="10" t="str">
        <f t="shared" si="2"/>
        <v>ON1</v>
      </c>
      <c r="H64" s="10" t="s">
        <v>21</v>
      </c>
      <c r="I64" s="10" t="s">
        <v>28</v>
      </c>
      <c r="J64" s="10" t="str">
        <f>""</f>
        <v/>
      </c>
      <c r="K64" s="10" t="str">
        <f>"PFES1162644878_0001"</f>
        <v>PFES1162644878_0001</v>
      </c>
      <c r="L64" s="10">
        <v>1</v>
      </c>
      <c r="M64" s="10">
        <v>1</v>
      </c>
    </row>
    <row r="65" spans="1:13">
      <c r="A65" s="8">
        <v>43346</v>
      </c>
      <c r="B65" s="9">
        <v>0.54513888888888895</v>
      </c>
      <c r="C65" s="10" t="str">
        <f>"FES1162644871"</f>
        <v>FES1162644871</v>
      </c>
      <c r="D65" s="10" t="s">
        <v>19</v>
      </c>
      <c r="E65" s="10" t="s">
        <v>27</v>
      </c>
      <c r="F65" s="10" t="str">
        <f>"2170649777 "</f>
        <v xml:space="preserve">2170649777 </v>
      </c>
      <c r="G65" s="10" t="str">
        <f t="shared" si="2"/>
        <v>ON1</v>
      </c>
      <c r="H65" s="10" t="s">
        <v>21</v>
      </c>
      <c r="I65" s="10" t="s">
        <v>28</v>
      </c>
      <c r="J65" s="10" t="str">
        <f>""</f>
        <v/>
      </c>
      <c r="K65" s="10" t="str">
        <f>"PFES1162644871_0001"</f>
        <v>PFES1162644871_0001</v>
      </c>
      <c r="L65" s="10">
        <v>1</v>
      </c>
      <c r="M65" s="10">
        <v>1</v>
      </c>
    </row>
    <row r="66" spans="1:13">
      <c r="A66" s="8">
        <v>43346</v>
      </c>
      <c r="B66" s="9">
        <v>0.5444444444444444</v>
      </c>
      <c r="C66" s="10" t="str">
        <f>"FES1162644861"</f>
        <v>FES1162644861</v>
      </c>
      <c r="D66" s="10" t="s">
        <v>19</v>
      </c>
      <c r="E66" s="10" t="s">
        <v>111</v>
      </c>
      <c r="F66" s="10" t="str">
        <f>"2170647963 "</f>
        <v xml:space="preserve">2170647963 </v>
      </c>
      <c r="G66" s="10" t="str">
        <f t="shared" si="2"/>
        <v>ON1</v>
      </c>
      <c r="H66" s="10" t="s">
        <v>21</v>
      </c>
      <c r="I66" s="10" t="s">
        <v>112</v>
      </c>
      <c r="J66" s="10" t="str">
        <f>""</f>
        <v/>
      </c>
      <c r="K66" s="10" t="str">
        <f>"PFES1162644861_0001"</f>
        <v>PFES1162644861_0001</v>
      </c>
      <c r="L66" s="10">
        <v>1</v>
      </c>
      <c r="M66" s="10">
        <v>1</v>
      </c>
    </row>
    <row r="67" spans="1:13">
      <c r="A67" s="8">
        <v>43346</v>
      </c>
      <c r="B67" s="9">
        <v>0.5444444444444444</v>
      </c>
      <c r="C67" s="10" t="str">
        <f>"FES1162644863"</f>
        <v>FES1162644863</v>
      </c>
      <c r="D67" s="10" t="s">
        <v>19</v>
      </c>
      <c r="E67" s="10" t="s">
        <v>113</v>
      </c>
      <c r="F67" s="10" t="str">
        <f>"2170647999 "</f>
        <v xml:space="preserve">2170647999 </v>
      </c>
      <c r="G67" s="10" t="str">
        <f t="shared" si="2"/>
        <v>ON1</v>
      </c>
      <c r="H67" s="10" t="s">
        <v>21</v>
      </c>
      <c r="I67" s="10" t="s">
        <v>114</v>
      </c>
      <c r="J67" s="10" t="str">
        <f>""</f>
        <v/>
      </c>
      <c r="K67" s="10" t="str">
        <f>"PFES1162644863_0001"</f>
        <v>PFES1162644863_0001</v>
      </c>
      <c r="L67" s="10">
        <v>1</v>
      </c>
      <c r="M67" s="10">
        <v>1</v>
      </c>
    </row>
    <row r="68" spans="1:13">
      <c r="A68" s="8">
        <v>43346</v>
      </c>
      <c r="B68" s="9">
        <v>0.5444444444444444</v>
      </c>
      <c r="C68" s="10" t="str">
        <f>"FES1162644870"</f>
        <v>FES1162644870</v>
      </c>
      <c r="D68" s="10" t="s">
        <v>19</v>
      </c>
      <c r="E68" s="10" t="s">
        <v>115</v>
      </c>
      <c r="F68" s="10" t="str">
        <f>"2170649765 "</f>
        <v xml:space="preserve">2170649765 </v>
      </c>
      <c r="G68" s="10" t="str">
        <f t="shared" si="2"/>
        <v>ON1</v>
      </c>
      <c r="H68" s="10" t="s">
        <v>21</v>
      </c>
      <c r="I68" s="10" t="s">
        <v>76</v>
      </c>
      <c r="J68" s="10" t="str">
        <f>""</f>
        <v/>
      </c>
      <c r="K68" s="10" t="str">
        <f>"PFES1162644870_0001"</f>
        <v>PFES1162644870_0001</v>
      </c>
      <c r="L68" s="10">
        <v>1</v>
      </c>
      <c r="M68" s="10">
        <v>6</v>
      </c>
    </row>
    <row r="69" spans="1:13">
      <c r="A69" s="8">
        <v>43346</v>
      </c>
      <c r="B69" s="9">
        <v>0.54375000000000007</v>
      </c>
      <c r="C69" s="10" t="str">
        <f>"FES1162644855"</f>
        <v>FES1162644855</v>
      </c>
      <c r="D69" s="10" t="s">
        <v>19</v>
      </c>
      <c r="E69" s="10" t="s">
        <v>116</v>
      </c>
      <c r="F69" s="10" t="str">
        <f>"2170649755 "</f>
        <v xml:space="preserve">2170649755 </v>
      </c>
      <c r="G69" s="10" t="str">
        <f t="shared" si="2"/>
        <v>ON1</v>
      </c>
      <c r="H69" s="10" t="s">
        <v>21</v>
      </c>
      <c r="I69" s="10" t="s">
        <v>117</v>
      </c>
      <c r="J69" s="10" t="str">
        <f>""</f>
        <v/>
      </c>
      <c r="K69" s="10" t="str">
        <f>"PFES1162644855_0001"</f>
        <v>PFES1162644855_0001</v>
      </c>
      <c r="L69" s="10">
        <v>1</v>
      </c>
      <c r="M69" s="10">
        <v>1</v>
      </c>
    </row>
    <row r="70" spans="1:13">
      <c r="A70" s="8">
        <v>43346</v>
      </c>
      <c r="B70" s="9">
        <v>0.54375000000000007</v>
      </c>
      <c r="C70" s="10" t="str">
        <f>"FES1162644852"</f>
        <v>FES1162644852</v>
      </c>
      <c r="D70" s="10" t="s">
        <v>19</v>
      </c>
      <c r="E70" s="10" t="s">
        <v>90</v>
      </c>
      <c r="F70" s="10" t="str">
        <f>"2170647951 "</f>
        <v xml:space="preserve">2170647951 </v>
      </c>
      <c r="G70" s="10" t="str">
        <f t="shared" si="2"/>
        <v>ON1</v>
      </c>
      <c r="H70" s="10" t="s">
        <v>21</v>
      </c>
      <c r="I70" s="10" t="s">
        <v>118</v>
      </c>
      <c r="J70" s="10" t="str">
        <f>""</f>
        <v/>
      </c>
      <c r="K70" s="10" t="str">
        <f>"PFES1162644852_0001"</f>
        <v>PFES1162644852_0001</v>
      </c>
      <c r="L70" s="10">
        <v>1</v>
      </c>
      <c r="M70" s="10">
        <v>1</v>
      </c>
    </row>
    <row r="71" spans="1:13">
      <c r="A71" s="8">
        <v>43346</v>
      </c>
      <c r="B71" s="9">
        <v>0.54375000000000007</v>
      </c>
      <c r="C71" s="10" t="str">
        <f>"FES1162644857"</f>
        <v>FES1162644857</v>
      </c>
      <c r="D71" s="10" t="s">
        <v>19</v>
      </c>
      <c r="E71" s="10" t="s">
        <v>119</v>
      </c>
      <c r="F71" s="10" t="str">
        <f>"21706749757 "</f>
        <v xml:space="preserve">21706749757 </v>
      </c>
      <c r="G71" s="10" t="str">
        <f t="shared" si="2"/>
        <v>ON1</v>
      </c>
      <c r="H71" s="10" t="s">
        <v>21</v>
      </c>
      <c r="I71" s="10" t="s">
        <v>68</v>
      </c>
      <c r="J71" s="10" t="str">
        <f>""</f>
        <v/>
      </c>
      <c r="K71" s="10" t="str">
        <f>"PFES1162644857_0001"</f>
        <v>PFES1162644857_0001</v>
      </c>
      <c r="L71" s="10">
        <v>1</v>
      </c>
      <c r="M71" s="10">
        <v>1</v>
      </c>
    </row>
    <row r="72" spans="1:13">
      <c r="A72" s="8">
        <v>43346</v>
      </c>
      <c r="B72" s="9">
        <v>0.54305555555555551</v>
      </c>
      <c r="C72" s="10" t="str">
        <f>"FES1162644854"</f>
        <v>FES1162644854</v>
      </c>
      <c r="D72" s="10" t="s">
        <v>19</v>
      </c>
      <c r="E72" s="10" t="s">
        <v>41</v>
      </c>
      <c r="F72" s="10" t="str">
        <f>"2170649754 "</f>
        <v xml:space="preserve">2170649754 </v>
      </c>
      <c r="G72" s="10" t="str">
        <f t="shared" si="2"/>
        <v>ON1</v>
      </c>
      <c r="H72" s="10" t="s">
        <v>21</v>
      </c>
      <c r="I72" s="10" t="s">
        <v>42</v>
      </c>
      <c r="J72" s="10" t="str">
        <f>""</f>
        <v/>
      </c>
      <c r="K72" s="10" t="str">
        <f>"PFES1162644854_0001"</f>
        <v>PFES1162644854_0001</v>
      </c>
      <c r="L72" s="10">
        <v>1</v>
      </c>
      <c r="M72" s="10">
        <v>1</v>
      </c>
    </row>
    <row r="73" spans="1:13">
      <c r="A73" s="8">
        <v>43346</v>
      </c>
      <c r="B73" s="9">
        <v>0.54305555555555551</v>
      </c>
      <c r="C73" s="10" t="str">
        <f>"FES1162644877"</f>
        <v>FES1162644877</v>
      </c>
      <c r="D73" s="10" t="s">
        <v>19</v>
      </c>
      <c r="E73" s="10" t="s">
        <v>69</v>
      </c>
      <c r="F73" s="10" t="str">
        <f>"2170649789 "</f>
        <v xml:space="preserve">2170649789 </v>
      </c>
      <c r="G73" s="10" t="str">
        <f t="shared" si="2"/>
        <v>ON1</v>
      </c>
      <c r="H73" s="10" t="s">
        <v>21</v>
      </c>
      <c r="I73" s="10" t="s">
        <v>68</v>
      </c>
      <c r="J73" s="10" t="str">
        <f>""</f>
        <v/>
      </c>
      <c r="K73" s="10" t="str">
        <f>"PFES1162644877_0001"</f>
        <v>PFES1162644877_0001</v>
      </c>
      <c r="L73" s="10">
        <v>1</v>
      </c>
      <c r="M73" s="10">
        <v>1</v>
      </c>
    </row>
    <row r="74" spans="1:13">
      <c r="A74" s="8">
        <v>43346</v>
      </c>
      <c r="B74" s="9">
        <v>0.54236111111111118</v>
      </c>
      <c r="C74" s="10" t="str">
        <f>"FES1162644795"</f>
        <v>FES1162644795</v>
      </c>
      <c r="D74" s="10" t="s">
        <v>19</v>
      </c>
      <c r="E74" s="10" t="s">
        <v>120</v>
      </c>
      <c r="F74" s="10" t="str">
        <f>"2170647599 "</f>
        <v xml:space="preserve">2170647599 </v>
      </c>
      <c r="G74" s="10" t="str">
        <f t="shared" si="2"/>
        <v>ON1</v>
      </c>
      <c r="H74" s="10" t="s">
        <v>21</v>
      </c>
      <c r="I74" s="10" t="s">
        <v>66</v>
      </c>
      <c r="J74" s="10" t="str">
        <f>""</f>
        <v/>
      </c>
      <c r="K74" s="10" t="str">
        <f>"PFES1162644795_0001"</f>
        <v>PFES1162644795_0001</v>
      </c>
      <c r="L74" s="10">
        <v>1</v>
      </c>
      <c r="M74" s="10">
        <v>1</v>
      </c>
    </row>
    <row r="75" spans="1:13">
      <c r="A75" s="8">
        <v>43346</v>
      </c>
      <c r="B75" s="9">
        <v>0.54236111111111118</v>
      </c>
      <c r="C75" s="10" t="str">
        <f>"FES1162644876"</f>
        <v>FES1162644876</v>
      </c>
      <c r="D75" s="10" t="s">
        <v>19</v>
      </c>
      <c r="E75" s="10" t="s">
        <v>65</v>
      </c>
      <c r="F75" s="10" t="str">
        <f>"2170649786 "</f>
        <v xml:space="preserve">2170649786 </v>
      </c>
      <c r="G75" s="10" t="str">
        <f t="shared" si="2"/>
        <v>ON1</v>
      </c>
      <c r="H75" s="10" t="s">
        <v>21</v>
      </c>
      <c r="I75" s="10" t="s">
        <v>66</v>
      </c>
      <c r="J75" s="10" t="str">
        <f>""</f>
        <v/>
      </c>
      <c r="K75" s="10" t="str">
        <f>"PFES1162644876_0001"</f>
        <v>PFES1162644876_0001</v>
      </c>
      <c r="L75" s="10">
        <v>1</v>
      </c>
      <c r="M75" s="10">
        <v>1</v>
      </c>
    </row>
    <row r="76" spans="1:13">
      <c r="A76" s="8">
        <v>43346</v>
      </c>
      <c r="B76" s="9">
        <v>0.54166666666666663</v>
      </c>
      <c r="C76" s="10" t="str">
        <f>"FES1162644884"</f>
        <v>FES1162644884</v>
      </c>
      <c r="D76" s="10" t="s">
        <v>19</v>
      </c>
      <c r="E76" s="10" t="s">
        <v>121</v>
      </c>
      <c r="F76" s="10" t="str">
        <f>"2170649803 "</f>
        <v xml:space="preserve">2170649803 </v>
      </c>
      <c r="G76" s="10" t="str">
        <f t="shared" si="2"/>
        <v>ON1</v>
      </c>
      <c r="H76" s="10" t="s">
        <v>21</v>
      </c>
      <c r="I76" s="10" t="s">
        <v>122</v>
      </c>
      <c r="J76" s="10" t="str">
        <f>""</f>
        <v/>
      </c>
      <c r="K76" s="10" t="str">
        <f>"PFES1162644884_0001"</f>
        <v>PFES1162644884_0001</v>
      </c>
      <c r="L76" s="10">
        <v>1</v>
      </c>
      <c r="M76" s="10">
        <v>1</v>
      </c>
    </row>
    <row r="77" spans="1:13">
      <c r="A77" s="8">
        <v>43346</v>
      </c>
      <c r="B77" s="9">
        <v>0.54097222222222219</v>
      </c>
      <c r="C77" s="10" t="str">
        <f>"FES1162644889"</f>
        <v>FES1162644889</v>
      </c>
      <c r="D77" s="10" t="s">
        <v>19</v>
      </c>
      <c r="E77" s="10" t="s">
        <v>123</v>
      </c>
      <c r="F77" s="10" t="str">
        <f>"2170649810 "</f>
        <v xml:space="preserve">2170649810 </v>
      </c>
      <c r="G77" s="10" t="str">
        <f t="shared" si="2"/>
        <v>ON1</v>
      </c>
      <c r="H77" s="10" t="s">
        <v>21</v>
      </c>
      <c r="I77" s="10" t="s">
        <v>124</v>
      </c>
      <c r="J77" s="10" t="str">
        <f>""</f>
        <v/>
      </c>
      <c r="K77" s="10" t="str">
        <f>"PFES1162644889_0001"</f>
        <v>PFES1162644889_0001</v>
      </c>
      <c r="L77" s="10">
        <v>1</v>
      </c>
      <c r="M77" s="10">
        <v>1</v>
      </c>
    </row>
    <row r="78" spans="1:13">
      <c r="A78" s="8">
        <v>43346</v>
      </c>
      <c r="B78" s="9">
        <v>0.54097222222222219</v>
      </c>
      <c r="C78" s="10" t="str">
        <f>"FES1162644894"</f>
        <v>FES1162644894</v>
      </c>
      <c r="D78" s="10" t="s">
        <v>19</v>
      </c>
      <c r="E78" s="10" t="s">
        <v>125</v>
      </c>
      <c r="F78" s="10" t="str">
        <f>"2170649813 "</f>
        <v xml:space="preserve">2170649813 </v>
      </c>
      <c r="G78" s="10" t="str">
        <f t="shared" si="2"/>
        <v>ON1</v>
      </c>
      <c r="H78" s="10" t="s">
        <v>21</v>
      </c>
      <c r="I78" s="10" t="s">
        <v>126</v>
      </c>
      <c r="J78" s="10" t="str">
        <f>""</f>
        <v/>
      </c>
      <c r="K78" s="10" t="str">
        <f>"PFES1162644894_0001"</f>
        <v>PFES1162644894_0001</v>
      </c>
      <c r="L78" s="10">
        <v>1</v>
      </c>
      <c r="M78" s="10">
        <v>1</v>
      </c>
    </row>
    <row r="79" spans="1:13">
      <c r="A79" s="8">
        <v>43346</v>
      </c>
      <c r="B79" s="9">
        <v>0.53888888888888886</v>
      </c>
      <c r="C79" s="10" t="str">
        <f>"FES1162644896"</f>
        <v>FES1162644896</v>
      </c>
      <c r="D79" s="10" t="s">
        <v>19</v>
      </c>
      <c r="E79" s="10" t="s">
        <v>127</v>
      </c>
      <c r="F79" s="10" t="str">
        <f>"2170649817 "</f>
        <v xml:space="preserve">2170649817 </v>
      </c>
      <c r="G79" s="10" t="str">
        <f t="shared" si="2"/>
        <v>ON1</v>
      </c>
      <c r="H79" s="10" t="s">
        <v>21</v>
      </c>
      <c r="I79" s="10" t="s">
        <v>128</v>
      </c>
      <c r="J79" s="10" t="str">
        <f>""</f>
        <v/>
      </c>
      <c r="K79" s="10" t="str">
        <f>"PFES1162644896_0001"</f>
        <v>PFES1162644896_0001</v>
      </c>
      <c r="L79" s="10">
        <v>1</v>
      </c>
      <c r="M79" s="10">
        <v>2</v>
      </c>
    </row>
    <row r="80" spans="1:13">
      <c r="A80" s="8">
        <v>43346</v>
      </c>
      <c r="B80" s="9">
        <v>0.53680555555555554</v>
      </c>
      <c r="C80" s="10" t="str">
        <f>"FES1162644902"</f>
        <v>FES1162644902</v>
      </c>
      <c r="D80" s="10" t="s">
        <v>19</v>
      </c>
      <c r="E80" s="10" t="s">
        <v>129</v>
      </c>
      <c r="F80" s="10" t="str">
        <f>"2170649831 "</f>
        <v xml:space="preserve">2170649831 </v>
      </c>
      <c r="G80" s="10" t="str">
        <f t="shared" si="2"/>
        <v>ON1</v>
      </c>
      <c r="H80" s="10" t="s">
        <v>21</v>
      </c>
      <c r="I80" s="10" t="s">
        <v>76</v>
      </c>
      <c r="J80" s="10" t="str">
        <f>""</f>
        <v/>
      </c>
      <c r="K80" s="10" t="str">
        <f>"PFES1162644902_0001"</f>
        <v>PFES1162644902_0001</v>
      </c>
      <c r="L80" s="10">
        <v>1</v>
      </c>
      <c r="M80" s="10">
        <v>4</v>
      </c>
    </row>
    <row r="81" spans="1:13">
      <c r="A81" s="8">
        <v>43346</v>
      </c>
      <c r="B81" s="9">
        <v>0.53611111111111109</v>
      </c>
      <c r="C81" s="10" t="str">
        <f>"FES1162644873"</f>
        <v>FES1162644873</v>
      </c>
      <c r="D81" s="10" t="s">
        <v>19</v>
      </c>
      <c r="E81" s="10" t="s">
        <v>130</v>
      </c>
      <c r="F81" s="10" t="str">
        <f>"217064781 "</f>
        <v xml:space="preserve">217064781 </v>
      </c>
      <c r="G81" s="10" t="str">
        <f t="shared" si="2"/>
        <v>ON1</v>
      </c>
      <c r="H81" s="10" t="s">
        <v>21</v>
      </c>
      <c r="I81" s="10" t="s">
        <v>131</v>
      </c>
      <c r="J81" s="10" t="str">
        <f>""</f>
        <v/>
      </c>
      <c r="K81" s="10" t="str">
        <f>"PFES1162644873_0001"</f>
        <v>PFES1162644873_0001</v>
      </c>
      <c r="L81" s="10">
        <v>1</v>
      </c>
      <c r="M81" s="10">
        <v>1</v>
      </c>
    </row>
    <row r="82" spans="1:13">
      <c r="A82" s="8">
        <v>43346</v>
      </c>
      <c r="B82" s="9">
        <v>0.53611111111111109</v>
      </c>
      <c r="C82" s="10" t="str">
        <f>"FES1162644885"</f>
        <v>FES1162644885</v>
      </c>
      <c r="D82" s="10" t="s">
        <v>19</v>
      </c>
      <c r="E82" s="10" t="s">
        <v>123</v>
      </c>
      <c r="F82" s="10" t="str">
        <f>"2170649804 "</f>
        <v xml:space="preserve">2170649804 </v>
      </c>
      <c r="G82" s="10" t="str">
        <f t="shared" si="2"/>
        <v>ON1</v>
      </c>
      <c r="H82" s="10" t="s">
        <v>21</v>
      </c>
      <c r="I82" s="10" t="s">
        <v>124</v>
      </c>
      <c r="J82" s="10" t="str">
        <f>""</f>
        <v/>
      </c>
      <c r="K82" s="10" t="str">
        <f>"PFES1162644885_0001"</f>
        <v>PFES1162644885_0001</v>
      </c>
      <c r="L82" s="10">
        <v>1</v>
      </c>
      <c r="M82" s="10">
        <v>5</v>
      </c>
    </row>
    <row r="83" spans="1:13">
      <c r="A83" s="8">
        <v>43346</v>
      </c>
      <c r="B83" s="9">
        <v>0.53541666666666665</v>
      </c>
      <c r="C83" s="10" t="str">
        <f>"FES1162644797"</f>
        <v>FES1162644797</v>
      </c>
      <c r="D83" s="10" t="s">
        <v>19</v>
      </c>
      <c r="E83" s="10" t="s">
        <v>123</v>
      </c>
      <c r="F83" s="10" t="str">
        <f>"2170648134 "</f>
        <v xml:space="preserve">2170648134 </v>
      </c>
      <c r="G83" s="10" t="str">
        <f t="shared" si="2"/>
        <v>ON1</v>
      </c>
      <c r="H83" s="10" t="s">
        <v>21</v>
      </c>
      <c r="I83" s="10" t="s">
        <v>124</v>
      </c>
      <c r="J83" s="10" t="str">
        <f>""</f>
        <v/>
      </c>
      <c r="K83" s="10" t="str">
        <f>"PFES1162644797_0001"</f>
        <v>PFES1162644797_0001</v>
      </c>
      <c r="L83" s="10">
        <v>1</v>
      </c>
      <c r="M83" s="10">
        <v>1</v>
      </c>
    </row>
    <row r="84" spans="1:13">
      <c r="A84" s="8">
        <v>43346</v>
      </c>
      <c r="B84" s="9">
        <v>0.53472222222222221</v>
      </c>
      <c r="C84" s="10" t="str">
        <f>"FES1162644868"</f>
        <v>FES1162644868</v>
      </c>
      <c r="D84" s="10" t="s">
        <v>19</v>
      </c>
      <c r="E84" s="10" t="s">
        <v>69</v>
      </c>
      <c r="F84" s="10" t="str">
        <f>"2170649773 "</f>
        <v xml:space="preserve">2170649773 </v>
      </c>
      <c r="G84" s="10" t="str">
        <f t="shared" si="2"/>
        <v>ON1</v>
      </c>
      <c r="H84" s="10" t="s">
        <v>21</v>
      </c>
      <c r="I84" s="10" t="s">
        <v>68</v>
      </c>
      <c r="J84" s="10" t="str">
        <f>""</f>
        <v/>
      </c>
      <c r="K84" s="10" t="str">
        <f>"PFES1162644868_0001"</f>
        <v>PFES1162644868_0001</v>
      </c>
      <c r="L84" s="10">
        <v>1</v>
      </c>
      <c r="M84" s="10">
        <v>2</v>
      </c>
    </row>
    <row r="85" spans="1:13">
      <c r="A85" s="8">
        <v>43346</v>
      </c>
      <c r="B85" s="9">
        <v>0.53333333333333333</v>
      </c>
      <c r="C85" s="10" t="str">
        <f>"FES1162644782"</f>
        <v>FES1162644782</v>
      </c>
      <c r="D85" s="10" t="s">
        <v>19</v>
      </c>
      <c r="E85" s="10" t="s">
        <v>132</v>
      </c>
      <c r="F85" s="10" t="str">
        <f>"2170648200 "</f>
        <v xml:space="preserve">2170648200 </v>
      </c>
      <c r="G85" s="10" t="str">
        <f t="shared" si="2"/>
        <v>ON1</v>
      </c>
      <c r="H85" s="10" t="s">
        <v>21</v>
      </c>
      <c r="I85" s="10" t="s">
        <v>133</v>
      </c>
      <c r="J85" s="10" t="str">
        <f>""</f>
        <v/>
      </c>
      <c r="K85" s="10" t="str">
        <f>"PFES1162644782_0001"</f>
        <v>PFES1162644782_0001</v>
      </c>
      <c r="L85" s="10">
        <v>1</v>
      </c>
      <c r="M85" s="10">
        <v>1</v>
      </c>
    </row>
    <row r="86" spans="1:13">
      <c r="A86" s="8">
        <v>43346</v>
      </c>
      <c r="B86" s="9">
        <v>0.53125</v>
      </c>
      <c r="C86" s="10" t="str">
        <f>"FES1162644781"</f>
        <v>FES1162644781</v>
      </c>
      <c r="D86" s="10" t="s">
        <v>19</v>
      </c>
      <c r="E86" s="10" t="s">
        <v>132</v>
      </c>
      <c r="F86" s="10" t="str">
        <f>"2170648435 "</f>
        <v xml:space="preserve">2170648435 </v>
      </c>
      <c r="G86" s="10" t="str">
        <f t="shared" si="2"/>
        <v>ON1</v>
      </c>
      <c r="H86" s="10" t="s">
        <v>21</v>
      </c>
      <c r="I86" s="10" t="s">
        <v>133</v>
      </c>
      <c r="J86" s="10" t="str">
        <f>""</f>
        <v/>
      </c>
      <c r="K86" s="10" t="str">
        <f>"PFES1162644781_0001"</f>
        <v>PFES1162644781_0001</v>
      </c>
      <c r="L86" s="10">
        <v>1</v>
      </c>
      <c r="M86" s="10">
        <v>5</v>
      </c>
    </row>
    <row r="87" spans="1:13">
      <c r="A87" s="8">
        <v>43346</v>
      </c>
      <c r="B87" s="9">
        <v>0.53055555555555556</v>
      </c>
      <c r="C87" s="10" t="str">
        <f>"FES1162644796"</f>
        <v>FES1162644796</v>
      </c>
      <c r="D87" s="10" t="s">
        <v>19</v>
      </c>
      <c r="E87" s="10" t="s">
        <v>134</v>
      </c>
      <c r="F87" s="10" t="str">
        <f>"2170647959 "</f>
        <v xml:space="preserve">2170647959 </v>
      </c>
      <c r="G87" s="10" t="str">
        <f t="shared" si="2"/>
        <v>ON1</v>
      </c>
      <c r="H87" s="10" t="s">
        <v>21</v>
      </c>
      <c r="I87" s="10" t="s">
        <v>135</v>
      </c>
      <c r="J87" s="10" t="str">
        <f>""</f>
        <v/>
      </c>
      <c r="K87" s="10" t="str">
        <f>"PFES1162644796_0001"</f>
        <v>PFES1162644796_0001</v>
      </c>
      <c r="L87" s="10">
        <v>1</v>
      </c>
      <c r="M87" s="10">
        <v>1</v>
      </c>
    </row>
    <row r="88" spans="1:13">
      <c r="A88" s="8">
        <v>43346</v>
      </c>
      <c r="B88" s="9">
        <v>0.53055555555555556</v>
      </c>
      <c r="C88" s="10" t="str">
        <f>"FES1162644780"</f>
        <v>FES1162644780</v>
      </c>
      <c r="D88" s="10" t="s">
        <v>19</v>
      </c>
      <c r="E88" s="10" t="s">
        <v>132</v>
      </c>
      <c r="F88" s="10" t="str">
        <f>"2170649428 "</f>
        <v xml:space="preserve">2170649428 </v>
      </c>
      <c r="G88" s="10" t="str">
        <f t="shared" si="2"/>
        <v>ON1</v>
      </c>
      <c r="H88" s="10" t="s">
        <v>21</v>
      </c>
      <c r="I88" s="10" t="s">
        <v>133</v>
      </c>
      <c r="J88" s="10" t="str">
        <f>""</f>
        <v/>
      </c>
      <c r="K88" s="10" t="str">
        <f>"PFES1162644780_0001"</f>
        <v>PFES1162644780_0001</v>
      </c>
      <c r="L88" s="10">
        <v>1</v>
      </c>
      <c r="M88" s="10">
        <v>1</v>
      </c>
    </row>
    <row r="89" spans="1:13">
      <c r="A89" s="8">
        <v>43346</v>
      </c>
      <c r="B89" s="9">
        <v>0.52986111111111112</v>
      </c>
      <c r="C89" s="10" t="str">
        <f>"FES1162644792"</f>
        <v>FES1162644792</v>
      </c>
      <c r="D89" s="10" t="s">
        <v>19</v>
      </c>
      <c r="E89" s="10" t="s">
        <v>136</v>
      </c>
      <c r="F89" s="10" t="str">
        <f>"2170633522 "</f>
        <v xml:space="preserve">2170633522 </v>
      </c>
      <c r="G89" s="10" t="str">
        <f t="shared" si="2"/>
        <v>ON1</v>
      </c>
      <c r="H89" s="10" t="s">
        <v>21</v>
      </c>
      <c r="I89" s="10" t="s">
        <v>24</v>
      </c>
      <c r="J89" s="10" t="str">
        <f>""</f>
        <v/>
      </c>
      <c r="K89" s="10" t="str">
        <f>"PFES1162644792_0001"</f>
        <v>PFES1162644792_0001</v>
      </c>
      <c r="L89" s="10">
        <v>1</v>
      </c>
      <c r="M89" s="10">
        <v>1</v>
      </c>
    </row>
    <row r="90" spans="1:13">
      <c r="A90" s="8">
        <v>43346</v>
      </c>
      <c r="B90" s="9">
        <v>0.52986111111111112</v>
      </c>
      <c r="C90" s="10" t="str">
        <f>"FES1162644783"</f>
        <v>FES1162644783</v>
      </c>
      <c r="D90" s="10" t="s">
        <v>19</v>
      </c>
      <c r="E90" s="10" t="s">
        <v>132</v>
      </c>
      <c r="F90" s="10" t="str">
        <f>"2170647410 "</f>
        <v xml:space="preserve">2170647410 </v>
      </c>
      <c r="G90" s="10" t="str">
        <f t="shared" si="2"/>
        <v>ON1</v>
      </c>
      <c r="H90" s="10" t="s">
        <v>21</v>
      </c>
      <c r="I90" s="10" t="s">
        <v>133</v>
      </c>
      <c r="J90" s="10" t="str">
        <f>""</f>
        <v/>
      </c>
      <c r="K90" s="10" t="str">
        <f>"PFES1162644783_0001"</f>
        <v>PFES1162644783_0001</v>
      </c>
      <c r="L90" s="10">
        <v>1</v>
      </c>
      <c r="M90" s="10">
        <v>1</v>
      </c>
    </row>
    <row r="91" spans="1:13">
      <c r="A91" s="8">
        <v>43346</v>
      </c>
      <c r="B91" s="9">
        <v>0.52916666666666667</v>
      </c>
      <c r="C91" s="10" t="str">
        <f>"FES1162644807"</f>
        <v>FES1162644807</v>
      </c>
      <c r="D91" s="10" t="s">
        <v>19</v>
      </c>
      <c r="E91" s="10" t="s">
        <v>88</v>
      </c>
      <c r="F91" s="10" t="str">
        <f>"2170649698 "</f>
        <v xml:space="preserve">2170649698 </v>
      </c>
      <c r="G91" s="10" t="str">
        <f t="shared" si="2"/>
        <v>ON1</v>
      </c>
      <c r="H91" s="10" t="s">
        <v>21</v>
      </c>
      <c r="I91" s="10" t="s">
        <v>89</v>
      </c>
      <c r="J91" s="10" t="str">
        <f>""</f>
        <v/>
      </c>
      <c r="K91" s="10" t="str">
        <f>"PFES1162644807_0001"</f>
        <v>PFES1162644807_0001</v>
      </c>
      <c r="L91" s="10">
        <v>1</v>
      </c>
      <c r="M91" s="10">
        <v>1</v>
      </c>
    </row>
    <row r="92" spans="1:13">
      <c r="A92" s="8">
        <v>43346</v>
      </c>
      <c r="B92" s="9">
        <v>0.51944444444444449</v>
      </c>
      <c r="C92" s="10" t="str">
        <f>"FES1162644875"</f>
        <v>FES1162644875</v>
      </c>
      <c r="D92" s="10" t="s">
        <v>19</v>
      </c>
      <c r="E92" s="10" t="s">
        <v>137</v>
      </c>
      <c r="F92" s="10" t="str">
        <f>"2170649785 "</f>
        <v xml:space="preserve">2170649785 </v>
      </c>
      <c r="G92" s="10" t="str">
        <f t="shared" si="2"/>
        <v>ON1</v>
      </c>
      <c r="H92" s="10" t="s">
        <v>21</v>
      </c>
      <c r="I92" s="10" t="s">
        <v>138</v>
      </c>
      <c r="J92" s="10" t="str">
        <f>""</f>
        <v/>
      </c>
      <c r="K92" s="10" t="str">
        <f>"PFES1162644875_0001"</f>
        <v>PFES1162644875_0001</v>
      </c>
      <c r="L92" s="10">
        <v>1</v>
      </c>
      <c r="M92" s="10">
        <v>2</v>
      </c>
    </row>
    <row r="93" spans="1:13">
      <c r="A93" s="8">
        <v>43346</v>
      </c>
      <c r="B93" s="9">
        <v>0.5180555555555556</v>
      </c>
      <c r="C93" s="10" t="str">
        <f>"FES1162644982"</f>
        <v>FES1162644982</v>
      </c>
      <c r="D93" s="10" t="s">
        <v>19</v>
      </c>
      <c r="E93" s="10" t="s">
        <v>139</v>
      </c>
      <c r="F93" s="10" t="str">
        <f>"2170647985 "</f>
        <v xml:space="preserve">2170647985 </v>
      </c>
      <c r="G93" s="10" t="str">
        <f t="shared" si="2"/>
        <v>ON1</v>
      </c>
      <c r="H93" s="10" t="s">
        <v>21</v>
      </c>
      <c r="I93" s="10" t="s">
        <v>140</v>
      </c>
      <c r="J93" s="10" t="str">
        <f>""</f>
        <v/>
      </c>
      <c r="K93" s="10" t="str">
        <f>"PFES1162644982_0001"</f>
        <v>PFES1162644982_0001</v>
      </c>
      <c r="L93" s="10">
        <v>1</v>
      </c>
      <c r="M93" s="10">
        <v>1</v>
      </c>
    </row>
    <row r="94" spans="1:13">
      <c r="A94" s="8">
        <v>43346</v>
      </c>
      <c r="B94" s="9">
        <v>0.51250000000000007</v>
      </c>
      <c r="C94" s="10" t="str">
        <f>"FES1162644828"</f>
        <v>FES1162644828</v>
      </c>
      <c r="D94" s="10" t="s">
        <v>19</v>
      </c>
      <c r="E94" s="10" t="s">
        <v>141</v>
      </c>
      <c r="F94" s="10" t="str">
        <f>"2170649723 "</f>
        <v xml:space="preserve">2170649723 </v>
      </c>
      <c r="G94" s="10" t="str">
        <f t="shared" si="2"/>
        <v>ON1</v>
      </c>
      <c r="H94" s="10" t="s">
        <v>21</v>
      </c>
      <c r="I94" s="10" t="s">
        <v>91</v>
      </c>
      <c r="J94" s="10" t="str">
        <f>""</f>
        <v/>
      </c>
      <c r="K94" s="10" t="str">
        <f>"PFES1162644828_0001"</f>
        <v>PFES1162644828_0001</v>
      </c>
      <c r="L94" s="10">
        <v>1</v>
      </c>
      <c r="M94" s="10">
        <v>7</v>
      </c>
    </row>
    <row r="95" spans="1:13">
      <c r="A95" s="8">
        <v>43346</v>
      </c>
      <c r="B95" s="9">
        <v>0.51041666666666663</v>
      </c>
      <c r="C95" s="10" t="str">
        <f>"FES1162644823"</f>
        <v>FES1162644823</v>
      </c>
      <c r="D95" s="10" t="s">
        <v>19</v>
      </c>
      <c r="E95" s="10" t="s">
        <v>142</v>
      </c>
      <c r="F95" s="10" t="str">
        <f>"2170648334 "</f>
        <v xml:space="preserve">2170648334 </v>
      </c>
      <c r="G95" s="10" t="str">
        <f t="shared" si="2"/>
        <v>ON1</v>
      </c>
      <c r="H95" s="10" t="s">
        <v>21</v>
      </c>
      <c r="I95" s="10" t="s">
        <v>143</v>
      </c>
      <c r="J95" s="10" t="str">
        <f>""</f>
        <v/>
      </c>
      <c r="K95" s="10" t="str">
        <f>"PFES1162644823_0001"</f>
        <v>PFES1162644823_0001</v>
      </c>
      <c r="L95" s="10">
        <v>2</v>
      </c>
      <c r="M95" s="10">
        <v>8</v>
      </c>
    </row>
    <row r="96" spans="1:13">
      <c r="A96" s="8">
        <v>43346</v>
      </c>
      <c r="B96" s="9">
        <v>0.5083333333333333</v>
      </c>
      <c r="C96" s="10" t="str">
        <f>"FES1162644798"</f>
        <v>FES1162644798</v>
      </c>
      <c r="D96" s="10" t="s">
        <v>19</v>
      </c>
      <c r="E96" s="10" t="s">
        <v>144</v>
      </c>
      <c r="F96" s="10" t="str">
        <f>"2170648190 "</f>
        <v xml:space="preserve">2170648190 </v>
      </c>
      <c r="G96" s="10" t="str">
        <f t="shared" si="2"/>
        <v>ON1</v>
      </c>
      <c r="H96" s="10" t="s">
        <v>21</v>
      </c>
      <c r="I96" s="10" t="s">
        <v>145</v>
      </c>
      <c r="J96" s="10" t="str">
        <f>""</f>
        <v/>
      </c>
      <c r="K96" s="10" t="str">
        <f>"PFES1162644798_0001"</f>
        <v>PFES1162644798_0001</v>
      </c>
      <c r="L96" s="10">
        <v>1</v>
      </c>
      <c r="M96" s="10">
        <v>1</v>
      </c>
    </row>
    <row r="97" spans="1:13">
      <c r="A97" s="8">
        <v>43346</v>
      </c>
      <c r="B97" s="9">
        <v>0.50694444444444442</v>
      </c>
      <c r="C97" s="10" t="str">
        <f>"FES1162644844"</f>
        <v>FES1162644844</v>
      </c>
      <c r="D97" s="10" t="s">
        <v>19</v>
      </c>
      <c r="E97" s="10" t="s">
        <v>146</v>
      </c>
      <c r="F97" s="10" t="str">
        <f>"2170649741 "</f>
        <v xml:space="preserve">2170649741 </v>
      </c>
      <c r="G97" s="10" t="str">
        <f t="shared" si="2"/>
        <v>ON1</v>
      </c>
      <c r="H97" s="10" t="s">
        <v>21</v>
      </c>
      <c r="I97" s="10" t="s">
        <v>147</v>
      </c>
      <c r="J97" s="10" t="str">
        <f>""</f>
        <v/>
      </c>
      <c r="K97" s="10" t="str">
        <f>"PFES1162644844_0001"</f>
        <v>PFES1162644844_0001</v>
      </c>
      <c r="L97" s="10">
        <v>1</v>
      </c>
      <c r="M97" s="10">
        <v>11</v>
      </c>
    </row>
    <row r="98" spans="1:13">
      <c r="A98" s="8">
        <v>43346</v>
      </c>
      <c r="B98" s="9">
        <v>0.50347222222222221</v>
      </c>
      <c r="C98" s="10" t="str">
        <f>"FES1162644864"</f>
        <v>FES1162644864</v>
      </c>
      <c r="D98" s="10" t="s">
        <v>19</v>
      </c>
      <c r="E98" s="10" t="s">
        <v>148</v>
      </c>
      <c r="F98" s="10" t="str">
        <f>"2170649764 "</f>
        <v xml:space="preserve">2170649764 </v>
      </c>
      <c r="G98" s="10" t="str">
        <f t="shared" si="2"/>
        <v>ON1</v>
      </c>
      <c r="H98" s="10" t="s">
        <v>21</v>
      </c>
      <c r="I98" s="10" t="s">
        <v>133</v>
      </c>
      <c r="J98" s="10" t="str">
        <f>""</f>
        <v/>
      </c>
      <c r="K98" s="10" t="str">
        <f>"PFES1162644864_0001"</f>
        <v>PFES1162644864_0001</v>
      </c>
      <c r="L98" s="10">
        <v>1</v>
      </c>
      <c r="M98" s="10">
        <v>7</v>
      </c>
    </row>
    <row r="99" spans="1:13">
      <c r="A99" s="8">
        <v>43346</v>
      </c>
      <c r="B99" s="9">
        <v>0.50069444444444444</v>
      </c>
      <c r="C99" s="10" t="str">
        <f>"FES1162644793"</f>
        <v>FES1162644793</v>
      </c>
      <c r="D99" s="10" t="s">
        <v>19</v>
      </c>
      <c r="E99" s="10" t="s">
        <v>149</v>
      </c>
      <c r="F99" s="10" t="str">
        <f>"2170649513 "</f>
        <v xml:space="preserve">2170649513 </v>
      </c>
      <c r="G99" s="10" t="str">
        <f t="shared" si="2"/>
        <v>ON1</v>
      </c>
      <c r="H99" s="10" t="s">
        <v>21</v>
      </c>
      <c r="I99" s="10" t="s">
        <v>150</v>
      </c>
      <c r="J99" s="10" t="str">
        <f>""</f>
        <v/>
      </c>
      <c r="K99" s="10" t="str">
        <f>"PFES1162644793_0001"</f>
        <v>PFES1162644793_0001</v>
      </c>
      <c r="L99" s="10">
        <v>1</v>
      </c>
      <c r="M99" s="10">
        <v>6</v>
      </c>
    </row>
    <row r="100" spans="1:13">
      <c r="A100" s="8">
        <v>43346</v>
      </c>
      <c r="B100" s="9">
        <v>0.49861111111111112</v>
      </c>
      <c r="C100" s="10" t="str">
        <f>"FES1162644836"</f>
        <v>FES1162644836</v>
      </c>
      <c r="D100" s="10" t="s">
        <v>19</v>
      </c>
      <c r="E100" s="10" t="s">
        <v>151</v>
      </c>
      <c r="F100" s="10" t="str">
        <f>"2170649731 "</f>
        <v xml:space="preserve">2170649731 </v>
      </c>
      <c r="G100" s="10" t="str">
        <f t="shared" si="2"/>
        <v>ON1</v>
      </c>
      <c r="H100" s="10" t="s">
        <v>21</v>
      </c>
      <c r="I100" s="10" t="s">
        <v>152</v>
      </c>
      <c r="J100" s="10" t="str">
        <f>""</f>
        <v/>
      </c>
      <c r="K100" s="10" t="str">
        <f>"PFES1162644836_0001"</f>
        <v>PFES1162644836_0001</v>
      </c>
      <c r="L100" s="10">
        <v>1</v>
      </c>
      <c r="M100" s="10">
        <v>5</v>
      </c>
    </row>
    <row r="101" spans="1:13">
      <c r="A101" s="8">
        <v>43346</v>
      </c>
      <c r="B101" s="9">
        <v>0.49722222222222223</v>
      </c>
      <c r="C101" s="10" t="str">
        <f>"FES1162644879"</f>
        <v>FES1162644879</v>
      </c>
      <c r="D101" s="10" t="s">
        <v>19</v>
      </c>
      <c r="E101" s="10" t="s">
        <v>153</v>
      </c>
      <c r="F101" s="10" t="str">
        <f>"2170649794 "</f>
        <v xml:space="preserve">2170649794 </v>
      </c>
      <c r="G101" s="10" t="str">
        <f t="shared" si="2"/>
        <v>ON1</v>
      </c>
      <c r="H101" s="10" t="s">
        <v>21</v>
      </c>
      <c r="I101" s="10" t="s">
        <v>154</v>
      </c>
      <c r="J101" s="10" t="str">
        <f>""</f>
        <v/>
      </c>
      <c r="K101" s="10" t="str">
        <f>"PFES1162644879_0001"</f>
        <v>PFES1162644879_0001</v>
      </c>
      <c r="L101" s="10">
        <v>2</v>
      </c>
      <c r="M101" s="10">
        <v>10</v>
      </c>
    </row>
    <row r="102" spans="1:13">
      <c r="A102" s="8">
        <v>43346</v>
      </c>
      <c r="B102" s="9">
        <v>0.49583333333333335</v>
      </c>
      <c r="C102" s="10" t="str">
        <f>"FES1162644821"</f>
        <v>FES1162644821</v>
      </c>
      <c r="D102" s="10" t="s">
        <v>19</v>
      </c>
      <c r="E102" s="10" t="s">
        <v>56</v>
      </c>
      <c r="F102" s="10" t="str">
        <f>"2170649716 "</f>
        <v xml:space="preserve">2170649716 </v>
      </c>
      <c r="G102" s="10" t="str">
        <f t="shared" si="2"/>
        <v>ON1</v>
      </c>
      <c r="H102" s="10" t="s">
        <v>21</v>
      </c>
      <c r="I102" s="10" t="s">
        <v>57</v>
      </c>
      <c r="J102" s="10" t="str">
        <f>""</f>
        <v/>
      </c>
      <c r="K102" s="10" t="str">
        <f>"PFES1162644821_0001"</f>
        <v>PFES1162644821_0001</v>
      </c>
      <c r="L102" s="10">
        <v>1</v>
      </c>
      <c r="M102" s="10">
        <v>3</v>
      </c>
    </row>
    <row r="103" spans="1:13">
      <c r="A103" s="8">
        <v>43346</v>
      </c>
      <c r="B103" s="9">
        <v>0.49444444444444446</v>
      </c>
      <c r="C103" s="10" t="str">
        <f>"FES1162644818"</f>
        <v>FES1162644818</v>
      </c>
      <c r="D103" s="10" t="s">
        <v>19</v>
      </c>
      <c r="E103" s="10" t="s">
        <v>56</v>
      </c>
      <c r="F103" s="10" t="str">
        <f>"2170649712 "</f>
        <v xml:space="preserve">2170649712 </v>
      </c>
      <c r="G103" s="10" t="str">
        <f t="shared" si="2"/>
        <v>ON1</v>
      </c>
      <c r="H103" s="10" t="s">
        <v>21</v>
      </c>
      <c r="I103" s="10" t="s">
        <v>57</v>
      </c>
      <c r="J103" s="10" t="str">
        <f>""</f>
        <v/>
      </c>
      <c r="K103" s="10" t="str">
        <f>"PFES1162644818_0001"</f>
        <v>PFES1162644818_0001</v>
      </c>
      <c r="L103" s="10">
        <v>1</v>
      </c>
      <c r="M103" s="10">
        <v>5</v>
      </c>
    </row>
    <row r="104" spans="1:13">
      <c r="A104" s="8">
        <v>43346</v>
      </c>
      <c r="B104" s="9">
        <v>0.49305555555555558</v>
      </c>
      <c r="C104" s="10" t="str">
        <f>"FES1162644856"</f>
        <v>FES1162644856</v>
      </c>
      <c r="D104" s="10" t="s">
        <v>19</v>
      </c>
      <c r="E104" s="10" t="s">
        <v>155</v>
      </c>
      <c r="F104" s="10" t="str">
        <f>"2170649756 "</f>
        <v xml:space="preserve">2170649756 </v>
      </c>
      <c r="G104" s="10" t="str">
        <f t="shared" si="2"/>
        <v>ON1</v>
      </c>
      <c r="H104" s="10" t="s">
        <v>21</v>
      </c>
      <c r="I104" s="10" t="s">
        <v>30</v>
      </c>
      <c r="J104" s="10" t="str">
        <f>""</f>
        <v/>
      </c>
      <c r="K104" s="10" t="str">
        <f>"PFES1162644856_0001"</f>
        <v>PFES1162644856_0001</v>
      </c>
      <c r="L104" s="10">
        <v>1</v>
      </c>
      <c r="M104" s="10">
        <v>1</v>
      </c>
    </row>
    <row r="105" spans="1:13">
      <c r="A105" s="8">
        <v>43346</v>
      </c>
      <c r="B105" s="9">
        <v>0.49236111111111108</v>
      </c>
      <c r="C105" s="10" t="str">
        <f>"FES1162644841"</f>
        <v>FES1162644841</v>
      </c>
      <c r="D105" s="10" t="s">
        <v>19</v>
      </c>
      <c r="E105" s="10" t="s">
        <v>99</v>
      </c>
      <c r="F105" s="10" t="str">
        <f>"2170649738 "</f>
        <v xml:space="preserve">2170649738 </v>
      </c>
      <c r="G105" s="10" t="str">
        <f t="shared" si="2"/>
        <v>ON1</v>
      </c>
      <c r="H105" s="10" t="s">
        <v>21</v>
      </c>
      <c r="I105" s="10" t="s">
        <v>100</v>
      </c>
      <c r="J105" s="10" t="str">
        <f>""</f>
        <v/>
      </c>
      <c r="K105" s="10" t="str">
        <f>"PFES1162644841_0001"</f>
        <v>PFES1162644841_0001</v>
      </c>
      <c r="L105" s="10">
        <v>1</v>
      </c>
      <c r="M105" s="10">
        <v>1</v>
      </c>
    </row>
    <row r="106" spans="1:13">
      <c r="A106" s="8">
        <v>43346</v>
      </c>
      <c r="B106" s="9">
        <v>0.49236111111111108</v>
      </c>
      <c r="C106" s="10" t="str">
        <f>"FES1162644800"</f>
        <v>FES1162644800</v>
      </c>
      <c r="D106" s="10" t="s">
        <v>19</v>
      </c>
      <c r="E106" s="10" t="s">
        <v>156</v>
      </c>
      <c r="F106" s="10" t="str">
        <f>"2170648329 "</f>
        <v xml:space="preserve">2170648329 </v>
      </c>
      <c r="G106" s="10" t="str">
        <f t="shared" si="2"/>
        <v>ON1</v>
      </c>
      <c r="H106" s="10" t="s">
        <v>21</v>
      </c>
      <c r="I106" s="10" t="s">
        <v>157</v>
      </c>
      <c r="J106" s="10" t="str">
        <f>""</f>
        <v/>
      </c>
      <c r="K106" s="10" t="str">
        <f>"PFES1162644800_0001"</f>
        <v>PFES1162644800_0001</v>
      </c>
      <c r="L106" s="10">
        <v>1</v>
      </c>
      <c r="M106" s="10">
        <v>1</v>
      </c>
    </row>
    <row r="107" spans="1:13">
      <c r="A107" s="8">
        <v>43346</v>
      </c>
      <c r="B107" s="9">
        <v>0.4916666666666667</v>
      </c>
      <c r="C107" s="10" t="str">
        <f>"FES1162644843"</f>
        <v>FES1162644843</v>
      </c>
      <c r="D107" s="10" t="s">
        <v>19</v>
      </c>
      <c r="E107" s="10" t="s">
        <v>99</v>
      </c>
      <c r="F107" s="10" t="str">
        <f>"2170649740 "</f>
        <v xml:space="preserve">2170649740 </v>
      </c>
      <c r="G107" s="10" t="str">
        <f t="shared" si="2"/>
        <v>ON1</v>
      </c>
      <c r="H107" s="10" t="s">
        <v>21</v>
      </c>
      <c r="I107" s="10" t="s">
        <v>100</v>
      </c>
      <c r="J107" s="10" t="str">
        <f>""</f>
        <v/>
      </c>
      <c r="K107" s="10" t="str">
        <f>"PFES1162644843_0001"</f>
        <v>PFES1162644843_0001</v>
      </c>
      <c r="L107" s="10">
        <v>1</v>
      </c>
      <c r="M107" s="10">
        <v>1</v>
      </c>
    </row>
    <row r="108" spans="1:13">
      <c r="A108" s="8">
        <v>43346</v>
      </c>
      <c r="B108" s="9">
        <v>0.4916666666666667</v>
      </c>
      <c r="C108" s="10" t="str">
        <f>"FES1162644799"</f>
        <v>FES1162644799</v>
      </c>
      <c r="D108" s="10" t="s">
        <v>19</v>
      </c>
      <c r="E108" s="10" t="s">
        <v>158</v>
      </c>
      <c r="F108" s="10" t="str">
        <f>"2170648321 "</f>
        <v xml:space="preserve">2170648321 </v>
      </c>
      <c r="G108" s="10" t="str">
        <f t="shared" si="2"/>
        <v>ON1</v>
      </c>
      <c r="H108" s="10" t="s">
        <v>21</v>
      </c>
      <c r="I108" s="10" t="s">
        <v>159</v>
      </c>
      <c r="J108" s="10" t="str">
        <f>""</f>
        <v/>
      </c>
      <c r="K108" s="10" t="str">
        <f>"PFES1162644799_0001"</f>
        <v>PFES1162644799_0001</v>
      </c>
      <c r="L108" s="10">
        <v>1</v>
      </c>
      <c r="M108" s="10">
        <v>1</v>
      </c>
    </row>
    <row r="109" spans="1:13">
      <c r="A109" s="8">
        <v>43346</v>
      </c>
      <c r="B109" s="9">
        <v>0.4909722222222222</v>
      </c>
      <c r="C109" s="10" t="str">
        <f>"FES1162644822"</f>
        <v>FES1162644822</v>
      </c>
      <c r="D109" s="10" t="s">
        <v>19</v>
      </c>
      <c r="E109" s="10" t="s">
        <v>142</v>
      </c>
      <c r="F109" s="10" t="str">
        <f>"2170648101 "</f>
        <v xml:space="preserve">2170648101 </v>
      </c>
      <c r="G109" s="10" t="str">
        <f t="shared" si="2"/>
        <v>ON1</v>
      </c>
      <c r="H109" s="10" t="s">
        <v>21</v>
      </c>
      <c r="I109" s="10" t="s">
        <v>143</v>
      </c>
      <c r="J109" s="10" t="str">
        <f>""</f>
        <v/>
      </c>
      <c r="K109" s="10" t="str">
        <f>"PFES1162644822_0001"</f>
        <v>PFES1162644822_0001</v>
      </c>
      <c r="L109" s="10">
        <v>1</v>
      </c>
      <c r="M109" s="10">
        <v>1</v>
      </c>
    </row>
    <row r="110" spans="1:13">
      <c r="A110" s="8">
        <v>43346</v>
      </c>
      <c r="B110" s="9">
        <v>0.4909722222222222</v>
      </c>
      <c r="C110" s="10" t="str">
        <f>"FES1162644814"</f>
        <v>FES1162644814</v>
      </c>
      <c r="D110" s="10" t="s">
        <v>19</v>
      </c>
      <c r="E110" s="10" t="s">
        <v>98</v>
      </c>
      <c r="F110" s="10" t="str">
        <f>"2170649708 "</f>
        <v xml:space="preserve">2170649708 </v>
      </c>
      <c r="G110" s="10" t="str">
        <f t="shared" si="2"/>
        <v>ON1</v>
      </c>
      <c r="H110" s="10" t="s">
        <v>21</v>
      </c>
      <c r="I110" s="10" t="s">
        <v>74</v>
      </c>
      <c r="J110" s="10" t="str">
        <f>""</f>
        <v/>
      </c>
      <c r="K110" s="10" t="str">
        <f>"PFES1162644814_0001"</f>
        <v>PFES1162644814_0001</v>
      </c>
      <c r="L110" s="10">
        <v>1</v>
      </c>
      <c r="M110" s="10">
        <v>1</v>
      </c>
    </row>
    <row r="111" spans="1:13">
      <c r="A111" s="8">
        <v>43346</v>
      </c>
      <c r="B111" s="9">
        <v>0.49027777777777781</v>
      </c>
      <c r="C111" s="10" t="str">
        <f>"FES1162644842"</f>
        <v>FES1162644842</v>
      </c>
      <c r="D111" s="10" t="s">
        <v>19</v>
      </c>
      <c r="E111" s="10" t="s">
        <v>92</v>
      </c>
      <c r="F111" s="10" t="str">
        <f>"2170649739 "</f>
        <v xml:space="preserve">2170649739 </v>
      </c>
      <c r="G111" s="10" t="str">
        <f t="shared" si="2"/>
        <v>ON1</v>
      </c>
      <c r="H111" s="10" t="s">
        <v>21</v>
      </c>
      <c r="I111" s="10" t="s">
        <v>93</v>
      </c>
      <c r="J111" s="10" t="str">
        <f>""</f>
        <v/>
      </c>
      <c r="K111" s="10" t="str">
        <f>"PFES1162644842_0001"</f>
        <v>PFES1162644842_0001</v>
      </c>
      <c r="L111" s="10">
        <v>1</v>
      </c>
      <c r="M111" s="10">
        <v>1</v>
      </c>
    </row>
    <row r="112" spans="1:13">
      <c r="A112" s="8">
        <v>43346</v>
      </c>
      <c r="B112" s="9">
        <v>0.48958333333333331</v>
      </c>
      <c r="C112" s="10" t="str">
        <f>"FES1162644808"</f>
        <v>FES1162644808</v>
      </c>
      <c r="D112" s="10" t="s">
        <v>19</v>
      </c>
      <c r="E112" s="10" t="s">
        <v>160</v>
      </c>
      <c r="F112" s="10" t="str">
        <f>"2170649699 "</f>
        <v xml:space="preserve">2170649699 </v>
      </c>
      <c r="G112" s="10" t="str">
        <f t="shared" si="2"/>
        <v>ON1</v>
      </c>
      <c r="H112" s="10" t="s">
        <v>21</v>
      </c>
      <c r="I112" s="10" t="s">
        <v>161</v>
      </c>
      <c r="J112" s="10" t="str">
        <f>""</f>
        <v/>
      </c>
      <c r="K112" s="10" t="str">
        <f>"PFES1162644808_0001"</f>
        <v>PFES1162644808_0001</v>
      </c>
      <c r="L112" s="10">
        <v>1</v>
      </c>
      <c r="M112" s="10">
        <v>1</v>
      </c>
    </row>
    <row r="113" spans="1:13">
      <c r="A113" s="8">
        <v>43346</v>
      </c>
      <c r="B113" s="9">
        <v>0.48958333333333331</v>
      </c>
      <c r="C113" s="10" t="str">
        <f>"FES1162644817"</f>
        <v>FES1162644817</v>
      </c>
      <c r="D113" s="10" t="s">
        <v>19</v>
      </c>
      <c r="E113" s="10" t="s">
        <v>158</v>
      </c>
      <c r="F113" s="10" t="str">
        <f>"2170649711 "</f>
        <v xml:space="preserve">2170649711 </v>
      </c>
      <c r="G113" s="10" t="str">
        <f t="shared" si="2"/>
        <v>ON1</v>
      </c>
      <c r="H113" s="10" t="s">
        <v>21</v>
      </c>
      <c r="I113" s="10" t="s">
        <v>159</v>
      </c>
      <c r="J113" s="10" t="str">
        <f>""</f>
        <v/>
      </c>
      <c r="K113" s="10" t="str">
        <f>"PFES1162644817_0001"</f>
        <v>PFES1162644817_0001</v>
      </c>
      <c r="L113" s="10">
        <v>1</v>
      </c>
      <c r="M113" s="10">
        <v>1</v>
      </c>
    </row>
    <row r="114" spans="1:13">
      <c r="A114" s="8">
        <v>43346</v>
      </c>
      <c r="B114" s="9">
        <v>0.47152777777777777</v>
      </c>
      <c r="C114" s="10" t="str">
        <f>"FES1162644802"</f>
        <v>FES1162644802</v>
      </c>
      <c r="D114" s="10" t="s">
        <v>19</v>
      </c>
      <c r="E114" s="10" t="s">
        <v>162</v>
      </c>
      <c r="F114" s="10" t="str">
        <f>"2170648387 "</f>
        <v xml:space="preserve">2170648387 </v>
      </c>
      <c r="G114" s="10" t="str">
        <f t="shared" ref="G114:G131" si="3">"ON1"</f>
        <v>ON1</v>
      </c>
      <c r="H114" s="10" t="s">
        <v>21</v>
      </c>
      <c r="I114" s="10" t="s">
        <v>30</v>
      </c>
      <c r="J114" s="10" t="str">
        <f>""</f>
        <v/>
      </c>
      <c r="K114" s="10" t="str">
        <f>"PFES1162644802_0001"</f>
        <v>PFES1162644802_0001</v>
      </c>
      <c r="L114" s="10">
        <v>1</v>
      </c>
      <c r="M114" s="10">
        <v>1</v>
      </c>
    </row>
    <row r="115" spans="1:13">
      <c r="A115" s="8">
        <v>43346</v>
      </c>
      <c r="B115" s="9">
        <v>0.47152777777777777</v>
      </c>
      <c r="C115" s="10" t="str">
        <f>"FES1162644839"</f>
        <v>FES1162644839</v>
      </c>
      <c r="D115" s="10" t="s">
        <v>19</v>
      </c>
      <c r="E115" s="10" t="s">
        <v>163</v>
      </c>
      <c r="F115" s="10" t="str">
        <f>"2170649734 "</f>
        <v xml:space="preserve">2170649734 </v>
      </c>
      <c r="G115" s="10" t="str">
        <f t="shared" si="3"/>
        <v>ON1</v>
      </c>
      <c r="H115" s="10" t="s">
        <v>21</v>
      </c>
      <c r="I115" s="10" t="s">
        <v>164</v>
      </c>
      <c r="J115" s="10" t="str">
        <f>""</f>
        <v/>
      </c>
      <c r="K115" s="10" t="str">
        <f>"PFES1162644839_0001"</f>
        <v>PFES1162644839_0001</v>
      </c>
      <c r="L115" s="10">
        <v>1</v>
      </c>
      <c r="M115" s="10">
        <v>1</v>
      </c>
    </row>
    <row r="116" spans="1:13">
      <c r="A116" s="8">
        <v>43346</v>
      </c>
      <c r="B116" s="9">
        <v>0.47013888888888888</v>
      </c>
      <c r="C116" s="10" t="str">
        <f>"FES1162644812"</f>
        <v>FES1162644812</v>
      </c>
      <c r="D116" s="10" t="s">
        <v>19</v>
      </c>
      <c r="E116" s="10" t="s">
        <v>82</v>
      </c>
      <c r="F116" s="10" t="str">
        <f>"2170649706 "</f>
        <v xml:space="preserve">2170649706 </v>
      </c>
      <c r="G116" s="10" t="str">
        <f t="shared" si="3"/>
        <v>ON1</v>
      </c>
      <c r="H116" s="10" t="s">
        <v>21</v>
      </c>
      <c r="I116" s="10" t="s">
        <v>83</v>
      </c>
      <c r="J116" s="10" t="str">
        <f>""</f>
        <v/>
      </c>
      <c r="K116" s="10" t="str">
        <f>"PFES1162644812_0001"</f>
        <v>PFES1162644812_0001</v>
      </c>
      <c r="L116" s="10">
        <v>1</v>
      </c>
      <c r="M116" s="10">
        <v>1</v>
      </c>
    </row>
    <row r="117" spans="1:13">
      <c r="A117" s="8">
        <v>43346</v>
      </c>
      <c r="B117" s="9">
        <v>0.47013888888888888</v>
      </c>
      <c r="C117" s="10" t="str">
        <f>"FES1162644805"</f>
        <v>FES1162644805</v>
      </c>
      <c r="D117" s="10" t="s">
        <v>19</v>
      </c>
      <c r="E117" s="10" t="s">
        <v>165</v>
      </c>
      <c r="F117" s="10" t="str">
        <f>"2170649692 "</f>
        <v xml:space="preserve">2170649692 </v>
      </c>
      <c r="G117" s="10" t="str">
        <f t="shared" si="3"/>
        <v>ON1</v>
      </c>
      <c r="H117" s="10" t="s">
        <v>21</v>
      </c>
      <c r="I117" s="10" t="s">
        <v>100</v>
      </c>
      <c r="J117" s="10" t="str">
        <f>""</f>
        <v/>
      </c>
      <c r="K117" s="10" t="str">
        <f>"PFES1162644805_0001"</f>
        <v>PFES1162644805_0001</v>
      </c>
      <c r="L117" s="10">
        <v>1</v>
      </c>
      <c r="M117" s="10">
        <v>1</v>
      </c>
    </row>
    <row r="118" spans="1:13">
      <c r="A118" s="8">
        <v>43346</v>
      </c>
      <c r="B118" s="9">
        <v>0.4694444444444445</v>
      </c>
      <c r="C118" s="10" t="str">
        <f>"FES1162644801"</f>
        <v>FES1162644801</v>
      </c>
      <c r="D118" s="10" t="s">
        <v>19</v>
      </c>
      <c r="E118" s="10" t="s">
        <v>166</v>
      </c>
      <c r="F118" s="10" t="str">
        <f>"2170648384 "</f>
        <v xml:space="preserve">2170648384 </v>
      </c>
      <c r="G118" s="10" t="str">
        <f t="shared" si="3"/>
        <v>ON1</v>
      </c>
      <c r="H118" s="10" t="s">
        <v>21</v>
      </c>
      <c r="I118" s="10" t="s">
        <v>167</v>
      </c>
      <c r="J118" s="10" t="str">
        <f>""</f>
        <v/>
      </c>
      <c r="K118" s="10" t="str">
        <f>"PFES1162644801_0001"</f>
        <v>PFES1162644801_0001</v>
      </c>
      <c r="L118" s="10">
        <v>1</v>
      </c>
      <c r="M118" s="10">
        <v>1</v>
      </c>
    </row>
    <row r="119" spans="1:13">
      <c r="A119" s="8">
        <v>43346</v>
      </c>
      <c r="B119" s="9">
        <v>0.4694444444444445</v>
      </c>
      <c r="C119" s="10" t="str">
        <f>"FES1162644806"</f>
        <v>FES1162644806</v>
      </c>
      <c r="D119" s="10" t="s">
        <v>19</v>
      </c>
      <c r="E119" s="10" t="s">
        <v>168</v>
      </c>
      <c r="F119" s="10" t="str">
        <f>"2170649696 "</f>
        <v xml:space="preserve">2170649696 </v>
      </c>
      <c r="G119" s="10" t="str">
        <f t="shared" si="3"/>
        <v>ON1</v>
      </c>
      <c r="H119" s="10" t="s">
        <v>21</v>
      </c>
      <c r="I119" s="10" t="s">
        <v>169</v>
      </c>
      <c r="J119" s="10" t="str">
        <f>""</f>
        <v/>
      </c>
      <c r="K119" s="10" t="str">
        <f>"PFES1162644806_0001"</f>
        <v>PFES1162644806_0001</v>
      </c>
      <c r="L119" s="10">
        <v>1</v>
      </c>
      <c r="M119" s="10">
        <v>1</v>
      </c>
    </row>
    <row r="120" spans="1:13">
      <c r="A120" s="8">
        <v>43346</v>
      </c>
      <c r="B120" s="9">
        <v>0.4680555555555555</v>
      </c>
      <c r="C120" s="10" t="str">
        <f>"FES1162644816"</f>
        <v>FES1162644816</v>
      </c>
      <c r="D120" s="10" t="s">
        <v>19</v>
      </c>
      <c r="E120" s="10" t="s">
        <v>170</v>
      </c>
      <c r="F120" s="10" t="str">
        <f>"217064970 "</f>
        <v xml:space="preserve">217064970 </v>
      </c>
      <c r="G120" s="10" t="str">
        <f t="shared" si="3"/>
        <v>ON1</v>
      </c>
      <c r="H120" s="10" t="s">
        <v>21</v>
      </c>
      <c r="I120" s="10" t="s">
        <v>171</v>
      </c>
      <c r="J120" s="10" t="str">
        <f>""</f>
        <v/>
      </c>
      <c r="K120" s="10" t="str">
        <f>"PFES1162644816_0001"</f>
        <v>PFES1162644816_0001</v>
      </c>
      <c r="L120" s="10">
        <v>1</v>
      </c>
      <c r="M120" s="10">
        <v>1</v>
      </c>
    </row>
    <row r="121" spans="1:13">
      <c r="A121" s="8">
        <v>43346</v>
      </c>
      <c r="B121" s="9">
        <v>0.46736111111111112</v>
      </c>
      <c r="C121" s="10" t="str">
        <f>"FES1162644809"</f>
        <v>FES1162644809</v>
      </c>
      <c r="D121" s="10" t="s">
        <v>19</v>
      </c>
      <c r="E121" s="10" t="s">
        <v>172</v>
      </c>
      <c r="F121" s="10" t="str">
        <f>"2170649700 "</f>
        <v xml:space="preserve">2170649700 </v>
      </c>
      <c r="G121" s="10" t="str">
        <f t="shared" si="3"/>
        <v>ON1</v>
      </c>
      <c r="H121" s="10" t="s">
        <v>21</v>
      </c>
      <c r="I121" s="10" t="s">
        <v>105</v>
      </c>
      <c r="J121" s="10" t="str">
        <f>""</f>
        <v/>
      </c>
      <c r="K121" s="10" t="str">
        <f>"PFES1162644809_0001"</f>
        <v>PFES1162644809_0001</v>
      </c>
      <c r="L121" s="10">
        <v>1</v>
      </c>
      <c r="M121" s="10">
        <v>1</v>
      </c>
    </row>
    <row r="122" spans="1:13">
      <c r="A122" s="8">
        <v>43346</v>
      </c>
      <c r="B122" s="9">
        <v>0.46666666666666662</v>
      </c>
      <c r="C122" s="10" t="str">
        <f>"FES1162644837"</f>
        <v>FES1162644837</v>
      </c>
      <c r="D122" s="10" t="s">
        <v>19</v>
      </c>
      <c r="E122" s="10" t="s">
        <v>173</v>
      </c>
      <c r="F122" s="10" t="str">
        <f>"2170649732 "</f>
        <v xml:space="preserve">2170649732 </v>
      </c>
      <c r="G122" s="10" t="str">
        <f t="shared" si="3"/>
        <v>ON1</v>
      </c>
      <c r="H122" s="10" t="s">
        <v>21</v>
      </c>
      <c r="I122" s="10" t="s">
        <v>53</v>
      </c>
      <c r="J122" s="10" t="str">
        <f>""</f>
        <v/>
      </c>
      <c r="K122" s="10" t="str">
        <f>"PFES1162644837_0001"</f>
        <v>PFES1162644837_0001</v>
      </c>
      <c r="L122" s="10">
        <v>1</v>
      </c>
      <c r="M122" s="10">
        <v>1</v>
      </c>
    </row>
    <row r="123" spans="1:13">
      <c r="A123" s="8">
        <v>43347</v>
      </c>
      <c r="B123" s="9">
        <v>0.69166666666666676</v>
      </c>
      <c r="C123" s="10" t="str">
        <f>"FES1162645276"</f>
        <v>FES1162645276</v>
      </c>
      <c r="D123" s="10" t="s">
        <v>19</v>
      </c>
      <c r="E123" s="10" t="s">
        <v>174</v>
      </c>
      <c r="F123" s="10" t="str">
        <f>"2170643990 "</f>
        <v xml:space="preserve">2170643990 </v>
      </c>
      <c r="G123" s="10" t="str">
        <f t="shared" si="3"/>
        <v>ON1</v>
      </c>
      <c r="H123" s="10" t="s">
        <v>21</v>
      </c>
      <c r="I123" s="10" t="s">
        <v>175</v>
      </c>
      <c r="J123" s="10" t="str">
        <f>""</f>
        <v/>
      </c>
      <c r="K123" s="10" t="str">
        <f>"PFES1162645276_0001"</f>
        <v>PFES1162645276_0001</v>
      </c>
      <c r="L123" s="10">
        <v>1</v>
      </c>
      <c r="M123" s="10">
        <v>5</v>
      </c>
    </row>
    <row r="124" spans="1:13">
      <c r="A124" s="8">
        <v>43347</v>
      </c>
      <c r="B124" s="9">
        <v>0.69097222222222221</v>
      </c>
      <c r="C124" s="10" t="str">
        <f>"FES1162645269"</f>
        <v>FES1162645269</v>
      </c>
      <c r="D124" s="10" t="s">
        <v>19</v>
      </c>
      <c r="E124" s="10" t="s">
        <v>176</v>
      </c>
      <c r="F124" s="10" t="str">
        <f>"2170650150 "</f>
        <v xml:space="preserve">2170650150 </v>
      </c>
      <c r="G124" s="10" t="str">
        <f t="shared" si="3"/>
        <v>ON1</v>
      </c>
      <c r="H124" s="10" t="s">
        <v>21</v>
      </c>
      <c r="I124" s="10" t="s">
        <v>177</v>
      </c>
      <c r="J124" s="10" t="str">
        <f>""</f>
        <v/>
      </c>
      <c r="K124" s="10" t="str">
        <f>"PFES1162645269_0001"</f>
        <v>PFES1162645269_0001</v>
      </c>
      <c r="L124" s="10">
        <v>1</v>
      </c>
      <c r="M124" s="10">
        <v>1</v>
      </c>
    </row>
    <row r="125" spans="1:13">
      <c r="A125" s="8">
        <v>43347</v>
      </c>
      <c r="B125" s="9">
        <v>0.69097222222222221</v>
      </c>
      <c r="C125" s="10" t="str">
        <f>"FES1162645294"</f>
        <v>FES1162645294</v>
      </c>
      <c r="D125" s="10" t="s">
        <v>19</v>
      </c>
      <c r="E125" s="10" t="s">
        <v>178</v>
      </c>
      <c r="F125" s="10" t="str">
        <f>"2170649967 "</f>
        <v xml:space="preserve">2170649967 </v>
      </c>
      <c r="G125" s="10" t="str">
        <f t="shared" si="3"/>
        <v>ON1</v>
      </c>
      <c r="H125" s="10" t="s">
        <v>21</v>
      </c>
      <c r="I125" s="10" t="s">
        <v>179</v>
      </c>
      <c r="J125" s="10" t="str">
        <f>""</f>
        <v/>
      </c>
      <c r="K125" s="10" t="str">
        <f>"PFES1162645294_0001"</f>
        <v>PFES1162645294_0001</v>
      </c>
      <c r="L125" s="10">
        <v>1</v>
      </c>
      <c r="M125" s="10">
        <v>3</v>
      </c>
    </row>
    <row r="126" spans="1:13">
      <c r="A126" s="8">
        <v>43347</v>
      </c>
      <c r="B126" s="9">
        <v>0.69027777777777777</v>
      </c>
      <c r="C126" s="10" t="str">
        <f>"FES1162645232"</f>
        <v>FES1162645232</v>
      </c>
      <c r="D126" s="10" t="s">
        <v>19</v>
      </c>
      <c r="E126" s="10" t="s">
        <v>180</v>
      </c>
      <c r="F126" s="10" t="str">
        <f>"2170650087 "</f>
        <v xml:space="preserve">2170650087 </v>
      </c>
      <c r="G126" s="10" t="str">
        <f t="shared" si="3"/>
        <v>ON1</v>
      </c>
      <c r="H126" s="10" t="s">
        <v>21</v>
      </c>
      <c r="I126" s="10" t="s">
        <v>68</v>
      </c>
      <c r="J126" s="10" t="str">
        <f>""</f>
        <v/>
      </c>
      <c r="K126" s="10" t="str">
        <f>"PFES1162645232_0001"</f>
        <v>PFES1162645232_0001</v>
      </c>
      <c r="L126" s="10">
        <v>1</v>
      </c>
      <c r="M126" s="10">
        <v>3</v>
      </c>
    </row>
    <row r="127" spans="1:13">
      <c r="A127" s="8">
        <v>43347</v>
      </c>
      <c r="B127" s="9">
        <v>0.68888888888888899</v>
      </c>
      <c r="C127" s="10" t="str">
        <f>"FES1162645293"</f>
        <v>FES1162645293</v>
      </c>
      <c r="D127" s="10" t="s">
        <v>19</v>
      </c>
      <c r="E127" s="10" t="s">
        <v>181</v>
      </c>
      <c r="F127" s="10" t="str">
        <f>"2170650020 "</f>
        <v xml:space="preserve">2170650020 </v>
      </c>
      <c r="G127" s="10" t="str">
        <f t="shared" si="3"/>
        <v>ON1</v>
      </c>
      <c r="H127" s="10" t="s">
        <v>21</v>
      </c>
      <c r="I127" s="10" t="s">
        <v>24</v>
      </c>
      <c r="J127" s="10" t="str">
        <f>""</f>
        <v/>
      </c>
      <c r="K127" s="10" t="str">
        <f>"PFES1162645293_0001"</f>
        <v>PFES1162645293_0001</v>
      </c>
      <c r="L127" s="10">
        <v>1</v>
      </c>
      <c r="M127" s="10">
        <v>2</v>
      </c>
    </row>
    <row r="128" spans="1:13">
      <c r="A128" s="8">
        <v>43347</v>
      </c>
      <c r="B128" s="9">
        <v>0.68611111111111101</v>
      </c>
      <c r="C128" s="10" t="str">
        <f>"FES1162645291"</f>
        <v>FES1162645291</v>
      </c>
      <c r="D128" s="10" t="s">
        <v>19</v>
      </c>
      <c r="E128" s="10" t="s">
        <v>182</v>
      </c>
      <c r="F128" s="10" t="str">
        <f>"2170649970 "</f>
        <v xml:space="preserve">2170649970 </v>
      </c>
      <c r="G128" s="10" t="str">
        <f t="shared" si="3"/>
        <v>ON1</v>
      </c>
      <c r="H128" s="10" t="s">
        <v>21</v>
      </c>
      <c r="I128" s="10" t="s">
        <v>68</v>
      </c>
      <c r="J128" s="10" t="str">
        <f>""</f>
        <v/>
      </c>
      <c r="K128" s="10" t="str">
        <f>"PFES1162645291_0001"</f>
        <v>PFES1162645291_0001</v>
      </c>
      <c r="L128" s="10">
        <v>1</v>
      </c>
      <c r="M128" s="10">
        <v>1</v>
      </c>
    </row>
    <row r="129" spans="1:13">
      <c r="A129" s="8">
        <v>43347</v>
      </c>
      <c r="B129" s="9">
        <v>0.68402777777777779</v>
      </c>
      <c r="C129" s="10" t="str">
        <f>"FES1162645290"</f>
        <v>FES1162645290</v>
      </c>
      <c r="D129" s="10" t="s">
        <v>19</v>
      </c>
      <c r="E129" s="10" t="s">
        <v>183</v>
      </c>
      <c r="F129" s="10" t="str">
        <f>"2170650073 "</f>
        <v xml:space="preserve">2170650073 </v>
      </c>
      <c r="G129" s="10" t="str">
        <f t="shared" si="3"/>
        <v>ON1</v>
      </c>
      <c r="H129" s="10" t="s">
        <v>21</v>
      </c>
      <c r="I129" s="10" t="s">
        <v>128</v>
      </c>
      <c r="J129" s="10" t="str">
        <f>""</f>
        <v/>
      </c>
      <c r="K129" s="10" t="str">
        <f>"PFES1162645290_0001"</f>
        <v>PFES1162645290_0001</v>
      </c>
      <c r="L129" s="10">
        <v>1</v>
      </c>
      <c r="M129" s="10">
        <v>1</v>
      </c>
    </row>
    <row r="130" spans="1:13">
      <c r="A130" s="8">
        <v>43347</v>
      </c>
      <c r="B130" s="9">
        <v>0.68402777777777779</v>
      </c>
      <c r="C130" s="10" t="str">
        <f>"FES1162645288"</f>
        <v>FES1162645288</v>
      </c>
      <c r="D130" s="10" t="s">
        <v>19</v>
      </c>
      <c r="E130" s="10" t="s">
        <v>184</v>
      </c>
      <c r="F130" s="10" t="str">
        <f>"2170650180 "</f>
        <v xml:space="preserve">2170650180 </v>
      </c>
      <c r="G130" s="10" t="str">
        <f t="shared" si="3"/>
        <v>ON1</v>
      </c>
      <c r="H130" s="10" t="s">
        <v>21</v>
      </c>
      <c r="I130" s="10" t="s">
        <v>185</v>
      </c>
      <c r="J130" s="10" t="str">
        <f>""</f>
        <v/>
      </c>
      <c r="K130" s="10" t="str">
        <f>"PFES1162645288_0001"</f>
        <v>PFES1162645288_0001</v>
      </c>
      <c r="L130" s="10">
        <v>1</v>
      </c>
      <c r="M130" s="10">
        <v>1</v>
      </c>
    </row>
    <row r="131" spans="1:13">
      <c r="A131" s="8">
        <v>43347</v>
      </c>
      <c r="B131" s="9">
        <v>0.68263888888888891</v>
      </c>
      <c r="C131" s="10" t="str">
        <f>"FES1162645255"</f>
        <v>FES1162645255</v>
      </c>
      <c r="D131" s="10" t="s">
        <v>19</v>
      </c>
      <c r="E131" s="10" t="s">
        <v>186</v>
      </c>
      <c r="F131" s="10" t="str">
        <f>"2170650131 "</f>
        <v xml:space="preserve">2170650131 </v>
      </c>
      <c r="G131" s="10" t="str">
        <f t="shared" si="3"/>
        <v>ON1</v>
      </c>
      <c r="H131" s="10" t="s">
        <v>21</v>
      </c>
      <c r="I131" s="10" t="s">
        <v>187</v>
      </c>
      <c r="J131" s="10" t="str">
        <f>""</f>
        <v/>
      </c>
      <c r="K131" s="10" t="str">
        <f>"PFES1162645255_0001"</f>
        <v>PFES1162645255_0001</v>
      </c>
      <c r="L131" s="10">
        <v>1</v>
      </c>
      <c r="M131" s="10">
        <v>2</v>
      </c>
    </row>
    <row r="132" spans="1:13">
      <c r="A132" s="8">
        <v>43347</v>
      </c>
      <c r="B132" s="9">
        <v>0.67986111111111114</v>
      </c>
      <c r="C132" s="10" t="str">
        <f>"FES1162645244"</f>
        <v>FES1162645244</v>
      </c>
      <c r="D132" s="10" t="s">
        <v>19</v>
      </c>
      <c r="E132" s="10" t="s">
        <v>153</v>
      </c>
      <c r="F132" s="10" t="str">
        <f>"2170649794 "</f>
        <v xml:space="preserve">2170649794 </v>
      </c>
      <c r="G132" s="10" t="str">
        <f>"DBC"</f>
        <v>DBC</v>
      </c>
      <c r="H132" s="10" t="s">
        <v>21</v>
      </c>
      <c r="I132" s="10" t="s">
        <v>154</v>
      </c>
      <c r="J132" s="10" t="str">
        <f>""</f>
        <v/>
      </c>
      <c r="K132" s="10" t="str">
        <f>"PFES1162645244_0001"</f>
        <v>PFES1162645244_0001</v>
      </c>
      <c r="L132" s="10">
        <v>2</v>
      </c>
      <c r="M132" s="10">
        <v>30</v>
      </c>
    </row>
    <row r="133" spans="1:13">
      <c r="A133" s="8">
        <v>43347</v>
      </c>
      <c r="B133" s="9">
        <v>0.67847222222222225</v>
      </c>
      <c r="C133" s="10" t="str">
        <f>"FES1162645242"</f>
        <v>FES1162645242</v>
      </c>
      <c r="D133" s="10" t="s">
        <v>19</v>
      </c>
      <c r="E133" s="10" t="s">
        <v>188</v>
      </c>
      <c r="F133" s="10" t="str">
        <f>"217065121 "</f>
        <v xml:space="preserve">217065121 </v>
      </c>
      <c r="G133" s="10" t="str">
        <f t="shared" ref="G133:G175" si="4">"ON1"</f>
        <v>ON1</v>
      </c>
      <c r="H133" s="10" t="s">
        <v>21</v>
      </c>
      <c r="I133" s="10" t="s">
        <v>26</v>
      </c>
      <c r="J133" s="10" t="str">
        <f>""</f>
        <v/>
      </c>
      <c r="K133" s="10" t="str">
        <f>"PFES1162645242_0001"</f>
        <v>PFES1162645242_0001</v>
      </c>
      <c r="L133" s="10">
        <v>1</v>
      </c>
      <c r="M133" s="10">
        <v>1</v>
      </c>
    </row>
    <row r="134" spans="1:13">
      <c r="A134" s="8">
        <v>43347</v>
      </c>
      <c r="B134" s="9">
        <v>0.67847222222222225</v>
      </c>
      <c r="C134" s="10" t="str">
        <f>"FES1162645272"</f>
        <v>FES1162645272</v>
      </c>
      <c r="D134" s="10" t="s">
        <v>19</v>
      </c>
      <c r="E134" s="10" t="s">
        <v>188</v>
      </c>
      <c r="F134" s="10" t="str">
        <f>"2170650156 "</f>
        <v xml:space="preserve">2170650156 </v>
      </c>
      <c r="G134" s="10" t="str">
        <f t="shared" si="4"/>
        <v>ON1</v>
      </c>
      <c r="H134" s="10" t="s">
        <v>21</v>
      </c>
      <c r="I134" s="10" t="s">
        <v>26</v>
      </c>
      <c r="J134" s="10" t="str">
        <f>""</f>
        <v/>
      </c>
      <c r="K134" s="10" t="str">
        <f>"PFES1162645272_0001"</f>
        <v>PFES1162645272_0001</v>
      </c>
      <c r="L134" s="10">
        <v>1</v>
      </c>
      <c r="M134" s="10">
        <v>1</v>
      </c>
    </row>
    <row r="135" spans="1:13">
      <c r="A135" s="8">
        <v>43347</v>
      </c>
      <c r="B135" s="9">
        <v>0.6777777777777777</v>
      </c>
      <c r="C135" s="10" t="str">
        <f>"FES1162645241"</f>
        <v>FES1162645241</v>
      </c>
      <c r="D135" s="10" t="s">
        <v>19</v>
      </c>
      <c r="E135" s="10" t="s">
        <v>103</v>
      </c>
      <c r="F135" s="10" t="str">
        <f>"2170650118 "</f>
        <v xml:space="preserve">2170650118 </v>
      </c>
      <c r="G135" s="10" t="str">
        <f t="shared" si="4"/>
        <v>ON1</v>
      </c>
      <c r="H135" s="10" t="s">
        <v>21</v>
      </c>
      <c r="I135" s="10" t="s">
        <v>189</v>
      </c>
      <c r="J135" s="10" t="str">
        <f>""</f>
        <v/>
      </c>
      <c r="K135" s="10" t="str">
        <f>"PFES1162645241_0001"</f>
        <v>PFES1162645241_0001</v>
      </c>
      <c r="L135" s="10">
        <v>1</v>
      </c>
      <c r="M135" s="10">
        <v>1</v>
      </c>
    </row>
    <row r="136" spans="1:13">
      <c r="A136" s="8">
        <v>43347</v>
      </c>
      <c r="B136" s="9">
        <v>0.6777777777777777</v>
      </c>
      <c r="C136" s="10" t="str">
        <f>"FES1162645271"</f>
        <v>FES1162645271</v>
      </c>
      <c r="D136" s="10" t="s">
        <v>19</v>
      </c>
      <c r="E136" s="10" t="s">
        <v>190</v>
      </c>
      <c r="F136" s="10" t="str">
        <f>"2170650031 "</f>
        <v xml:space="preserve">2170650031 </v>
      </c>
      <c r="G136" s="10" t="str">
        <f t="shared" si="4"/>
        <v>ON1</v>
      </c>
      <c r="H136" s="10" t="s">
        <v>21</v>
      </c>
      <c r="I136" s="10" t="s">
        <v>191</v>
      </c>
      <c r="J136" s="10" t="str">
        <f>""</f>
        <v/>
      </c>
      <c r="K136" s="10" t="str">
        <f>"PFES1162645271_0001"</f>
        <v>PFES1162645271_0001</v>
      </c>
      <c r="L136" s="10">
        <v>1</v>
      </c>
      <c r="M136" s="10">
        <v>1</v>
      </c>
    </row>
    <row r="137" spans="1:13">
      <c r="A137" s="8">
        <v>43347</v>
      </c>
      <c r="B137" s="9">
        <v>0.67638888888888893</v>
      </c>
      <c r="C137" s="10" t="str">
        <f>"FES1162645282"</f>
        <v>FES1162645282</v>
      </c>
      <c r="D137" s="10" t="s">
        <v>19</v>
      </c>
      <c r="E137" s="10" t="s">
        <v>174</v>
      </c>
      <c r="F137" s="10" t="str">
        <f>"2170643675 "</f>
        <v xml:space="preserve">2170643675 </v>
      </c>
      <c r="G137" s="10" t="str">
        <f t="shared" si="4"/>
        <v>ON1</v>
      </c>
      <c r="H137" s="10" t="s">
        <v>21</v>
      </c>
      <c r="I137" s="10" t="s">
        <v>175</v>
      </c>
      <c r="J137" s="10" t="str">
        <f>""</f>
        <v/>
      </c>
      <c r="K137" s="10" t="str">
        <f>"PFES1162645282_0001"</f>
        <v>PFES1162645282_0001</v>
      </c>
      <c r="L137" s="10">
        <v>1</v>
      </c>
      <c r="M137" s="10">
        <v>1</v>
      </c>
    </row>
    <row r="138" spans="1:13">
      <c r="A138" s="8">
        <v>43347</v>
      </c>
      <c r="B138" s="9">
        <v>0.67569444444444438</v>
      </c>
      <c r="C138" s="10" t="str">
        <f>"FES1162645279"</f>
        <v>FES1162645279</v>
      </c>
      <c r="D138" s="10" t="s">
        <v>19</v>
      </c>
      <c r="E138" s="10" t="s">
        <v>174</v>
      </c>
      <c r="F138" s="10" t="str">
        <f>"2170650120 "</f>
        <v xml:space="preserve">2170650120 </v>
      </c>
      <c r="G138" s="10" t="str">
        <f t="shared" si="4"/>
        <v>ON1</v>
      </c>
      <c r="H138" s="10" t="s">
        <v>21</v>
      </c>
      <c r="I138" s="10" t="s">
        <v>175</v>
      </c>
      <c r="J138" s="10" t="str">
        <f>""</f>
        <v/>
      </c>
      <c r="K138" s="10" t="str">
        <f>"PFES1162645279_0001"</f>
        <v>PFES1162645279_0001</v>
      </c>
      <c r="L138" s="10">
        <v>1</v>
      </c>
      <c r="M138" s="10">
        <v>1</v>
      </c>
    </row>
    <row r="139" spans="1:13">
      <c r="A139" s="8">
        <v>43347</v>
      </c>
      <c r="B139" s="9">
        <v>0.67569444444444438</v>
      </c>
      <c r="C139" s="10" t="str">
        <f>"FES1162645283"</f>
        <v>FES1162645283</v>
      </c>
      <c r="D139" s="10" t="s">
        <v>19</v>
      </c>
      <c r="E139" s="10" t="s">
        <v>174</v>
      </c>
      <c r="F139" s="10" t="str">
        <f>"2170647200 "</f>
        <v xml:space="preserve">2170647200 </v>
      </c>
      <c r="G139" s="10" t="str">
        <f t="shared" si="4"/>
        <v>ON1</v>
      </c>
      <c r="H139" s="10" t="s">
        <v>21</v>
      </c>
      <c r="I139" s="10" t="s">
        <v>175</v>
      </c>
      <c r="J139" s="10" t="str">
        <f>""</f>
        <v/>
      </c>
      <c r="K139" s="10" t="str">
        <f>"PFES1162645283_0001"</f>
        <v>PFES1162645283_0001</v>
      </c>
      <c r="L139" s="10">
        <v>1</v>
      </c>
      <c r="M139" s="10">
        <v>1</v>
      </c>
    </row>
    <row r="140" spans="1:13">
      <c r="A140" s="8">
        <v>43347</v>
      </c>
      <c r="B140" s="9">
        <v>0.67152777777777783</v>
      </c>
      <c r="C140" s="10" t="str">
        <f>"FES1162645227"</f>
        <v>FES1162645227</v>
      </c>
      <c r="D140" s="10" t="s">
        <v>19</v>
      </c>
      <c r="E140" s="10" t="s">
        <v>192</v>
      </c>
      <c r="F140" s="10" t="str">
        <f>"2170650097 "</f>
        <v xml:space="preserve">2170650097 </v>
      </c>
      <c r="G140" s="10" t="str">
        <f t="shared" si="4"/>
        <v>ON1</v>
      </c>
      <c r="H140" s="10" t="s">
        <v>21</v>
      </c>
      <c r="I140" s="10" t="s">
        <v>193</v>
      </c>
      <c r="J140" s="10" t="str">
        <f>""</f>
        <v/>
      </c>
      <c r="K140" s="10" t="str">
        <f>"PFES1162645227_0001"</f>
        <v>PFES1162645227_0001</v>
      </c>
      <c r="L140" s="10">
        <v>1</v>
      </c>
      <c r="M140" s="10">
        <v>2</v>
      </c>
    </row>
    <row r="141" spans="1:13">
      <c r="A141" s="8">
        <v>43347</v>
      </c>
      <c r="B141" s="9">
        <v>0.66666666666666663</v>
      </c>
      <c r="C141" s="10" t="str">
        <f>"FES1162645284"</f>
        <v>FES1162645284</v>
      </c>
      <c r="D141" s="10" t="s">
        <v>19</v>
      </c>
      <c r="E141" s="10" t="s">
        <v>194</v>
      </c>
      <c r="F141" s="10" t="str">
        <f>"2170650174 "</f>
        <v xml:space="preserve">2170650174 </v>
      </c>
      <c r="G141" s="10" t="str">
        <f t="shared" si="4"/>
        <v>ON1</v>
      </c>
      <c r="H141" s="10" t="s">
        <v>21</v>
      </c>
      <c r="I141" s="10" t="s">
        <v>195</v>
      </c>
      <c r="J141" s="10" t="str">
        <f>""</f>
        <v/>
      </c>
      <c r="K141" s="10" t="str">
        <f>"PFES1162645284_0001"</f>
        <v>PFES1162645284_0001</v>
      </c>
      <c r="L141" s="10">
        <v>1</v>
      </c>
      <c r="M141" s="10">
        <v>1</v>
      </c>
    </row>
    <row r="142" spans="1:13">
      <c r="A142" s="8">
        <v>43347</v>
      </c>
      <c r="B142" s="9">
        <v>0.66666666666666663</v>
      </c>
      <c r="C142" s="10" t="str">
        <f>"FES1162645285"</f>
        <v>FES1162645285</v>
      </c>
      <c r="D142" s="10" t="s">
        <v>19</v>
      </c>
      <c r="E142" s="10" t="s">
        <v>196</v>
      </c>
      <c r="F142" s="10" t="str">
        <f>"2170650175 "</f>
        <v xml:space="preserve">2170650175 </v>
      </c>
      <c r="G142" s="10" t="str">
        <f t="shared" si="4"/>
        <v>ON1</v>
      </c>
      <c r="H142" s="10" t="s">
        <v>21</v>
      </c>
      <c r="I142" s="10" t="s">
        <v>197</v>
      </c>
      <c r="J142" s="10" t="str">
        <f>""</f>
        <v/>
      </c>
      <c r="K142" s="10" t="str">
        <f>"PFES1162645285_0001"</f>
        <v>PFES1162645285_0001</v>
      </c>
      <c r="L142" s="10">
        <v>1</v>
      </c>
      <c r="M142" s="10">
        <v>1</v>
      </c>
    </row>
    <row r="143" spans="1:13">
      <c r="A143" s="8">
        <v>43347</v>
      </c>
      <c r="B143" s="9">
        <v>0.66597222222222219</v>
      </c>
      <c r="C143" s="10" t="str">
        <f>"FES1162645287"</f>
        <v>FES1162645287</v>
      </c>
      <c r="D143" s="10" t="s">
        <v>19</v>
      </c>
      <c r="E143" s="10" t="s">
        <v>198</v>
      </c>
      <c r="F143" s="10" t="str">
        <f>"2170650178 "</f>
        <v xml:space="preserve">2170650178 </v>
      </c>
      <c r="G143" s="10" t="str">
        <f t="shared" si="4"/>
        <v>ON1</v>
      </c>
      <c r="H143" s="10" t="s">
        <v>21</v>
      </c>
      <c r="I143" s="10" t="s">
        <v>97</v>
      </c>
      <c r="J143" s="10" t="str">
        <f>""</f>
        <v/>
      </c>
      <c r="K143" s="10" t="str">
        <f>"PFES1162645287_0001"</f>
        <v>PFES1162645287_0001</v>
      </c>
      <c r="L143" s="10">
        <v>1</v>
      </c>
      <c r="M143" s="10">
        <v>3</v>
      </c>
    </row>
    <row r="144" spans="1:13">
      <c r="A144" s="8">
        <v>43347</v>
      </c>
      <c r="B144" s="9">
        <v>0.66597222222222219</v>
      </c>
      <c r="C144" s="10" t="str">
        <f>"FES1162645274"</f>
        <v>FES1162645274</v>
      </c>
      <c r="D144" s="10" t="s">
        <v>19</v>
      </c>
      <c r="E144" s="10" t="s">
        <v>199</v>
      </c>
      <c r="F144" s="10" t="str">
        <f>"2170650164 "</f>
        <v xml:space="preserve">2170650164 </v>
      </c>
      <c r="G144" s="10" t="str">
        <f t="shared" si="4"/>
        <v>ON1</v>
      </c>
      <c r="H144" s="10" t="s">
        <v>21</v>
      </c>
      <c r="I144" s="10" t="s">
        <v>150</v>
      </c>
      <c r="J144" s="10" t="str">
        <f>""</f>
        <v/>
      </c>
      <c r="K144" s="10" t="str">
        <f>"PFES1162645274_0001"</f>
        <v>PFES1162645274_0001</v>
      </c>
      <c r="L144" s="10">
        <v>1</v>
      </c>
      <c r="M144" s="10">
        <v>5</v>
      </c>
    </row>
    <row r="145" spans="1:13">
      <c r="A145" s="8">
        <v>43347</v>
      </c>
      <c r="B145" s="9">
        <v>0.66527777777777775</v>
      </c>
      <c r="C145" s="10" t="str">
        <f>"FES1162645265"</f>
        <v>FES1162645265</v>
      </c>
      <c r="D145" s="10" t="s">
        <v>19</v>
      </c>
      <c r="E145" s="10" t="s">
        <v>200</v>
      </c>
      <c r="F145" s="10" t="str">
        <f>"2170650145 "</f>
        <v xml:space="preserve">2170650145 </v>
      </c>
      <c r="G145" s="10" t="str">
        <f t="shared" si="4"/>
        <v>ON1</v>
      </c>
      <c r="H145" s="10" t="s">
        <v>21</v>
      </c>
      <c r="I145" s="10" t="s">
        <v>201</v>
      </c>
      <c r="J145" s="10" t="str">
        <f>""</f>
        <v/>
      </c>
      <c r="K145" s="10" t="str">
        <f>"PFES1162645265_0001"</f>
        <v>PFES1162645265_0001</v>
      </c>
      <c r="L145" s="10">
        <v>1</v>
      </c>
      <c r="M145" s="10">
        <v>4</v>
      </c>
    </row>
    <row r="146" spans="1:13">
      <c r="A146" s="8">
        <v>43347</v>
      </c>
      <c r="B146" s="9">
        <v>0.6645833333333333</v>
      </c>
      <c r="C146" s="10" t="str">
        <f>"FES1162645273"</f>
        <v>FES1162645273</v>
      </c>
      <c r="D146" s="10" t="s">
        <v>19</v>
      </c>
      <c r="E146" s="10" t="s">
        <v>202</v>
      </c>
      <c r="F146" s="10" t="str">
        <f>"2170650159 "</f>
        <v xml:space="preserve">2170650159 </v>
      </c>
      <c r="G146" s="10" t="str">
        <f t="shared" si="4"/>
        <v>ON1</v>
      </c>
      <c r="H146" s="10" t="s">
        <v>21</v>
      </c>
      <c r="I146" s="10" t="s">
        <v>124</v>
      </c>
      <c r="J146" s="10" t="str">
        <f>""</f>
        <v/>
      </c>
      <c r="K146" s="10" t="str">
        <f>"PFES1162645273_0001"</f>
        <v>PFES1162645273_0001</v>
      </c>
      <c r="L146" s="10">
        <v>1</v>
      </c>
      <c r="M146" s="10">
        <v>1</v>
      </c>
    </row>
    <row r="147" spans="1:13">
      <c r="A147" s="8">
        <v>43347</v>
      </c>
      <c r="B147" s="9">
        <v>0.6645833333333333</v>
      </c>
      <c r="C147" s="10" t="str">
        <f>"FES1162645147"</f>
        <v>FES1162645147</v>
      </c>
      <c r="D147" s="10" t="s">
        <v>19</v>
      </c>
      <c r="E147" s="10" t="s">
        <v>141</v>
      </c>
      <c r="F147" s="10" t="str">
        <f>"2170649045 "</f>
        <v xml:space="preserve">2170649045 </v>
      </c>
      <c r="G147" s="10" t="str">
        <f t="shared" si="4"/>
        <v>ON1</v>
      </c>
      <c r="H147" s="10" t="s">
        <v>21</v>
      </c>
      <c r="I147" s="10" t="s">
        <v>91</v>
      </c>
      <c r="J147" s="10" t="str">
        <f>""</f>
        <v/>
      </c>
      <c r="K147" s="10" t="str">
        <f>"PFES1162645147_0001"</f>
        <v>PFES1162645147_0001</v>
      </c>
      <c r="L147" s="10">
        <v>1</v>
      </c>
      <c r="M147" s="10">
        <v>1</v>
      </c>
    </row>
    <row r="148" spans="1:13">
      <c r="A148" s="8">
        <v>43347</v>
      </c>
      <c r="B148" s="9">
        <v>0.6645833333333333</v>
      </c>
      <c r="C148" s="10" t="str">
        <f>"FES1162645281"</f>
        <v>FES1162645281</v>
      </c>
      <c r="D148" s="10" t="s">
        <v>19</v>
      </c>
      <c r="E148" s="10" t="s">
        <v>125</v>
      </c>
      <c r="F148" s="10" t="str">
        <f>"2170650170 "</f>
        <v xml:space="preserve">2170650170 </v>
      </c>
      <c r="G148" s="10" t="str">
        <f t="shared" si="4"/>
        <v>ON1</v>
      </c>
      <c r="H148" s="10" t="s">
        <v>21</v>
      </c>
      <c r="I148" s="10" t="s">
        <v>126</v>
      </c>
      <c r="J148" s="10" t="str">
        <f>""</f>
        <v/>
      </c>
      <c r="K148" s="10" t="str">
        <f>"PFES1162645281_0001"</f>
        <v>PFES1162645281_0001</v>
      </c>
      <c r="L148" s="10">
        <v>1</v>
      </c>
      <c r="M148" s="10">
        <v>1</v>
      </c>
    </row>
    <row r="149" spans="1:13">
      <c r="A149" s="8">
        <v>43347</v>
      </c>
      <c r="B149" s="9">
        <v>0.66111111111111109</v>
      </c>
      <c r="C149" s="10" t="str">
        <f>"FES1162645245"</f>
        <v>FES1162645245</v>
      </c>
      <c r="D149" s="10" t="s">
        <v>19</v>
      </c>
      <c r="E149" s="10" t="s">
        <v>203</v>
      </c>
      <c r="F149" s="10" t="str">
        <f>"2170649908 "</f>
        <v xml:space="preserve">2170649908 </v>
      </c>
      <c r="G149" s="10" t="str">
        <f t="shared" si="4"/>
        <v>ON1</v>
      </c>
      <c r="H149" s="10" t="s">
        <v>21</v>
      </c>
      <c r="I149" s="10" t="s">
        <v>204</v>
      </c>
      <c r="J149" s="10" t="str">
        <f>""</f>
        <v/>
      </c>
      <c r="K149" s="10" t="str">
        <f>"PFES1162645245_0001"</f>
        <v>PFES1162645245_0001</v>
      </c>
      <c r="L149" s="10">
        <v>1</v>
      </c>
      <c r="M149" s="10">
        <v>15</v>
      </c>
    </row>
    <row r="150" spans="1:13">
      <c r="A150" s="8">
        <v>43347</v>
      </c>
      <c r="B150" s="9">
        <v>0.65277777777777779</v>
      </c>
      <c r="C150" s="10" t="str">
        <f>"FES1162645275"</f>
        <v>FES1162645275</v>
      </c>
      <c r="D150" s="10" t="s">
        <v>19</v>
      </c>
      <c r="E150" s="10" t="s">
        <v>205</v>
      </c>
      <c r="F150" s="10" t="str">
        <f>"2170650165 "</f>
        <v xml:space="preserve">2170650165 </v>
      </c>
      <c r="G150" s="10" t="str">
        <f t="shared" si="4"/>
        <v>ON1</v>
      </c>
      <c r="H150" s="10" t="s">
        <v>21</v>
      </c>
      <c r="I150" s="10" t="s">
        <v>206</v>
      </c>
      <c r="J150" s="10" t="str">
        <f>""</f>
        <v/>
      </c>
      <c r="K150" s="10" t="str">
        <f>"PFES1162645275_0001"</f>
        <v>PFES1162645275_0001</v>
      </c>
      <c r="L150" s="10">
        <v>1</v>
      </c>
      <c r="M150" s="10">
        <v>1</v>
      </c>
    </row>
    <row r="151" spans="1:13">
      <c r="A151" s="8">
        <v>43347</v>
      </c>
      <c r="B151" s="9">
        <v>0.65277777777777779</v>
      </c>
      <c r="C151" s="10" t="str">
        <f>"FES1162645263"</f>
        <v>FES1162645263</v>
      </c>
      <c r="D151" s="10" t="s">
        <v>19</v>
      </c>
      <c r="E151" s="10" t="s">
        <v>61</v>
      </c>
      <c r="F151" s="10" t="str">
        <f>"2170650141 "</f>
        <v xml:space="preserve">2170650141 </v>
      </c>
      <c r="G151" s="10" t="str">
        <f t="shared" si="4"/>
        <v>ON1</v>
      </c>
      <c r="H151" s="10" t="s">
        <v>21</v>
      </c>
      <c r="I151" s="10" t="s">
        <v>62</v>
      </c>
      <c r="J151" s="10" t="str">
        <f>""</f>
        <v/>
      </c>
      <c r="K151" s="10" t="str">
        <f>"PFES1162645263_0001"</f>
        <v>PFES1162645263_0001</v>
      </c>
      <c r="L151" s="10">
        <v>1</v>
      </c>
      <c r="M151" s="10">
        <v>1</v>
      </c>
    </row>
    <row r="152" spans="1:13">
      <c r="A152" s="8">
        <v>43347</v>
      </c>
      <c r="B152" s="9">
        <v>0.65208333333333335</v>
      </c>
      <c r="C152" s="10" t="str">
        <f>"FES1162645251"</f>
        <v>FES1162645251</v>
      </c>
      <c r="D152" s="10" t="s">
        <v>19</v>
      </c>
      <c r="E152" s="10" t="s">
        <v>207</v>
      </c>
      <c r="F152" s="10" t="str">
        <f>"2170650130 "</f>
        <v xml:space="preserve">2170650130 </v>
      </c>
      <c r="G152" s="10" t="str">
        <f t="shared" si="4"/>
        <v>ON1</v>
      </c>
      <c r="H152" s="10" t="s">
        <v>21</v>
      </c>
      <c r="I152" s="10" t="s">
        <v>30</v>
      </c>
      <c r="J152" s="10" t="str">
        <f>""</f>
        <v/>
      </c>
      <c r="K152" s="10" t="str">
        <f>"PFES1162645251_0001"</f>
        <v>PFES1162645251_0001</v>
      </c>
      <c r="L152" s="10">
        <v>1</v>
      </c>
      <c r="M152" s="10">
        <v>1</v>
      </c>
    </row>
    <row r="153" spans="1:13">
      <c r="A153" s="8">
        <v>43347</v>
      </c>
      <c r="B153" s="9">
        <v>0.65208333333333335</v>
      </c>
      <c r="C153" s="10" t="str">
        <f>"FES1162645234"</f>
        <v>FES1162645234</v>
      </c>
      <c r="D153" s="10" t="s">
        <v>19</v>
      </c>
      <c r="E153" s="10" t="s">
        <v>47</v>
      </c>
      <c r="F153" s="10" t="str">
        <f>"217050107 "</f>
        <v xml:space="preserve">217050107 </v>
      </c>
      <c r="G153" s="10" t="str">
        <f t="shared" si="4"/>
        <v>ON1</v>
      </c>
      <c r="H153" s="10" t="s">
        <v>21</v>
      </c>
      <c r="I153" s="10" t="s">
        <v>48</v>
      </c>
      <c r="J153" s="10" t="str">
        <f>""</f>
        <v/>
      </c>
      <c r="K153" s="10" t="str">
        <f>"PFES1162645234_0001"</f>
        <v>PFES1162645234_0001</v>
      </c>
      <c r="L153" s="10">
        <v>1</v>
      </c>
      <c r="M153" s="10">
        <v>4</v>
      </c>
    </row>
    <row r="154" spans="1:13">
      <c r="A154" s="8">
        <v>43347</v>
      </c>
      <c r="B154" s="9">
        <v>0.65138888888888891</v>
      </c>
      <c r="C154" s="10" t="str">
        <f>"FES1162645236"</f>
        <v>FES1162645236</v>
      </c>
      <c r="D154" s="10" t="s">
        <v>19</v>
      </c>
      <c r="E154" s="10" t="s">
        <v>81</v>
      </c>
      <c r="F154" s="10" t="str">
        <f>"2170650108 "</f>
        <v xml:space="preserve">2170650108 </v>
      </c>
      <c r="G154" s="10" t="str">
        <f t="shared" si="4"/>
        <v>ON1</v>
      </c>
      <c r="H154" s="10" t="s">
        <v>21</v>
      </c>
      <c r="I154" s="10" t="s">
        <v>28</v>
      </c>
      <c r="J154" s="10" t="str">
        <f>""</f>
        <v/>
      </c>
      <c r="K154" s="10" t="str">
        <f>"PFES1162645236_0001"</f>
        <v>PFES1162645236_0001</v>
      </c>
      <c r="L154" s="10">
        <v>1</v>
      </c>
      <c r="M154" s="10">
        <v>5</v>
      </c>
    </row>
    <row r="155" spans="1:13">
      <c r="A155" s="8">
        <v>43347</v>
      </c>
      <c r="B155" s="9">
        <v>0.65138888888888891</v>
      </c>
      <c r="C155" s="10" t="str">
        <f>"FES1162645249"</f>
        <v>FES1162645249</v>
      </c>
      <c r="D155" s="10" t="s">
        <v>19</v>
      </c>
      <c r="E155" s="10" t="s">
        <v>208</v>
      </c>
      <c r="F155" s="10" t="str">
        <f>"2170650125 "</f>
        <v xml:space="preserve">2170650125 </v>
      </c>
      <c r="G155" s="10" t="str">
        <f t="shared" si="4"/>
        <v>ON1</v>
      </c>
      <c r="H155" s="10" t="s">
        <v>21</v>
      </c>
      <c r="I155" s="10" t="s">
        <v>209</v>
      </c>
      <c r="J155" s="10" t="str">
        <f>""</f>
        <v/>
      </c>
      <c r="K155" s="10" t="str">
        <f>"PFES1162645249_0001"</f>
        <v>PFES1162645249_0001</v>
      </c>
      <c r="L155" s="10">
        <v>1</v>
      </c>
      <c r="M155" s="10">
        <v>1</v>
      </c>
    </row>
    <row r="156" spans="1:13">
      <c r="A156" s="8">
        <v>43347</v>
      </c>
      <c r="B156" s="9">
        <v>0.65138888888888891</v>
      </c>
      <c r="C156" s="10" t="str">
        <f>"FES1162645264"</f>
        <v>FES1162645264</v>
      </c>
      <c r="D156" s="10" t="s">
        <v>19</v>
      </c>
      <c r="E156" s="10" t="s">
        <v>65</v>
      </c>
      <c r="F156" s="10" t="str">
        <f>"2170650142 "</f>
        <v xml:space="preserve">2170650142 </v>
      </c>
      <c r="G156" s="10" t="str">
        <f t="shared" si="4"/>
        <v>ON1</v>
      </c>
      <c r="H156" s="10" t="s">
        <v>21</v>
      </c>
      <c r="I156" s="10" t="s">
        <v>66</v>
      </c>
      <c r="J156" s="10" t="str">
        <f>""</f>
        <v/>
      </c>
      <c r="K156" s="10" t="str">
        <f>"PFES1162645264_0001"</f>
        <v>PFES1162645264_0001</v>
      </c>
      <c r="L156" s="10">
        <v>1</v>
      </c>
      <c r="M156" s="10">
        <v>9</v>
      </c>
    </row>
    <row r="157" spans="1:13">
      <c r="A157" s="8">
        <v>43347</v>
      </c>
      <c r="B157" s="9">
        <v>0.65138888888888891</v>
      </c>
      <c r="C157" s="10" t="str">
        <f>"FES1162645230"</f>
        <v>FES1162645230</v>
      </c>
      <c r="D157" s="10" t="s">
        <v>19</v>
      </c>
      <c r="E157" s="10" t="s">
        <v>141</v>
      </c>
      <c r="F157" s="10" t="str">
        <f>"2170650102 "</f>
        <v xml:space="preserve">2170650102 </v>
      </c>
      <c r="G157" s="10" t="str">
        <f t="shared" si="4"/>
        <v>ON1</v>
      </c>
      <c r="H157" s="10" t="s">
        <v>21</v>
      </c>
      <c r="I157" s="10" t="s">
        <v>91</v>
      </c>
      <c r="J157" s="10" t="str">
        <f>""</f>
        <v/>
      </c>
      <c r="K157" s="10" t="str">
        <f>"PFES1162645230_0001"</f>
        <v>PFES1162645230_0001</v>
      </c>
      <c r="L157" s="10">
        <v>1</v>
      </c>
      <c r="M157" s="10">
        <v>3</v>
      </c>
    </row>
    <row r="158" spans="1:13">
      <c r="A158" s="8">
        <v>43347</v>
      </c>
      <c r="B158" s="9">
        <v>0.65</v>
      </c>
      <c r="C158" s="10" t="str">
        <f>"FES1162645202"</f>
        <v>FES1162645202</v>
      </c>
      <c r="D158" s="10" t="s">
        <v>19</v>
      </c>
      <c r="E158" s="10" t="s">
        <v>210</v>
      </c>
      <c r="F158" s="10" t="str">
        <f>"2170650066 "</f>
        <v xml:space="preserve">2170650066 </v>
      </c>
      <c r="G158" s="10" t="str">
        <f t="shared" si="4"/>
        <v>ON1</v>
      </c>
      <c r="H158" s="10" t="s">
        <v>21</v>
      </c>
      <c r="I158" s="10" t="s">
        <v>211</v>
      </c>
      <c r="J158" s="10" t="str">
        <f>""</f>
        <v/>
      </c>
      <c r="K158" s="10" t="str">
        <f>"PFES1162645202_0001"</f>
        <v>PFES1162645202_0001</v>
      </c>
      <c r="L158" s="10">
        <v>1</v>
      </c>
      <c r="M158" s="10">
        <v>7</v>
      </c>
    </row>
    <row r="159" spans="1:13">
      <c r="A159" s="8">
        <v>43347</v>
      </c>
      <c r="B159" s="9">
        <v>0.64861111111111114</v>
      </c>
      <c r="C159" s="10" t="str">
        <f>"FES1162645203"</f>
        <v>FES1162645203</v>
      </c>
      <c r="D159" s="10" t="s">
        <v>19</v>
      </c>
      <c r="E159" s="10" t="s">
        <v>192</v>
      </c>
      <c r="F159" s="10" t="str">
        <f>"2170650067 "</f>
        <v xml:space="preserve">2170650067 </v>
      </c>
      <c r="G159" s="10" t="str">
        <f t="shared" si="4"/>
        <v>ON1</v>
      </c>
      <c r="H159" s="10" t="s">
        <v>21</v>
      </c>
      <c r="I159" s="10" t="s">
        <v>193</v>
      </c>
      <c r="J159" s="10" t="str">
        <f>""</f>
        <v/>
      </c>
      <c r="K159" s="10" t="str">
        <f>"PFES1162645203_0001"</f>
        <v>PFES1162645203_0001</v>
      </c>
      <c r="L159" s="10">
        <v>1</v>
      </c>
      <c r="M159" s="10">
        <v>1</v>
      </c>
    </row>
    <row r="160" spans="1:13">
      <c r="A160" s="8">
        <v>43347</v>
      </c>
      <c r="B160" s="9">
        <v>0.64652777777777781</v>
      </c>
      <c r="C160" s="10" t="str">
        <f>"FES1162645237"</f>
        <v>FES1162645237</v>
      </c>
      <c r="D160" s="10" t="s">
        <v>19</v>
      </c>
      <c r="E160" s="10" t="s">
        <v>212</v>
      </c>
      <c r="F160" s="10" t="str">
        <f>"2170650110 "</f>
        <v xml:space="preserve">2170650110 </v>
      </c>
      <c r="G160" s="10" t="str">
        <f t="shared" si="4"/>
        <v>ON1</v>
      </c>
      <c r="H160" s="10" t="s">
        <v>21</v>
      </c>
      <c r="I160" s="10" t="s">
        <v>211</v>
      </c>
      <c r="J160" s="10" t="str">
        <f>""</f>
        <v/>
      </c>
      <c r="K160" s="10" t="str">
        <f>"PFES1162645237_0001"</f>
        <v>PFES1162645237_0001</v>
      </c>
      <c r="L160" s="10">
        <v>1</v>
      </c>
      <c r="M160" s="10">
        <v>5</v>
      </c>
    </row>
    <row r="161" spans="1:13">
      <c r="A161" s="8">
        <v>43347</v>
      </c>
      <c r="B161" s="9">
        <v>0.64444444444444449</v>
      </c>
      <c r="C161" s="10" t="str">
        <f>"FES1162645256"</f>
        <v>FES1162645256</v>
      </c>
      <c r="D161" s="10" t="s">
        <v>19</v>
      </c>
      <c r="E161" s="10" t="s">
        <v>213</v>
      </c>
      <c r="F161" s="10" t="str">
        <f>"2170650136 "</f>
        <v xml:space="preserve">2170650136 </v>
      </c>
      <c r="G161" s="10" t="str">
        <f t="shared" si="4"/>
        <v>ON1</v>
      </c>
      <c r="H161" s="10" t="s">
        <v>21</v>
      </c>
      <c r="I161" s="10" t="s">
        <v>135</v>
      </c>
      <c r="J161" s="10" t="str">
        <f>""</f>
        <v/>
      </c>
      <c r="K161" s="10" t="str">
        <f>"PFES1162645256_0001"</f>
        <v>PFES1162645256_0001</v>
      </c>
      <c r="L161" s="10">
        <v>1</v>
      </c>
      <c r="M161" s="10">
        <v>1</v>
      </c>
    </row>
    <row r="162" spans="1:13">
      <c r="A162" s="8">
        <v>43347</v>
      </c>
      <c r="B162" s="9">
        <v>0.64374999999999993</v>
      </c>
      <c r="C162" s="10" t="str">
        <f>"FES1162645195"</f>
        <v>FES1162645195</v>
      </c>
      <c r="D162" s="10" t="s">
        <v>19</v>
      </c>
      <c r="E162" s="10" t="s">
        <v>214</v>
      </c>
      <c r="F162" s="10" t="str">
        <f>"2170650056 "</f>
        <v xml:space="preserve">2170650056 </v>
      </c>
      <c r="G162" s="10" t="str">
        <f t="shared" si="4"/>
        <v>ON1</v>
      </c>
      <c r="H162" s="10" t="s">
        <v>21</v>
      </c>
      <c r="I162" s="10" t="s">
        <v>215</v>
      </c>
      <c r="J162" s="10" t="str">
        <f>""</f>
        <v/>
      </c>
      <c r="K162" s="10" t="str">
        <f>"PFES1162645195_0001"</f>
        <v>PFES1162645195_0001</v>
      </c>
      <c r="L162" s="10">
        <v>1</v>
      </c>
      <c r="M162" s="10">
        <v>1</v>
      </c>
    </row>
    <row r="163" spans="1:13">
      <c r="A163" s="8">
        <v>43347</v>
      </c>
      <c r="B163" s="9">
        <v>0.64374999999999993</v>
      </c>
      <c r="C163" s="10" t="str">
        <f>"FES1162645201"</f>
        <v>FES1162645201</v>
      </c>
      <c r="D163" s="10" t="s">
        <v>19</v>
      </c>
      <c r="E163" s="10" t="s">
        <v>216</v>
      </c>
      <c r="F163" s="10" t="str">
        <f>"2170650065 "</f>
        <v xml:space="preserve">2170650065 </v>
      </c>
      <c r="G163" s="10" t="str">
        <f t="shared" si="4"/>
        <v>ON1</v>
      </c>
      <c r="H163" s="10" t="s">
        <v>21</v>
      </c>
      <c r="I163" s="10" t="s">
        <v>217</v>
      </c>
      <c r="J163" s="10" t="str">
        <f>""</f>
        <v/>
      </c>
      <c r="K163" s="10" t="str">
        <f>"PFES1162645201_0001"</f>
        <v>PFES1162645201_0001</v>
      </c>
      <c r="L163" s="10">
        <v>1</v>
      </c>
      <c r="M163" s="10">
        <v>1</v>
      </c>
    </row>
    <row r="164" spans="1:13">
      <c r="A164" s="8">
        <v>43347</v>
      </c>
      <c r="B164" s="9">
        <v>0.6430555555555556</v>
      </c>
      <c r="C164" s="10" t="str">
        <f>"FES1162645248"</f>
        <v>FES1162645248</v>
      </c>
      <c r="D164" s="10" t="s">
        <v>19</v>
      </c>
      <c r="E164" s="10" t="s">
        <v>218</v>
      </c>
      <c r="F164" s="10" t="str">
        <f>"2170650124 "</f>
        <v xml:space="preserve">2170650124 </v>
      </c>
      <c r="G164" s="10" t="str">
        <f t="shared" si="4"/>
        <v>ON1</v>
      </c>
      <c r="H164" s="10" t="s">
        <v>21</v>
      </c>
      <c r="I164" s="10" t="s">
        <v>24</v>
      </c>
      <c r="J164" s="10" t="str">
        <f>""</f>
        <v/>
      </c>
      <c r="K164" s="10" t="str">
        <f>"PFES1162645248_0001"</f>
        <v>PFES1162645248_0001</v>
      </c>
      <c r="L164" s="10">
        <v>1</v>
      </c>
      <c r="M164" s="10">
        <v>1</v>
      </c>
    </row>
    <row r="165" spans="1:13">
      <c r="A165" s="8">
        <v>43347</v>
      </c>
      <c r="B165" s="9">
        <v>0.6430555555555556</v>
      </c>
      <c r="C165" s="10" t="str">
        <f>"FES1162645213"</f>
        <v>FES1162645213</v>
      </c>
      <c r="D165" s="10" t="s">
        <v>19</v>
      </c>
      <c r="E165" s="10" t="s">
        <v>75</v>
      </c>
      <c r="F165" s="10" t="str">
        <f>"2170649862 "</f>
        <v xml:space="preserve">2170649862 </v>
      </c>
      <c r="G165" s="10" t="str">
        <f t="shared" si="4"/>
        <v>ON1</v>
      </c>
      <c r="H165" s="10" t="s">
        <v>21</v>
      </c>
      <c r="I165" s="10" t="s">
        <v>76</v>
      </c>
      <c r="J165" s="10" t="str">
        <f>""</f>
        <v/>
      </c>
      <c r="K165" s="10" t="str">
        <f>"PFES1162645213_0001"</f>
        <v>PFES1162645213_0001</v>
      </c>
      <c r="L165" s="10">
        <v>1</v>
      </c>
      <c r="M165" s="10">
        <v>4</v>
      </c>
    </row>
    <row r="166" spans="1:13">
      <c r="A166" s="8">
        <v>43347</v>
      </c>
      <c r="B166" s="9">
        <v>0.6430555555555556</v>
      </c>
      <c r="C166" s="10" t="str">
        <f>"FES1162645215"</f>
        <v>FES1162645215</v>
      </c>
      <c r="D166" s="10" t="s">
        <v>19</v>
      </c>
      <c r="E166" s="10" t="s">
        <v>219</v>
      </c>
      <c r="F166" s="10" t="str">
        <f>"2170650081 "</f>
        <v xml:space="preserve">2170650081 </v>
      </c>
      <c r="G166" s="10" t="str">
        <f t="shared" si="4"/>
        <v>ON1</v>
      </c>
      <c r="H166" s="10" t="s">
        <v>21</v>
      </c>
      <c r="I166" s="10" t="s">
        <v>57</v>
      </c>
      <c r="J166" s="10" t="str">
        <f>""</f>
        <v/>
      </c>
      <c r="K166" s="10" t="str">
        <f>"PFES1162645215_0001"</f>
        <v>PFES1162645215_0001</v>
      </c>
      <c r="L166" s="10">
        <v>1</v>
      </c>
      <c r="M166" s="10">
        <v>1</v>
      </c>
    </row>
    <row r="167" spans="1:13">
      <c r="A167" s="8">
        <v>43347</v>
      </c>
      <c r="B167" s="9">
        <v>0.64236111111111105</v>
      </c>
      <c r="C167" s="10" t="str">
        <f>"FES1162645228"</f>
        <v>FES1162645228</v>
      </c>
      <c r="D167" s="10" t="s">
        <v>19</v>
      </c>
      <c r="E167" s="10" t="s">
        <v>220</v>
      </c>
      <c r="F167" s="10" t="str">
        <f>"2170650099 "</f>
        <v xml:space="preserve">2170650099 </v>
      </c>
      <c r="G167" s="10" t="str">
        <f t="shared" si="4"/>
        <v>ON1</v>
      </c>
      <c r="H167" s="10" t="s">
        <v>21</v>
      </c>
      <c r="I167" s="10" t="s">
        <v>126</v>
      </c>
      <c r="J167" s="10" t="str">
        <f>""</f>
        <v/>
      </c>
      <c r="K167" s="10" t="str">
        <f>"PFES1162645228_0001"</f>
        <v>PFES1162645228_0001</v>
      </c>
      <c r="L167" s="10">
        <v>1</v>
      </c>
      <c r="M167" s="10">
        <v>1</v>
      </c>
    </row>
    <row r="168" spans="1:13">
      <c r="A168" s="8">
        <v>43347</v>
      </c>
      <c r="B168" s="9">
        <v>0.64236111111111105</v>
      </c>
      <c r="C168" s="10" t="str">
        <f>"FES1162645253"</f>
        <v>FES1162645253</v>
      </c>
      <c r="D168" s="10" t="s">
        <v>19</v>
      </c>
      <c r="E168" s="10" t="s">
        <v>174</v>
      </c>
      <c r="F168" s="10" t="str">
        <f>"2170643552 "</f>
        <v xml:space="preserve">2170643552 </v>
      </c>
      <c r="G168" s="10" t="str">
        <f t="shared" si="4"/>
        <v>ON1</v>
      </c>
      <c r="H168" s="10" t="s">
        <v>21</v>
      </c>
      <c r="I168" s="10" t="s">
        <v>175</v>
      </c>
      <c r="J168" s="10" t="str">
        <f>""</f>
        <v/>
      </c>
      <c r="K168" s="10" t="str">
        <f>"PFES1162645253_0001"</f>
        <v>PFES1162645253_0001</v>
      </c>
      <c r="L168" s="10">
        <v>1</v>
      </c>
      <c r="M168" s="10">
        <v>1</v>
      </c>
    </row>
    <row r="169" spans="1:13">
      <c r="A169" s="8">
        <v>43347</v>
      </c>
      <c r="B169" s="9">
        <v>0.64236111111111105</v>
      </c>
      <c r="C169" s="10" t="str">
        <f>"FES1162645226"</f>
        <v>FES1162645226</v>
      </c>
      <c r="D169" s="10" t="s">
        <v>19</v>
      </c>
      <c r="E169" s="10" t="s">
        <v>220</v>
      </c>
      <c r="F169" s="10" t="str">
        <f>"2170650095 "</f>
        <v xml:space="preserve">2170650095 </v>
      </c>
      <c r="G169" s="10" t="str">
        <f t="shared" si="4"/>
        <v>ON1</v>
      </c>
      <c r="H169" s="10" t="s">
        <v>21</v>
      </c>
      <c r="I169" s="10" t="s">
        <v>126</v>
      </c>
      <c r="J169" s="10" t="str">
        <f>""</f>
        <v/>
      </c>
      <c r="K169" s="10" t="str">
        <f>"PFES1162645226_0001"</f>
        <v>PFES1162645226_0001</v>
      </c>
      <c r="L169" s="10">
        <v>1</v>
      </c>
      <c r="M169" s="10">
        <v>1</v>
      </c>
    </row>
    <row r="170" spans="1:13">
      <c r="A170" s="8">
        <v>43347</v>
      </c>
      <c r="B170" s="9">
        <v>0.64166666666666672</v>
      </c>
      <c r="C170" s="10" t="str">
        <f>"FES1162645170"</f>
        <v>FES1162645170</v>
      </c>
      <c r="D170" s="10" t="s">
        <v>19</v>
      </c>
      <c r="E170" s="10" t="s">
        <v>188</v>
      </c>
      <c r="F170" s="10" t="str">
        <f>"2170650024 "</f>
        <v xml:space="preserve">2170650024 </v>
      </c>
      <c r="G170" s="10" t="str">
        <f t="shared" si="4"/>
        <v>ON1</v>
      </c>
      <c r="H170" s="10" t="s">
        <v>21</v>
      </c>
      <c r="I170" s="10" t="s">
        <v>26</v>
      </c>
      <c r="J170" s="10" t="str">
        <f>""</f>
        <v/>
      </c>
      <c r="K170" s="10" t="str">
        <f>"PFES1162645170_0001"</f>
        <v>PFES1162645170_0001</v>
      </c>
      <c r="L170" s="10">
        <v>1</v>
      </c>
      <c r="M170" s="10">
        <v>1</v>
      </c>
    </row>
    <row r="171" spans="1:13">
      <c r="A171" s="8">
        <v>43347</v>
      </c>
      <c r="B171" s="9">
        <v>0.64166666666666672</v>
      </c>
      <c r="C171" s="10" t="str">
        <f>"FES1162645258"</f>
        <v>FES1162645258</v>
      </c>
      <c r="D171" s="10" t="s">
        <v>19</v>
      </c>
      <c r="E171" s="10" t="s">
        <v>221</v>
      </c>
      <c r="F171" s="10" t="str">
        <f>"2170650132 "</f>
        <v xml:space="preserve">2170650132 </v>
      </c>
      <c r="G171" s="10" t="str">
        <f t="shared" si="4"/>
        <v>ON1</v>
      </c>
      <c r="H171" s="10" t="s">
        <v>21</v>
      </c>
      <c r="I171" s="10" t="s">
        <v>222</v>
      </c>
      <c r="J171" s="10" t="str">
        <f>""</f>
        <v/>
      </c>
      <c r="K171" s="10" t="str">
        <f>"PFES1162645258_0001"</f>
        <v>PFES1162645258_0001</v>
      </c>
      <c r="L171" s="10">
        <v>1</v>
      </c>
      <c r="M171" s="10">
        <v>1</v>
      </c>
    </row>
    <row r="172" spans="1:13">
      <c r="A172" s="8">
        <v>43347</v>
      </c>
      <c r="B172" s="9">
        <v>0.64166666666666672</v>
      </c>
      <c r="C172" s="10" t="str">
        <f>"FES1162645183"</f>
        <v>FES1162645183</v>
      </c>
      <c r="D172" s="10" t="s">
        <v>19</v>
      </c>
      <c r="E172" s="10" t="s">
        <v>223</v>
      </c>
      <c r="F172" s="10" t="str">
        <f>"2170649570 "</f>
        <v xml:space="preserve">2170649570 </v>
      </c>
      <c r="G172" s="10" t="str">
        <f t="shared" si="4"/>
        <v>ON1</v>
      </c>
      <c r="H172" s="10" t="s">
        <v>21</v>
      </c>
      <c r="I172" s="10" t="s">
        <v>211</v>
      </c>
      <c r="J172" s="10" t="str">
        <f>""</f>
        <v/>
      </c>
      <c r="K172" s="10" t="str">
        <f>"PFES1162645183_0001"</f>
        <v>PFES1162645183_0001</v>
      </c>
      <c r="L172" s="10">
        <v>1</v>
      </c>
      <c r="M172" s="10">
        <v>1</v>
      </c>
    </row>
    <row r="173" spans="1:13">
      <c r="A173" s="8">
        <v>43347</v>
      </c>
      <c r="B173" s="9">
        <v>0.64166666666666672</v>
      </c>
      <c r="C173" s="10" t="str">
        <f>"FES1162645145"</f>
        <v>FES1162645145</v>
      </c>
      <c r="D173" s="10" t="s">
        <v>19</v>
      </c>
      <c r="E173" s="10" t="s">
        <v>224</v>
      </c>
      <c r="F173" s="10" t="str">
        <f>"2170650000 "</f>
        <v xml:space="preserve">2170650000 </v>
      </c>
      <c r="G173" s="10" t="str">
        <f t="shared" si="4"/>
        <v>ON1</v>
      </c>
      <c r="H173" s="10" t="s">
        <v>21</v>
      </c>
      <c r="I173" s="10" t="s">
        <v>225</v>
      </c>
      <c r="J173" s="10" t="str">
        <f>""</f>
        <v/>
      </c>
      <c r="K173" s="10" t="str">
        <f>"PFES1162645145_0001"</f>
        <v>PFES1162645145_0001</v>
      </c>
      <c r="L173" s="10">
        <v>1</v>
      </c>
      <c r="M173" s="10">
        <v>3</v>
      </c>
    </row>
    <row r="174" spans="1:13">
      <c r="A174" s="8">
        <v>43347</v>
      </c>
      <c r="B174" s="9">
        <v>0.64097222222222217</v>
      </c>
      <c r="C174" s="10" t="str">
        <f>"FES1162645238"</f>
        <v>FES1162645238</v>
      </c>
      <c r="D174" s="10" t="s">
        <v>19</v>
      </c>
      <c r="E174" s="10" t="s">
        <v>212</v>
      </c>
      <c r="F174" s="10" t="str">
        <f>"2170650112 "</f>
        <v xml:space="preserve">2170650112 </v>
      </c>
      <c r="G174" s="10" t="str">
        <f t="shared" si="4"/>
        <v>ON1</v>
      </c>
      <c r="H174" s="10" t="s">
        <v>21</v>
      </c>
      <c r="I174" s="10" t="s">
        <v>211</v>
      </c>
      <c r="J174" s="10" t="str">
        <f>""</f>
        <v/>
      </c>
      <c r="K174" s="10" t="str">
        <f>"PFES1162645238_0001"</f>
        <v>PFES1162645238_0001</v>
      </c>
      <c r="L174" s="10">
        <v>1</v>
      </c>
      <c r="M174" s="10">
        <v>1</v>
      </c>
    </row>
    <row r="175" spans="1:13">
      <c r="A175" s="8">
        <v>43347</v>
      </c>
      <c r="B175" s="9">
        <v>0.64027777777777783</v>
      </c>
      <c r="C175" s="10" t="str">
        <f>"FES1162645162"</f>
        <v>FES1162645162</v>
      </c>
      <c r="D175" s="10" t="s">
        <v>19</v>
      </c>
      <c r="E175" s="10" t="s">
        <v>226</v>
      </c>
      <c r="F175" s="10" t="str">
        <f>"2170649996 "</f>
        <v xml:space="preserve">2170649996 </v>
      </c>
      <c r="G175" s="10" t="str">
        <f t="shared" si="4"/>
        <v>ON1</v>
      </c>
      <c r="H175" s="10" t="s">
        <v>21</v>
      </c>
      <c r="I175" s="10" t="s">
        <v>227</v>
      </c>
      <c r="J175" s="10" t="str">
        <f>""</f>
        <v/>
      </c>
      <c r="K175" s="10" t="str">
        <f>"PFES1162645162_0001"</f>
        <v>PFES1162645162_0001</v>
      </c>
      <c r="L175" s="10">
        <v>1</v>
      </c>
      <c r="M175" s="10">
        <v>8</v>
      </c>
    </row>
    <row r="176" spans="1:13">
      <c r="A176" s="8">
        <v>43347</v>
      </c>
      <c r="B176" s="9">
        <v>0.61944444444444446</v>
      </c>
      <c r="C176" s="10" t="str">
        <f>"FES1162645191"</f>
        <v>FES1162645191</v>
      </c>
      <c r="D176" s="10" t="s">
        <v>19</v>
      </c>
      <c r="E176" s="10" t="s">
        <v>88</v>
      </c>
      <c r="F176" s="10" t="str">
        <f>"2170650052 "</f>
        <v xml:space="preserve">2170650052 </v>
      </c>
      <c r="G176" s="10" t="str">
        <f>"ON2"</f>
        <v>ON2</v>
      </c>
      <c r="H176" s="10" t="s">
        <v>21</v>
      </c>
      <c r="I176" s="10" t="s">
        <v>89</v>
      </c>
      <c r="J176" s="10" t="str">
        <f>"FRAGILE OIL"</f>
        <v>FRAGILE OIL</v>
      </c>
      <c r="K176" s="10" t="str">
        <f>"PFES1162645191_0001"</f>
        <v>PFES1162645191_0001</v>
      </c>
      <c r="L176" s="10">
        <v>1</v>
      </c>
      <c r="M176" s="10">
        <v>2</v>
      </c>
    </row>
    <row r="177" spans="1:13">
      <c r="A177" s="8">
        <v>43347</v>
      </c>
      <c r="B177" s="9">
        <v>0.61875000000000002</v>
      </c>
      <c r="C177" s="10" t="str">
        <f>"FES1162645198"</f>
        <v>FES1162645198</v>
      </c>
      <c r="D177" s="10" t="s">
        <v>19</v>
      </c>
      <c r="E177" s="10" t="s">
        <v>228</v>
      </c>
      <c r="F177" s="10" t="str">
        <f>"2170650061 "</f>
        <v xml:space="preserve">2170650061 </v>
      </c>
      <c r="G177" s="10" t="str">
        <f t="shared" ref="G177:G211" si="5">"ON1"</f>
        <v>ON1</v>
      </c>
      <c r="H177" s="10" t="s">
        <v>21</v>
      </c>
      <c r="I177" s="10" t="s">
        <v>229</v>
      </c>
      <c r="J177" s="10" t="str">
        <f>""</f>
        <v/>
      </c>
      <c r="K177" s="10" t="str">
        <f>"PFES1162645198_0001"</f>
        <v>PFES1162645198_0001</v>
      </c>
      <c r="L177" s="10">
        <v>1</v>
      </c>
      <c r="M177" s="10">
        <v>1</v>
      </c>
    </row>
    <row r="178" spans="1:13">
      <c r="A178" s="8">
        <v>43347</v>
      </c>
      <c r="B178" s="9">
        <v>0.61875000000000002</v>
      </c>
      <c r="C178" s="10" t="str">
        <f>"FES1162645168"</f>
        <v>FES1162645168</v>
      </c>
      <c r="D178" s="10" t="s">
        <v>19</v>
      </c>
      <c r="E178" s="10" t="s">
        <v>27</v>
      </c>
      <c r="F178" s="10" t="str">
        <f>"2170647679 "</f>
        <v xml:space="preserve">2170647679 </v>
      </c>
      <c r="G178" s="10" t="str">
        <f t="shared" si="5"/>
        <v>ON1</v>
      </c>
      <c r="H178" s="10" t="s">
        <v>21</v>
      </c>
      <c r="I178" s="10" t="s">
        <v>28</v>
      </c>
      <c r="J178" s="10" t="str">
        <f>""</f>
        <v/>
      </c>
      <c r="K178" s="10" t="str">
        <f>"PFES1162645168_0001"</f>
        <v>PFES1162645168_0001</v>
      </c>
      <c r="L178" s="10">
        <v>1</v>
      </c>
      <c r="M178" s="10">
        <v>1</v>
      </c>
    </row>
    <row r="179" spans="1:13">
      <c r="A179" s="8">
        <v>43347</v>
      </c>
      <c r="B179" s="9">
        <v>0.61805555555555558</v>
      </c>
      <c r="C179" s="10" t="str">
        <f>"FES1162645177"</f>
        <v>FES1162645177</v>
      </c>
      <c r="D179" s="10" t="s">
        <v>19</v>
      </c>
      <c r="E179" s="10" t="s">
        <v>27</v>
      </c>
      <c r="F179" s="10" t="str">
        <f>"2170650034 "</f>
        <v xml:space="preserve">2170650034 </v>
      </c>
      <c r="G179" s="10" t="str">
        <f t="shared" si="5"/>
        <v>ON1</v>
      </c>
      <c r="H179" s="10" t="s">
        <v>21</v>
      </c>
      <c r="I179" s="10" t="s">
        <v>28</v>
      </c>
      <c r="J179" s="10" t="str">
        <f>""</f>
        <v/>
      </c>
      <c r="K179" s="10" t="str">
        <f>"PFES1162645177_0001"</f>
        <v>PFES1162645177_0001</v>
      </c>
      <c r="L179" s="10">
        <v>1</v>
      </c>
      <c r="M179" s="10">
        <v>1</v>
      </c>
    </row>
    <row r="180" spans="1:13">
      <c r="A180" s="8">
        <v>43347</v>
      </c>
      <c r="B180" s="9">
        <v>0.61805555555555558</v>
      </c>
      <c r="C180" s="10" t="str">
        <f>"FES1162645246"</f>
        <v>FES1162645246</v>
      </c>
      <c r="D180" s="10" t="s">
        <v>19</v>
      </c>
      <c r="E180" s="10" t="s">
        <v>230</v>
      </c>
      <c r="F180" s="10" t="str">
        <f>"2170650043 "</f>
        <v xml:space="preserve">2170650043 </v>
      </c>
      <c r="G180" s="10" t="str">
        <f t="shared" si="5"/>
        <v>ON1</v>
      </c>
      <c r="H180" s="10" t="s">
        <v>21</v>
      </c>
      <c r="I180" s="10" t="s">
        <v>231</v>
      </c>
      <c r="J180" s="10" t="str">
        <f>""</f>
        <v/>
      </c>
      <c r="K180" s="10" t="str">
        <f>"PFES1162645246_0001"</f>
        <v>PFES1162645246_0001</v>
      </c>
      <c r="L180" s="10">
        <v>1</v>
      </c>
      <c r="M180" s="10">
        <v>1</v>
      </c>
    </row>
    <row r="181" spans="1:13">
      <c r="A181" s="8">
        <v>43347</v>
      </c>
      <c r="B181" s="9">
        <v>0.61805555555555558</v>
      </c>
      <c r="C181" s="10" t="str">
        <f>"FES1162645169"</f>
        <v>FES1162645169</v>
      </c>
      <c r="D181" s="10" t="s">
        <v>19</v>
      </c>
      <c r="E181" s="10" t="s">
        <v>232</v>
      </c>
      <c r="F181" s="10" t="str">
        <f>"2170650012 "</f>
        <v xml:space="preserve">2170650012 </v>
      </c>
      <c r="G181" s="10" t="str">
        <f t="shared" si="5"/>
        <v>ON1</v>
      </c>
      <c r="H181" s="10" t="s">
        <v>21</v>
      </c>
      <c r="I181" s="10" t="s">
        <v>233</v>
      </c>
      <c r="J181" s="10" t="str">
        <f>""</f>
        <v/>
      </c>
      <c r="K181" s="10" t="str">
        <f>"PFES1162645169_0001"</f>
        <v>PFES1162645169_0001</v>
      </c>
      <c r="L181" s="10">
        <v>1</v>
      </c>
      <c r="M181" s="10">
        <v>3</v>
      </c>
    </row>
    <row r="182" spans="1:13">
      <c r="A182" s="8">
        <v>43347</v>
      </c>
      <c r="B182" s="9">
        <v>0.61736111111111114</v>
      </c>
      <c r="C182" s="10" t="str">
        <f>"FES1162645148"</f>
        <v>FES1162645148</v>
      </c>
      <c r="D182" s="10" t="s">
        <v>19</v>
      </c>
      <c r="E182" s="10" t="s">
        <v>141</v>
      </c>
      <c r="F182" s="10" t="str">
        <f>"2170649662 "</f>
        <v xml:space="preserve">2170649662 </v>
      </c>
      <c r="G182" s="10" t="str">
        <f t="shared" si="5"/>
        <v>ON1</v>
      </c>
      <c r="H182" s="10" t="s">
        <v>21</v>
      </c>
      <c r="I182" s="10" t="s">
        <v>91</v>
      </c>
      <c r="J182" s="10" t="str">
        <f>""</f>
        <v/>
      </c>
      <c r="K182" s="10" t="str">
        <f>"PFES1162645148_0001"</f>
        <v>PFES1162645148_0001</v>
      </c>
      <c r="L182" s="10">
        <v>1</v>
      </c>
      <c r="M182" s="10">
        <v>1</v>
      </c>
    </row>
    <row r="183" spans="1:13">
      <c r="A183" s="8">
        <v>43347</v>
      </c>
      <c r="B183" s="9">
        <v>0.61736111111111114</v>
      </c>
      <c r="C183" s="10" t="str">
        <f>"FES1162645194"</f>
        <v>FES1162645194</v>
      </c>
      <c r="D183" s="10" t="s">
        <v>19</v>
      </c>
      <c r="E183" s="10" t="s">
        <v>58</v>
      </c>
      <c r="F183" s="10" t="str">
        <f>"2170650028 "</f>
        <v xml:space="preserve">2170650028 </v>
      </c>
      <c r="G183" s="10" t="str">
        <f t="shared" si="5"/>
        <v>ON1</v>
      </c>
      <c r="H183" s="10" t="s">
        <v>21</v>
      </c>
      <c r="I183" s="10" t="s">
        <v>30</v>
      </c>
      <c r="J183" s="10" t="str">
        <f>""</f>
        <v/>
      </c>
      <c r="K183" s="10" t="str">
        <f>"PFES1162645194_0001"</f>
        <v>PFES1162645194_0001</v>
      </c>
      <c r="L183" s="10">
        <v>1</v>
      </c>
      <c r="M183" s="10">
        <v>3</v>
      </c>
    </row>
    <row r="184" spans="1:13">
      <c r="A184" s="8">
        <v>43347</v>
      </c>
      <c r="B184" s="9">
        <v>0.6166666666666667</v>
      </c>
      <c r="C184" s="10" t="str">
        <f>"FES1162645187"</f>
        <v>FES1162645187</v>
      </c>
      <c r="D184" s="10" t="s">
        <v>19</v>
      </c>
      <c r="E184" s="10" t="s">
        <v>234</v>
      </c>
      <c r="F184" s="10" t="str">
        <f>"2170650047 "</f>
        <v xml:space="preserve">2170650047 </v>
      </c>
      <c r="G184" s="10" t="str">
        <f t="shared" si="5"/>
        <v>ON1</v>
      </c>
      <c r="H184" s="10" t="s">
        <v>21</v>
      </c>
      <c r="I184" s="10" t="s">
        <v>235</v>
      </c>
      <c r="J184" s="10" t="str">
        <f>""</f>
        <v/>
      </c>
      <c r="K184" s="10" t="str">
        <f>"PFES1162645187_0001"</f>
        <v>PFES1162645187_0001</v>
      </c>
      <c r="L184" s="10">
        <v>1</v>
      </c>
      <c r="M184" s="10">
        <v>2</v>
      </c>
    </row>
    <row r="185" spans="1:13">
      <c r="A185" s="8">
        <v>43347</v>
      </c>
      <c r="B185" s="9">
        <v>0.6166666666666667</v>
      </c>
      <c r="C185" s="10" t="str">
        <f>"FES1162645158"</f>
        <v>FES1162645158</v>
      </c>
      <c r="D185" s="10" t="s">
        <v>19</v>
      </c>
      <c r="E185" s="10" t="s">
        <v>141</v>
      </c>
      <c r="F185" s="10" t="str">
        <f>"2170650010 "</f>
        <v xml:space="preserve">2170650010 </v>
      </c>
      <c r="G185" s="10" t="str">
        <f t="shared" si="5"/>
        <v>ON1</v>
      </c>
      <c r="H185" s="10" t="s">
        <v>21</v>
      </c>
      <c r="I185" s="10" t="s">
        <v>91</v>
      </c>
      <c r="J185" s="10" t="str">
        <f>""</f>
        <v/>
      </c>
      <c r="K185" s="10" t="str">
        <f>"PFES1162645158_0001"</f>
        <v>PFES1162645158_0001</v>
      </c>
      <c r="L185" s="10">
        <v>1</v>
      </c>
      <c r="M185" s="10">
        <v>2</v>
      </c>
    </row>
    <row r="186" spans="1:13">
      <c r="A186" s="8">
        <v>43347</v>
      </c>
      <c r="B186" s="9">
        <v>0.61458333333333337</v>
      </c>
      <c r="C186" s="10" t="str">
        <f>"FES1162644983"</f>
        <v>FES1162644983</v>
      </c>
      <c r="D186" s="10" t="s">
        <v>19</v>
      </c>
      <c r="E186" s="10" t="s">
        <v>27</v>
      </c>
      <c r="F186" s="10" t="str">
        <f>"2170648049 "</f>
        <v xml:space="preserve">2170648049 </v>
      </c>
      <c r="G186" s="10" t="str">
        <f t="shared" si="5"/>
        <v>ON1</v>
      </c>
      <c r="H186" s="10" t="s">
        <v>21</v>
      </c>
      <c r="I186" s="10" t="s">
        <v>28</v>
      </c>
      <c r="J186" s="10" t="str">
        <f>""</f>
        <v/>
      </c>
      <c r="K186" s="10" t="str">
        <f>"PFES1162644983_0001"</f>
        <v>PFES1162644983_0001</v>
      </c>
      <c r="L186" s="10">
        <v>1</v>
      </c>
      <c r="M186" s="10">
        <v>2</v>
      </c>
    </row>
    <row r="187" spans="1:13">
      <c r="A187" s="8">
        <v>43347</v>
      </c>
      <c r="B187" s="9">
        <v>0.61388888888888882</v>
      </c>
      <c r="C187" s="10" t="str">
        <f>"FES1162645144"</f>
        <v>FES1162645144</v>
      </c>
      <c r="D187" s="10" t="s">
        <v>19</v>
      </c>
      <c r="E187" s="10" t="s">
        <v>224</v>
      </c>
      <c r="F187" s="10" t="str">
        <f>"2170649998 "</f>
        <v xml:space="preserve">2170649998 </v>
      </c>
      <c r="G187" s="10" t="str">
        <f t="shared" si="5"/>
        <v>ON1</v>
      </c>
      <c r="H187" s="10" t="s">
        <v>21</v>
      </c>
      <c r="I187" s="10" t="s">
        <v>225</v>
      </c>
      <c r="J187" s="10" t="str">
        <f>""</f>
        <v/>
      </c>
      <c r="K187" s="10" t="str">
        <f>"PFES1162645144_0001"</f>
        <v>PFES1162645144_0001</v>
      </c>
      <c r="L187" s="10">
        <v>1</v>
      </c>
      <c r="M187" s="10">
        <v>4</v>
      </c>
    </row>
    <row r="188" spans="1:13">
      <c r="A188" s="8">
        <v>43347</v>
      </c>
      <c r="B188" s="9">
        <v>0.61249999999999993</v>
      </c>
      <c r="C188" s="10" t="str">
        <f>"FES1162645149"</f>
        <v>FES1162645149</v>
      </c>
      <c r="D188" s="10" t="s">
        <v>19</v>
      </c>
      <c r="E188" s="10" t="s">
        <v>69</v>
      </c>
      <c r="F188" s="10" t="str">
        <f>"2170649773 "</f>
        <v xml:space="preserve">2170649773 </v>
      </c>
      <c r="G188" s="10" t="str">
        <f t="shared" si="5"/>
        <v>ON1</v>
      </c>
      <c r="H188" s="10" t="s">
        <v>21</v>
      </c>
      <c r="I188" s="10" t="s">
        <v>68</v>
      </c>
      <c r="J188" s="10" t="str">
        <f>""</f>
        <v/>
      </c>
      <c r="K188" s="10" t="str">
        <f>"PFES1162645149_0001"</f>
        <v>PFES1162645149_0001</v>
      </c>
      <c r="L188" s="10">
        <v>1</v>
      </c>
      <c r="M188" s="10">
        <v>5</v>
      </c>
    </row>
    <row r="189" spans="1:13">
      <c r="A189" s="8">
        <v>43347</v>
      </c>
      <c r="B189" s="9">
        <v>0.6118055555555556</v>
      </c>
      <c r="C189" s="10" t="str">
        <f>"FES1162645239"</f>
        <v>FES1162645239</v>
      </c>
      <c r="D189" s="10" t="s">
        <v>19</v>
      </c>
      <c r="E189" s="10" t="s">
        <v>212</v>
      </c>
      <c r="F189" s="10" t="str">
        <f>"2170650113 "</f>
        <v xml:space="preserve">2170650113 </v>
      </c>
      <c r="G189" s="10" t="str">
        <f t="shared" si="5"/>
        <v>ON1</v>
      </c>
      <c r="H189" s="10" t="s">
        <v>21</v>
      </c>
      <c r="I189" s="10" t="s">
        <v>211</v>
      </c>
      <c r="J189" s="10" t="str">
        <f>""</f>
        <v/>
      </c>
      <c r="K189" s="10" t="str">
        <f>"PFES1162645239_0001"</f>
        <v>PFES1162645239_0001</v>
      </c>
      <c r="L189" s="10">
        <v>1</v>
      </c>
      <c r="M189" s="10">
        <v>10</v>
      </c>
    </row>
    <row r="190" spans="1:13">
      <c r="A190" s="8">
        <v>43347</v>
      </c>
      <c r="B190" s="9">
        <v>0.61111111111111105</v>
      </c>
      <c r="C190" s="10" t="str">
        <f>"FES1162644994"</f>
        <v>FES1162644994</v>
      </c>
      <c r="D190" s="10" t="s">
        <v>19</v>
      </c>
      <c r="E190" s="10" t="s">
        <v>232</v>
      </c>
      <c r="F190" s="10" t="str">
        <f>"2170642699 "</f>
        <v xml:space="preserve">2170642699 </v>
      </c>
      <c r="G190" s="10" t="str">
        <f t="shared" si="5"/>
        <v>ON1</v>
      </c>
      <c r="H190" s="10" t="s">
        <v>21</v>
      </c>
      <c r="I190" s="10" t="s">
        <v>233</v>
      </c>
      <c r="J190" s="10" t="str">
        <f>""</f>
        <v/>
      </c>
      <c r="K190" s="10" t="str">
        <f>"PFES1162644994_0001"</f>
        <v>PFES1162644994_0001</v>
      </c>
      <c r="L190" s="10">
        <v>1</v>
      </c>
      <c r="M190" s="10">
        <v>12</v>
      </c>
    </row>
    <row r="191" spans="1:13">
      <c r="A191" s="8">
        <v>43347</v>
      </c>
      <c r="B191" s="9">
        <v>0.61041666666666672</v>
      </c>
      <c r="C191" s="10" t="str">
        <f>"FES1162645186"</f>
        <v>FES1162645186</v>
      </c>
      <c r="D191" s="10" t="s">
        <v>19</v>
      </c>
      <c r="E191" s="10" t="s">
        <v>37</v>
      </c>
      <c r="F191" s="10" t="str">
        <f>"2170650046 "</f>
        <v xml:space="preserve">2170650046 </v>
      </c>
      <c r="G191" s="10" t="str">
        <f t="shared" si="5"/>
        <v>ON1</v>
      </c>
      <c r="H191" s="10" t="s">
        <v>21</v>
      </c>
      <c r="I191" s="10" t="s">
        <v>26</v>
      </c>
      <c r="J191" s="10" t="str">
        <f>""</f>
        <v/>
      </c>
      <c r="K191" s="10" t="str">
        <f>"PFES1162645186_0001"</f>
        <v>PFES1162645186_0001</v>
      </c>
      <c r="L191" s="10">
        <v>1</v>
      </c>
      <c r="M191" s="10">
        <v>3</v>
      </c>
    </row>
    <row r="192" spans="1:13">
      <c r="A192" s="8">
        <v>43347</v>
      </c>
      <c r="B192" s="9">
        <v>0.60902777777777783</v>
      </c>
      <c r="C192" s="10" t="str">
        <f>"FES1162645052"</f>
        <v>FES1162645052</v>
      </c>
      <c r="D192" s="10" t="s">
        <v>19</v>
      </c>
      <c r="E192" s="10" t="s">
        <v>236</v>
      </c>
      <c r="F192" s="10" t="str">
        <f>"2170649173 "</f>
        <v xml:space="preserve">2170649173 </v>
      </c>
      <c r="G192" s="10" t="str">
        <f t="shared" si="5"/>
        <v>ON1</v>
      </c>
      <c r="H192" s="10" t="s">
        <v>21</v>
      </c>
      <c r="I192" s="10" t="s">
        <v>30</v>
      </c>
      <c r="J192" s="10" t="str">
        <f>""</f>
        <v/>
      </c>
      <c r="K192" s="10" t="str">
        <f>"PFES1162645052_0001"</f>
        <v>PFES1162645052_0001</v>
      </c>
      <c r="L192" s="10">
        <v>1</v>
      </c>
      <c r="M192" s="10">
        <v>2</v>
      </c>
    </row>
    <row r="193" spans="1:13">
      <c r="A193" s="8">
        <v>43347</v>
      </c>
      <c r="B193" s="9">
        <v>0.60833333333333328</v>
      </c>
      <c r="C193" s="10" t="str">
        <f>"FES1162645197"</f>
        <v>FES1162645197</v>
      </c>
      <c r="D193" s="10" t="s">
        <v>19</v>
      </c>
      <c r="E193" s="10" t="s">
        <v>237</v>
      </c>
      <c r="F193" s="10" t="str">
        <f>"2170650060 "</f>
        <v xml:space="preserve">2170650060 </v>
      </c>
      <c r="G193" s="10" t="str">
        <f t="shared" si="5"/>
        <v>ON1</v>
      </c>
      <c r="H193" s="10" t="s">
        <v>21</v>
      </c>
      <c r="I193" s="10" t="s">
        <v>238</v>
      </c>
      <c r="J193" s="10" t="str">
        <f>""</f>
        <v/>
      </c>
      <c r="K193" s="10" t="str">
        <f>"PFES1162645197_0001"</f>
        <v>PFES1162645197_0001</v>
      </c>
      <c r="L193" s="10">
        <v>1</v>
      </c>
      <c r="M193" s="10">
        <v>3</v>
      </c>
    </row>
    <row r="194" spans="1:13">
      <c r="A194" s="8">
        <v>43347</v>
      </c>
      <c r="B194" s="9">
        <v>0.6069444444444444</v>
      </c>
      <c r="C194" s="10" t="str">
        <f>"FES1162645185"</f>
        <v>FES1162645185</v>
      </c>
      <c r="D194" s="10" t="s">
        <v>19</v>
      </c>
      <c r="E194" s="10" t="s">
        <v>239</v>
      </c>
      <c r="F194" s="10" t="str">
        <f>"2170650045 "</f>
        <v xml:space="preserve">2170650045 </v>
      </c>
      <c r="G194" s="10" t="str">
        <f t="shared" si="5"/>
        <v>ON1</v>
      </c>
      <c r="H194" s="10" t="s">
        <v>21</v>
      </c>
      <c r="I194" s="10" t="s">
        <v>76</v>
      </c>
      <c r="J194" s="10" t="str">
        <f>""</f>
        <v/>
      </c>
      <c r="K194" s="10" t="str">
        <f>"PFES1162645185_0001"</f>
        <v>PFES1162645185_0001</v>
      </c>
      <c r="L194" s="10">
        <v>1</v>
      </c>
      <c r="M194" s="10">
        <v>2</v>
      </c>
    </row>
    <row r="195" spans="1:13">
      <c r="A195" s="8">
        <v>43347</v>
      </c>
      <c r="B195" s="9">
        <v>0.6069444444444444</v>
      </c>
      <c r="C195" s="10" t="str">
        <f>"FES1162645188"</f>
        <v>FES1162645188</v>
      </c>
      <c r="D195" s="10" t="s">
        <v>19</v>
      </c>
      <c r="E195" s="10" t="s">
        <v>38</v>
      </c>
      <c r="F195" s="10" t="str">
        <f>"2170650048 "</f>
        <v xml:space="preserve">2170650048 </v>
      </c>
      <c r="G195" s="10" t="str">
        <f t="shared" si="5"/>
        <v>ON1</v>
      </c>
      <c r="H195" s="10" t="s">
        <v>21</v>
      </c>
      <c r="I195" s="10" t="s">
        <v>26</v>
      </c>
      <c r="J195" s="10" t="str">
        <f>""</f>
        <v/>
      </c>
      <c r="K195" s="10" t="str">
        <f>"PFES1162645188_0001"</f>
        <v>PFES1162645188_0001</v>
      </c>
      <c r="L195" s="10">
        <v>1</v>
      </c>
      <c r="M195" s="10">
        <v>1</v>
      </c>
    </row>
    <row r="196" spans="1:13">
      <c r="A196" s="8">
        <v>43347</v>
      </c>
      <c r="B196" s="9">
        <v>0.60625000000000007</v>
      </c>
      <c r="C196" s="10" t="str">
        <f>"FES1162645212"</f>
        <v>FES1162645212</v>
      </c>
      <c r="D196" s="10" t="s">
        <v>19</v>
      </c>
      <c r="E196" s="10" t="s">
        <v>240</v>
      </c>
      <c r="F196" s="10" t="str">
        <f>"2170648630 "</f>
        <v xml:space="preserve">2170648630 </v>
      </c>
      <c r="G196" s="10" t="str">
        <f t="shared" si="5"/>
        <v>ON1</v>
      </c>
      <c r="H196" s="10" t="s">
        <v>21</v>
      </c>
      <c r="I196" s="10" t="s">
        <v>135</v>
      </c>
      <c r="J196" s="10" t="str">
        <f>""</f>
        <v/>
      </c>
      <c r="K196" s="10" t="str">
        <f>"PFES1162645212_0001"</f>
        <v>PFES1162645212_0001</v>
      </c>
      <c r="L196" s="10">
        <v>1</v>
      </c>
      <c r="M196" s="10">
        <v>1</v>
      </c>
    </row>
    <row r="197" spans="1:13">
      <c r="A197" s="8">
        <v>43347</v>
      </c>
      <c r="B197" s="9">
        <v>0.60625000000000007</v>
      </c>
      <c r="C197" s="10" t="str">
        <f>"FES1162645182"</f>
        <v>FES1162645182</v>
      </c>
      <c r="D197" s="10" t="s">
        <v>19</v>
      </c>
      <c r="E197" s="10" t="s">
        <v>241</v>
      </c>
      <c r="F197" s="10" t="str">
        <f>"2170650040 "</f>
        <v xml:space="preserve">2170650040 </v>
      </c>
      <c r="G197" s="10" t="str">
        <f t="shared" si="5"/>
        <v>ON1</v>
      </c>
      <c r="H197" s="10" t="s">
        <v>21</v>
      </c>
      <c r="I197" s="10" t="s">
        <v>242</v>
      </c>
      <c r="J197" s="10" t="str">
        <f>""</f>
        <v/>
      </c>
      <c r="K197" s="10" t="str">
        <f>"PFES1162645182_0001"</f>
        <v>PFES1162645182_0001</v>
      </c>
      <c r="L197" s="10">
        <v>1</v>
      </c>
      <c r="M197" s="10">
        <v>1</v>
      </c>
    </row>
    <row r="198" spans="1:13">
      <c r="A198" s="8">
        <v>43347</v>
      </c>
      <c r="B198" s="9">
        <v>0.60625000000000007</v>
      </c>
      <c r="C198" s="10" t="str">
        <f>"FES1162645208"</f>
        <v>FES1162645208</v>
      </c>
      <c r="D198" s="10" t="s">
        <v>19</v>
      </c>
      <c r="E198" s="10" t="s">
        <v>183</v>
      </c>
      <c r="F198" s="10" t="str">
        <f>"2170650073 "</f>
        <v xml:space="preserve">2170650073 </v>
      </c>
      <c r="G198" s="10" t="str">
        <f t="shared" si="5"/>
        <v>ON1</v>
      </c>
      <c r="H198" s="10" t="s">
        <v>21</v>
      </c>
      <c r="I198" s="10" t="s">
        <v>128</v>
      </c>
      <c r="J198" s="10" t="str">
        <f>""</f>
        <v/>
      </c>
      <c r="K198" s="10" t="str">
        <f>"PFES1162645208_0001"</f>
        <v>PFES1162645208_0001</v>
      </c>
      <c r="L198" s="10">
        <v>1</v>
      </c>
      <c r="M198" s="10">
        <v>4</v>
      </c>
    </row>
    <row r="199" spans="1:13">
      <c r="A199" s="8">
        <v>43347</v>
      </c>
      <c r="B199" s="9">
        <v>0.60555555555555551</v>
      </c>
      <c r="C199" s="10" t="str">
        <f>"FES1162645165"</f>
        <v>FES1162645165</v>
      </c>
      <c r="D199" s="10" t="s">
        <v>19</v>
      </c>
      <c r="E199" s="10" t="s">
        <v>243</v>
      </c>
      <c r="F199" s="10" t="str">
        <f>"2170650019 "</f>
        <v xml:space="preserve">2170650019 </v>
      </c>
      <c r="G199" s="10" t="str">
        <f t="shared" si="5"/>
        <v>ON1</v>
      </c>
      <c r="H199" s="10" t="s">
        <v>21</v>
      </c>
      <c r="I199" s="10" t="s">
        <v>102</v>
      </c>
      <c r="J199" s="10" t="str">
        <f>""</f>
        <v/>
      </c>
      <c r="K199" s="10" t="str">
        <f>"PFES1162645165_0001"</f>
        <v>PFES1162645165_0001</v>
      </c>
      <c r="L199" s="10">
        <v>1</v>
      </c>
      <c r="M199" s="10">
        <v>1</v>
      </c>
    </row>
    <row r="200" spans="1:13">
      <c r="A200" s="8">
        <v>43347</v>
      </c>
      <c r="B200" s="9">
        <v>0.60555555555555551</v>
      </c>
      <c r="C200" s="10" t="str">
        <f>"FES1162645200"</f>
        <v>FES1162645200</v>
      </c>
      <c r="D200" s="10" t="s">
        <v>19</v>
      </c>
      <c r="E200" s="10" t="s">
        <v>244</v>
      </c>
      <c r="F200" s="10" t="str">
        <f>"2170649997 "</f>
        <v xml:space="preserve">2170649997 </v>
      </c>
      <c r="G200" s="10" t="str">
        <f t="shared" si="5"/>
        <v>ON1</v>
      </c>
      <c r="H200" s="10" t="s">
        <v>21</v>
      </c>
      <c r="I200" s="10" t="s">
        <v>145</v>
      </c>
      <c r="J200" s="10" t="str">
        <f>""</f>
        <v/>
      </c>
      <c r="K200" s="10" t="str">
        <f>"PFES1162645200_0001"</f>
        <v>PFES1162645200_0001</v>
      </c>
      <c r="L200" s="10">
        <v>1</v>
      </c>
      <c r="M200" s="10">
        <v>1</v>
      </c>
    </row>
    <row r="201" spans="1:13">
      <c r="A201" s="8">
        <v>43347</v>
      </c>
      <c r="B201" s="9">
        <v>0.60486111111111118</v>
      </c>
      <c r="C201" s="10" t="str">
        <f>"FES1162645207"</f>
        <v>FES1162645207</v>
      </c>
      <c r="D201" s="10" t="s">
        <v>19</v>
      </c>
      <c r="E201" s="10" t="s">
        <v>144</v>
      </c>
      <c r="F201" s="10" t="str">
        <f>"2170650072 "</f>
        <v xml:space="preserve">2170650072 </v>
      </c>
      <c r="G201" s="10" t="str">
        <f t="shared" si="5"/>
        <v>ON1</v>
      </c>
      <c r="H201" s="10" t="s">
        <v>21</v>
      </c>
      <c r="I201" s="10" t="s">
        <v>145</v>
      </c>
      <c r="J201" s="10" t="str">
        <f>""</f>
        <v/>
      </c>
      <c r="K201" s="10" t="str">
        <f>"PFES1162645207_0001"</f>
        <v>PFES1162645207_0001</v>
      </c>
      <c r="L201" s="10">
        <v>1</v>
      </c>
      <c r="M201" s="10">
        <v>1</v>
      </c>
    </row>
    <row r="202" spans="1:13">
      <c r="A202" s="8">
        <v>43347</v>
      </c>
      <c r="B202" s="9">
        <v>0.60486111111111118</v>
      </c>
      <c r="C202" s="10" t="str">
        <f>"FES1162645164"</f>
        <v>FES1162645164</v>
      </c>
      <c r="D202" s="10" t="s">
        <v>19</v>
      </c>
      <c r="E202" s="10" t="s">
        <v>38</v>
      </c>
      <c r="F202" s="10" t="str">
        <f>"2170650018 "</f>
        <v xml:space="preserve">2170650018 </v>
      </c>
      <c r="G202" s="10" t="str">
        <f t="shared" si="5"/>
        <v>ON1</v>
      </c>
      <c r="H202" s="10" t="s">
        <v>21</v>
      </c>
      <c r="I202" s="10" t="s">
        <v>26</v>
      </c>
      <c r="J202" s="10" t="str">
        <f>""</f>
        <v/>
      </c>
      <c r="K202" s="10" t="str">
        <f>"PFES1162645164_0001"</f>
        <v>PFES1162645164_0001</v>
      </c>
      <c r="L202" s="10">
        <v>1</v>
      </c>
      <c r="M202" s="10">
        <v>1</v>
      </c>
    </row>
    <row r="203" spans="1:13">
      <c r="A203" s="8">
        <v>43347</v>
      </c>
      <c r="B203" s="9">
        <v>0.60486111111111118</v>
      </c>
      <c r="C203" s="10" t="str">
        <f>"FES1162645223"</f>
        <v>FES1162645223</v>
      </c>
      <c r="D203" s="10" t="s">
        <v>19</v>
      </c>
      <c r="E203" s="10" t="s">
        <v>90</v>
      </c>
      <c r="F203" s="10" t="str">
        <f>"2170650093 "</f>
        <v xml:space="preserve">2170650093 </v>
      </c>
      <c r="G203" s="10" t="str">
        <f t="shared" si="5"/>
        <v>ON1</v>
      </c>
      <c r="H203" s="10" t="s">
        <v>21</v>
      </c>
      <c r="I203" s="10" t="s">
        <v>91</v>
      </c>
      <c r="J203" s="10" t="str">
        <f>""</f>
        <v/>
      </c>
      <c r="K203" s="10" t="str">
        <f>"PFES1162645223_0001"</f>
        <v>PFES1162645223_0001</v>
      </c>
      <c r="L203" s="10">
        <v>1</v>
      </c>
      <c r="M203" s="10">
        <v>1</v>
      </c>
    </row>
    <row r="204" spans="1:13">
      <c r="A204" s="8">
        <v>43347</v>
      </c>
      <c r="B204" s="9">
        <v>0.60416666666666663</v>
      </c>
      <c r="C204" s="10" t="str">
        <f>"FES1162645176"</f>
        <v>FES1162645176</v>
      </c>
      <c r="D204" s="10" t="s">
        <v>19</v>
      </c>
      <c r="E204" s="10" t="s">
        <v>224</v>
      </c>
      <c r="F204" s="10" t="str">
        <f>"2170650030 "</f>
        <v xml:space="preserve">2170650030 </v>
      </c>
      <c r="G204" s="10" t="str">
        <f t="shared" si="5"/>
        <v>ON1</v>
      </c>
      <c r="H204" s="10" t="s">
        <v>21</v>
      </c>
      <c r="I204" s="10" t="s">
        <v>159</v>
      </c>
      <c r="J204" s="10" t="str">
        <f>""</f>
        <v/>
      </c>
      <c r="K204" s="10" t="str">
        <f>"PFES1162645176_0001"</f>
        <v>PFES1162645176_0001</v>
      </c>
      <c r="L204" s="10">
        <v>1</v>
      </c>
      <c r="M204" s="10">
        <v>1</v>
      </c>
    </row>
    <row r="205" spans="1:13">
      <c r="A205" s="8">
        <v>43347</v>
      </c>
      <c r="B205" s="9">
        <v>0.60416666666666663</v>
      </c>
      <c r="C205" s="10" t="str">
        <f>"FES1162645163"</f>
        <v>FES1162645163</v>
      </c>
      <c r="D205" s="10" t="s">
        <v>19</v>
      </c>
      <c r="E205" s="10" t="s">
        <v>98</v>
      </c>
      <c r="F205" s="10" t="str">
        <f>"2170650017 "</f>
        <v xml:space="preserve">2170650017 </v>
      </c>
      <c r="G205" s="10" t="str">
        <f t="shared" si="5"/>
        <v>ON1</v>
      </c>
      <c r="H205" s="10" t="s">
        <v>21</v>
      </c>
      <c r="I205" s="10" t="s">
        <v>74</v>
      </c>
      <c r="J205" s="10" t="str">
        <f>""</f>
        <v/>
      </c>
      <c r="K205" s="10" t="str">
        <f>"PFES1162645163_0001"</f>
        <v>PFES1162645163_0001</v>
      </c>
      <c r="L205" s="10">
        <v>1</v>
      </c>
      <c r="M205" s="10">
        <v>1</v>
      </c>
    </row>
    <row r="206" spans="1:13">
      <c r="A206" s="8">
        <v>43347</v>
      </c>
      <c r="B206" s="9">
        <v>0.60416666666666663</v>
      </c>
      <c r="C206" s="10" t="str">
        <f>"FES1162645199"</f>
        <v>FES1162645199</v>
      </c>
      <c r="D206" s="10" t="s">
        <v>19</v>
      </c>
      <c r="E206" s="10" t="s">
        <v>245</v>
      </c>
      <c r="F206" s="10" t="str">
        <f>"217050064 "</f>
        <v xml:space="preserve">217050064 </v>
      </c>
      <c r="G206" s="10" t="str">
        <f t="shared" si="5"/>
        <v>ON1</v>
      </c>
      <c r="H206" s="10" t="s">
        <v>21</v>
      </c>
      <c r="I206" s="10" t="s">
        <v>246</v>
      </c>
      <c r="J206" s="10" t="str">
        <f>""</f>
        <v/>
      </c>
      <c r="K206" s="10" t="str">
        <f>"PFES1162645199_0001"</f>
        <v>PFES1162645199_0001</v>
      </c>
      <c r="L206" s="10">
        <v>1</v>
      </c>
      <c r="M206" s="10">
        <v>1</v>
      </c>
    </row>
    <row r="207" spans="1:13">
      <c r="A207" s="8">
        <v>43347</v>
      </c>
      <c r="B207" s="9">
        <v>0.60347222222222219</v>
      </c>
      <c r="C207" s="10" t="str">
        <f>"FES1162645175"</f>
        <v>FES1162645175</v>
      </c>
      <c r="D207" s="10" t="s">
        <v>19</v>
      </c>
      <c r="E207" s="10" t="s">
        <v>162</v>
      </c>
      <c r="F207" s="10" t="str">
        <f>"217050027 "</f>
        <v xml:space="preserve">217050027 </v>
      </c>
      <c r="G207" s="10" t="str">
        <f t="shared" si="5"/>
        <v>ON1</v>
      </c>
      <c r="H207" s="10" t="s">
        <v>21</v>
      </c>
      <c r="I207" s="10" t="s">
        <v>30</v>
      </c>
      <c r="J207" s="10" t="str">
        <f>""</f>
        <v/>
      </c>
      <c r="K207" s="10" t="str">
        <f>"PFES1162645175_0001"</f>
        <v>PFES1162645175_0001</v>
      </c>
      <c r="L207" s="10">
        <v>1</v>
      </c>
      <c r="M207" s="10">
        <v>1</v>
      </c>
    </row>
    <row r="208" spans="1:13">
      <c r="A208" s="8">
        <v>43347</v>
      </c>
      <c r="B208" s="9">
        <v>0.60347222222222219</v>
      </c>
      <c r="C208" s="10" t="str">
        <f>"FES1162645214"</f>
        <v>FES1162645214</v>
      </c>
      <c r="D208" s="10" t="s">
        <v>19</v>
      </c>
      <c r="E208" s="10" t="s">
        <v>247</v>
      </c>
      <c r="F208" s="10" t="str">
        <f>"21706500079 "</f>
        <v xml:space="preserve">21706500079 </v>
      </c>
      <c r="G208" s="10" t="str">
        <f t="shared" si="5"/>
        <v>ON1</v>
      </c>
      <c r="H208" s="10" t="s">
        <v>21</v>
      </c>
      <c r="I208" s="10" t="s">
        <v>248</v>
      </c>
      <c r="J208" s="10" t="str">
        <f>""</f>
        <v/>
      </c>
      <c r="K208" s="10" t="str">
        <f>"PFES1162645214_0001"</f>
        <v>PFES1162645214_0001</v>
      </c>
      <c r="L208" s="10">
        <v>1</v>
      </c>
      <c r="M208" s="10">
        <v>1</v>
      </c>
    </row>
    <row r="209" spans="1:13">
      <c r="A209" s="8">
        <v>43347</v>
      </c>
      <c r="B209" s="9">
        <v>0.57916666666666672</v>
      </c>
      <c r="C209" s="10" t="str">
        <f>"FES1162644989"</f>
        <v>FES1162644989</v>
      </c>
      <c r="D209" s="10" t="s">
        <v>19</v>
      </c>
      <c r="E209" s="10" t="s">
        <v>249</v>
      </c>
      <c r="F209" s="10" t="str">
        <f>"217056215 "</f>
        <v xml:space="preserve">217056215 </v>
      </c>
      <c r="G209" s="10" t="str">
        <f t="shared" si="5"/>
        <v>ON1</v>
      </c>
      <c r="H209" s="10" t="s">
        <v>21</v>
      </c>
      <c r="I209" s="10" t="s">
        <v>250</v>
      </c>
      <c r="J209" s="10" t="str">
        <f>""</f>
        <v/>
      </c>
      <c r="K209" s="10" t="str">
        <f>"PFES1162644989_0001"</f>
        <v>PFES1162644989_0001</v>
      </c>
      <c r="L209" s="10">
        <v>1</v>
      </c>
      <c r="M209" s="10">
        <v>1</v>
      </c>
    </row>
    <row r="210" spans="1:13">
      <c r="A210" s="8">
        <v>43347</v>
      </c>
      <c r="B210" s="9">
        <v>0.57916666666666672</v>
      </c>
      <c r="C210" s="10" t="str">
        <f>"FES1162645159"</f>
        <v>FES1162645159</v>
      </c>
      <c r="D210" s="10" t="s">
        <v>19</v>
      </c>
      <c r="E210" s="10" t="s">
        <v>251</v>
      </c>
      <c r="F210" s="10" t="str">
        <f>"2170650014 "</f>
        <v xml:space="preserve">2170650014 </v>
      </c>
      <c r="G210" s="10" t="str">
        <f t="shared" si="5"/>
        <v>ON1</v>
      </c>
      <c r="H210" s="10" t="s">
        <v>21</v>
      </c>
      <c r="I210" s="10" t="s">
        <v>252</v>
      </c>
      <c r="J210" s="10" t="str">
        <f>""</f>
        <v/>
      </c>
      <c r="K210" s="10" t="str">
        <f>"PFES1162645159_0001"</f>
        <v>PFES1162645159_0001</v>
      </c>
      <c r="L210" s="10">
        <v>1</v>
      </c>
      <c r="M210" s="10">
        <v>1</v>
      </c>
    </row>
    <row r="211" spans="1:13">
      <c r="A211" s="8">
        <v>43347</v>
      </c>
      <c r="B211" s="9">
        <v>0.57847222222222217</v>
      </c>
      <c r="C211" s="10" t="str">
        <f>"FES1162645157"</f>
        <v>FES1162645157</v>
      </c>
      <c r="D211" s="10" t="s">
        <v>19</v>
      </c>
      <c r="E211" s="10" t="s">
        <v>253</v>
      </c>
      <c r="F211" s="10" t="str">
        <f>"2170650009 "</f>
        <v xml:space="preserve">2170650009 </v>
      </c>
      <c r="G211" s="10" t="str">
        <f t="shared" si="5"/>
        <v>ON1</v>
      </c>
      <c r="H211" s="10" t="s">
        <v>21</v>
      </c>
      <c r="I211" s="10" t="s">
        <v>254</v>
      </c>
      <c r="J211" s="10" t="str">
        <f>""</f>
        <v/>
      </c>
      <c r="K211" s="10" t="str">
        <f>"PFES1162645157_0001"</f>
        <v>PFES1162645157_0001</v>
      </c>
      <c r="L211" s="10">
        <v>1</v>
      </c>
      <c r="M211" s="10">
        <v>1</v>
      </c>
    </row>
    <row r="212" spans="1:13">
      <c r="A212" s="8">
        <v>43347</v>
      </c>
      <c r="B212" s="9">
        <v>0.57777777777777783</v>
      </c>
      <c r="C212" s="10" t="str">
        <f>"FES1162645178"</f>
        <v>FES1162645178</v>
      </c>
      <c r="D212" s="10" t="s">
        <v>19</v>
      </c>
      <c r="E212" s="10" t="s">
        <v>255</v>
      </c>
      <c r="F212" s="10" t="str">
        <f>"2170650035 "</f>
        <v xml:space="preserve">2170650035 </v>
      </c>
      <c r="G212" s="10" t="str">
        <f>"DBC"</f>
        <v>DBC</v>
      </c>
      <c r="H212" s="10" t="s">
        <v>21</v>
      </c>
      <c r="I212" s="10" t="s">
        <v>256</v>
      </c>
      <c r="J212" s="10" t="str">
        <f>"FRAGILE OIL"</f>
        <v>FRAGILE OIL</v>
      </c>
      <c r="K212" s="10" t="str">
        <f>"PFES1162645178_0001"</f>
        <v>PFES1162645178_0001</v>
      </c>
      <c r="L212" s="10">
        <v>3</v>
      </c>
      <c r="M212" s="10">
        <v>52</v>
      </c>
    </row>
    <row r="213" spans="1:13">
      <c r="A213" s="8">
        <v>43347</v>
      </c>
      <c r="B213" s="9">
        <v>0.5625</v>
      </c>
      <c r="C213" s="10" t="str">
        <f>"FES1162645142"</f>
        <v>FES1162645142</v>
      </c>
      <c r="D213" s="10" t="s">
        <v>19</v>
      </c>
      <c r="E213" s="10" t="s">
        <v>244</v>
      </c>
      <c r="F213" s="10" t="str">
        <f>"2170649997 "</f>
        <v xml:space="preserve">2170649997 </v>
      </c>
      <c r="G213" s="10" t="str">
        <f>"ON1"</f>
        <v>ON1</v>
      </c>
      <c r="H213" s="10" t="s">
        <v>21</v>
      </c>
      <c r="I213" s="10" t="s">
        <v>145</v>
      </c>
      <c r="J213" s="10" t="str">
        <f>""</f>
        <v/>
      </c>
      <c r="K213" s="10" t="str">
        <f>"PFES1162645142_0001"</f>
        <v>PFES1162645142_0001</v>
      </c>
      <c r="L213" s="10">
        <v>1</v>
      </c>
      <c r="M213" s="10">
        <v>2</v>
      </c>
    </row>
    <row r="214" spans="1:13">
      <c r="A214" s="8">
        <v>43347</v>
      </c>
      <c r="B214" s="9">
        <v>0.56180555555555556</v>
      </c>
      <c r="C214" s="10" t="str">
        <f>"FES1162645053"</f>
        <v>FES1162645053</v>
      </c>
      <c r="D214" s="10" t="s">
        <v>19</v>
      </c>
      <c r="E214" s="10" t="s">
        <v>257</v>
      </c>
      <c r="F214" s="10" t="str">
        <f>"2170649217 "</f>
        <v xml:space="preserve">2170649217 </v>
      </c>
      <c r="G214" s="10" t="str">
        <f>"DBC"</f>
        <v>DBC</v>
      </c>
      <c r="H214" s="10" t="s">
        <v>21</v>
      </c>
      <c r="I214" s="10" t="s">
        <v>258</v>
      </c>
      <c r="J214" s="10" t="str">
        <f>""</f>
        <v/>
      </c>
      <c r="K214" s="10" t="str">
        <f>"PFES1162645053_0001"</f>
        <v>PFES1162645053_0001</v>
      </c>
      <c r="L214" s="10">
        <v>1</v>
      </c>
      <c r="M214" s="10">
        <v>25</v>
      </c>
    </row>
    <row r="215" spans="1:13">
      <c r="A215" s="8">
        <v>43347</v>
      </c>
      <c r="B215" s="9">
        <v>0.56041666666666667</v>
      </c>
      <c r="C215" s="10" t="str">
        <f>"FES1162645166"</f>
        <v>FES1162645166</v>
      </c>
      <c r="D215" s="10" t="s">
        <v>19</v>
      </c>
      <c r="E215" s="10" t="s">
        <v>121</v>
      </c>
      <c r="F215" s="10" t="str">
        <f>"2170650021 "</f>
        <v xml:space="preserve">2170650021 </v>
      </c>
      <c r="G215" s="10" t="str">
        <f t="shared" ref="G215:G245" si="6">"ON1"</f>
        <v>ON1</v>
      </c>
      <c r="H215" s="10" t="s">
        <v>21</v>
      </c>
      <c r="I215" s="10" t="s">
        <v>122</v>
      </c>
      <c r="J215" s="10" t="str">
        <f>""</f>
        <v/>
      </c>
      <c r="K215" s="10" t="str">
        <f>"PFES1162645166_0001"</f>
        <v>PFES1162645166_0001</v>
      </c>
      <c r="L215" s="10">
        <v>1</v>
      </c>
      <c r="M215" s="10">
        <v>1</v>
      </c>
    </row>
    <row r="216" spans="1:13">
      <c r="A216" s="8">
        <v>43347</v>
      </c>
      <c r="B216" s="9">
        <v>0.55902777777777779</v>
      </c>
      <c r="C216" s="10" t="str">
        <f>"FES1162645017"</f>
        <v>FES1162645017</v>
      </c>
      <c r="D216" s="10" t="s">
        <v>19</v>
      </c>
      <c r="E216" s="10" t="s">
        <v>69</v>
      </c>
      <c r="F216" s="10" t="str">
        <f>"2170647759 "</f>
        <v xml:space="preserve">2170647759 </v>
      </c>
      <c r="G216" s="10" t="str">
        <f t="shared" si="6"/>
        <v>ON1</v>
      </c>
      <c r="H216" s="10" t="s">
        <v>21</v>
      </c>
      <c r="I216" s="10" t="s">
        <v>68</v>
      </c>
      <c r="J216" s="10" t="str">
        <f>""</f>
        <v/>
      </c>
      <c r="K216" s="10" t="str">
        <f>"PFES1162645017_0001"</f>
        <v>PFES1162645017_0001</v>
      </c>
      <c r="L216" s="10">
        <v>1</v>
      </c>
      <c r="M216" s="10">
        <v>1</v>
      </c>
    </row>
    <row r="217" spans="1:13">
      <c r="A217" s="8">
        <v>43347</v>
      </c>
      <c r="B217" s="9">
        <v>0.55902777777777779</v>
      </c>
      <c r="C217" s="10" t="str">
        <f>"FES1162645117"</f>
        <v>FES1162645117</v>
      </c>
      <c r="D217" s="10" t="s">
        <v>19</v>
      </c>
      <c r="E217" s="10" t="s">
        <v>259</v>
      </c>
      <c r="F217" s="10" t="str">
        <f>"2170649972 "</f>
        <v xml:space="preserve">2170649972 </v>
      </c>
      <c r="G217" s="10" t="str">
        <f t="shared" si="6"/>
        <v>ON1</v>
      </c>
      <c r="H217" s="10" t="s">
        <v>21</v>
      </c>
      <c r="I217" s="10" t="s">
        <v>260</v>
      </c>
      <c r="J217" s="10" t="str">
        <f>""</f>
        <v/>
      </c>
      <c r="K217" s="10" t="str">
        <f>"PFES1162645117_0001"</f>
        <v>PFES1162645117_0001</v>
      </c>
      <c r="L217" s="10">
        <v>1</v>
      </c>
      <c r="M217" s="10">
        <v>1</v>
      </c>
    </row>
    <row r="218" spans="1:13">
      <c r="A218" s="8">
        <v>43347</v>
      </c>
      <c r="B218" s="9">
        <v>0.55833333333333335</v>
      </c>
      <c r="C218" s="10" t="str">
        <f>"FES1162645209"</f>
        <v>FES1162645209</v>
      </c>
      <c r="D218" s="10" t="s">
        <v>19</v>
      </c>
      <c r="E218" s="10" t="s">
        <v>65</v>
      </c>
      <c r="F218" s="10" t="str">
        <f>"2170650074 "</f>
        <v xml:space="preserve">2170650074 </v>
      </c>
      <c r="G218" s="10" t="str">
        <f t="shared" si="6"/>
        <v>ON1</v>
      </c>
      <c r="H218" s="10" t="s">
        <v>21</v>
      </c>
      <c r="I218" s="10" t="s">
        <v>66</v>
      </c>
      <c r="J218" s="10" t="str">
        <f>""</f>
        <v/>
      </c>
      <c r="K218" s="10" t="str">
        <f>"PFES1162645209_0001"</f>
        <v>PFES1162645209_0001</v>
      </c>
      <c r="L218" s="10">
        <v>1</v>
      </c>
      <c r="M218" s="10">
        <v>1</v>
      </c>
    </row>
    <row r="219" spans="1:13">
      <c r="A219" s="8">
        <v>43347</v>
      </c>
      <c r="B219" s="9">
        <v>0.55833333333333335</v>
      </c>
      <c r="C219" s="10" t="str">
        <f>"FES1162645216"</f>
        <v>FES1162645216</v>
      </c>
      <c r="D219" s="10" t="s">
        <v>19</v>
      </c>
      <c r="E219" s="10" t="s">
        <v>41</v>
      </c>
      <c r="F219" s="10" t="str">
        <f>"2170650082 "</f>
        <v xml:space="preserve">2170650082 </v>
      </c>
      <c r="G219" s="10" t="str">
        <f t="shared" si="6"/>
        <v>ON1</v>
      </c>
      <c r="H219" s="10" t="s">
        <v>21</v>
      </c>
      <c r="I219" s="10" t="s">
        <v>42</v>
      </c>
      <c r="J219" s="10" t="str">
        <f>""</f>
        <v/>
      </c>
      <c r="K219" s="10" t="str">
        <f>"PFES1162645216_0001"</f>
        <v>PFES1162645216_0001</v>
      </c>
      <c r="L219" s="10">
        <v>1</v>
      </c>
      <c r="M219" s="10">
        <v>1</v>
      </c>
    </row>
    <row r="220" spans="1:13">
      <c r="A220" s="8">
        <v>43347</v>
      </c>
      <c r="B220" s="9">
        <v>0.55763888888888891</v>
      </c>
      <c r="C220" s="10" t="str">
        <f>"FES1162645160"</f>
        <v>FES1162645160</v>
      </c>
      <c r="D220" s="10" t="s">
        <v>19</v>
      </c>
      <c r="E220" s="10" t="s">
        <v>69</v>
      </c>
      <c r="F220" s="10" t="str">
        <f>"2170649788 "</f>
        <v xml:space="preserve">2170649788 </v>
      </c>
      <c r="G220" s="10" t="str">
        <f t="shared" si="6"/>
        <v>ON1</v>
      </c>
      <c r="H220" s="10" t="s">
        <v>21</v>
      </c>
      <c r="I220" s="10" t="s">
        <v>68</v>
      </c>
      <c r="J220" s="10" t="str">
        <f>""</f>
        <v/>
      </c>
      <c r="K220" s="10" t="str">
        <f>"PFES1162645160_0001"</f>
        <v>PFES1162645160_0001</v>
      </c>
      <c r="L220" s="10">
        <v>1</v>
      </c>
      <c r="M220" s="10">
        <v>1</v>
      </c>
    </row>
    <row r="221" spans="1:13">
      <c r="A221" s="8">
        <v>43347</v>
      </c>
      <c r="B221" s="9">
        <v>0.55763888888888891</v>
      </c>
      <c r="C221" s="10" t="str">
        <f>"FES1162645107"</f>
        <v>FES1162645107</v>
      </c>
      <c r="D221" s="10" t="s">
        <v>19</v>
      </c>
      <c r="E221" s="10" t="s">
        <v>261</v>
      </c>
      <c r="F221" s="10" t="str">
        <f>"2170649951 "</f>
        <v xml:space="preserve">2170649951 </v>
      </c>
      <c r="G221" s="10" t="str">
        <f t="shared" si="6"/>
        <v>ON1</v>
      </c>
      <c r="H221" s="10" t="s">
        <v>21</v>
      </c>
      <c r="I221" s="10" t="s">
        <v>171</v>
      </c>
      <c r="J221" s="10" t="str">
        <f>""</f>
        <v/>
      </c>
      <c r="K221" s="10" t="str">
        <f>"PFES1162645107_0001"</f>
        <v>PFES1162645107_0001</v>
      </c>
      <c r="L221" s="10">
        <v>1</v>
      </c>
      <c r="M221" s="10">
        <v>1</v>
      </c>
    </row>
    <row r="222" spans="1:13">
      <c r="A222" s="8">
        <v>43347</v>
      </c>
      <c r="B222" s="9">
        <v>0.55763888888888891</v>
      </c>
      <c r="C222" s="10" t="str">
        <f>"FES1162645153"</f>
        <v>FES1162645153</v>
      </c>
      <c r="D222" s="10" t="s">
        <v>19</v>
      </c>
      <c r="E222" s="10" t="s">
        <v>262</v>
      </c>
      <c r="F222" s="10" t="str">
        <f>"21706500053 "</f>
        <v xml:space="preserve">21706500053 </v>
      </c>
      <c r="G222" s="10" t="str">
        <f t="shared" si="6"/>
        <v>ON1</v>
      </c>
      <c r="H222" s="10" t="s">
        <v>21</v>
      </c>
      <c r="I222" s="10" t="s">
        <v>263</v>
      </c>
      <c r="J222" s="10" t="str">
        <f>""</f>
        <v/>
      </c>
      <c r="K222" s="10" t="str">
        <f>"PFES1162645153_0001"</f>
        <v>PFES1162645153_0001</v>
      </c>
      <c r="L222" s="10">
        <v>1</v>
      </c>
      <c r="M222" s="10">
        <v>1</v>
      </c>
    </row>
    <row r="223" spans="1:13">
      <c r="A223" s="8">
        <v>43347</v>
      </c>
      <c r="B223" s="9">
        <v>0.55694444444444446</v>
      </c>
      <c r="C223" s="10" t="str">
        <f>"FES1162645204"</f>
        <v>FES1162645204</v>
      </c>
      <c r="D223" s="10" t="s">
        <v>19</v>
      </c>
      <c r="E223" s="10" t="s">
        <v>160</v>
      </c>
      <c r="F223" s="10" t="str">
        <f>"2170650069 "</f>
        <v xml:space="preserve">2170650069 </v>
      </c>
      <c r="G223" s="10" t="str">
        <f t="shared" si="6"/>
        <v>ON1</v>
      </c>
      <c r="H223" s="10" t="s">
        <v>21</v>
      </c>
      <c r="I223" s="10" t="s">
        <v>161</v>
      </c>
      <c r="J223" s="10" t="str">
        <f>""</f>
        <v/>
      </c>
      <c r="K223" s="10" t="str">
        <f>"PFES1162645204_0001"</f>
        <v>PFES1162645204_0001</v>
      </c>
      <c r="L223" s="10">
        <v>1</v>
      </c>
      <c r="M223" s="10">
        <v>1</v>
      </c>
    </row>
    <row r="224" spans="1:13">
      <c r="A224" s="8">
        <v>43347</v>
      </c>
      <c r="B224" s="9">
        <v>0.55694444444444446</v>
      </c>
      <c r="C224" s="10" t="str">
        <f>"FES1162645174"</f>
        <v>FES1162645174</v>
      </c>
      <c r="D224" s="10" t="s">
        <v>19</v>
      </c>
      <c r="E224" s="10" t="s">
        <v>264</v>
      </c>
      <c r="F224" s="10" t="str">
        <f>"2170649556 "</f>
        <v xml:space="preserve">2170649556 </v>
      </c>
      <c r="G224" s="10" t="str">
        <f t="shared" si="6"/>
        <v>ON1</v>
      </c>
      <c r="H224" s="10" t="s">
        <v>21</v>
      </c>
      <c r="I224" s="10" t="s">
        <v>171</v>
      </c>
      <c r="J224" s="10" t="str">
        <f>""</f>
        <v/>
      </c>
      <c r="K224" s="10" t="str">
        <f>"PFES1162645174_0001"</f>
        <v>PFES1162645174_0001</v>
      </c>
      <c r="L224" s="10">
        <v>1</v>
      </c>
      <c r="M224" s="10">
        <v>1</v>
      </c>
    </row>
    <row r="225" spans="1:13">
      <c r="A225" s="8">
        <v>43347</v>
      </c>
      <c r="B225" s="9">
        <v>0.55694444444444446</v>
      </c>
      <c r="C225" s="10" t="str">
        <f>"FES1162645086"</f>
        <v>FES1162645086</v>
      </c>
      <c r="D225" s="10" t="s">
        <v>19</v>
      </c>
      <c r="E225" s="10" t="s">
        <v>265</v>
      </c>
      <c r="F225" s="10" t="str">
        <f>"2170649762 "</f>
        <v xml:space="preserve">2170649762 </v>
      </c>
      <c r="G225" s="10" t="str">
        <f t="shared" si="6"/>
        <v>ON1</v>
      </c>
      <c r="H225" s="10" t="s">
        <v>21</v>
      </c>
      <c r="I225" s="10" t="s">
        <v>177</v>
      </c>
      <c r="J225" s="10" t="str">
        <f>""</f>
        <v/>
      </c>
      <c r="K225" s="10" t="str">
        <f>"PFES1162645086_0001"</f>
        <v>PFES1162645086_0001</v>
      </c>
      <c r="L225" s="10">
        <v>1</v>
      </c>
      <c r="M225" s="10">
        <v>1</v>
      </c>
    </row>
    <row r="226" spans="1:13">
      <c r="A226" s="8">
        <v>43347</v>
      </c>
      <c r="B226" s="9">
        <v>0.55625000000000002</v>
      </c>
      <c r="C226" s="10" t="str">
        <f>"FES1162645210"</f>
        <v>FES1162645210</v>
      </c>
      <c r="D226" s="10" t="s">
        <v>19</v>
      </c>
      <c r="E226" s="10" t="s">
        <v>56</v>
      </c>
      <c r="F226" s="10" t="str">
        <f>"2170650075 "</f>
        <v xml:space="preserve">2170650075 </v>
      </c>
      <c r="G226" s="10" t="str">
        <f t="shared" si="6"/>
        <v>ON1</v>
      </c>
      <c r="H226" s="10" t="s">
        <v>21</v>
      </c>
      <c r="I226" s="10" t="s">
        <v>57</v>
      </c>
      <c r="J226" s="10" t="str">
        <f>""</f>
        <v/>
      </c>
      <c r="K226" s="10" t="str">
        <f>"PFES1162645210_0001"</f>
        <v>PFES1162645210_0001</v>
      </c>
      <c r="L226" s="10">
        <v>1</v>
      </c>
      <c r="M226" s="10">
        <v>1</v>
      </c>
    </row>
    <row r="227" spans="1:13">
      <c r="A227" s="8">
        <v>43347</v>
      </c>
      <c r="B227" s="9">
        <v>0.55625000000000002</v>
      </c>
      <c r="C227" s="10" t="str">
        <f>"FES1162645110"</f>
        <v>FES1162645110</v>
      </c>
      <c r="D227" s="10" t="s">
        <v>19</v>
      </c>
      <c r="E227" s="10" t="s">
        <v>38</v>
      </c>
      <c r="F227" s="10" t="str">
        <f>"2170649954 "</f>
        <v xml:space="preserve">2170649954 </v>
      </c>
      <c r="G227" s="10" t="str">
        <f t="shared" si="6"/>
        <v>ON1</v>
      </c>
      <c r="H227" s="10" t="s">
        <v>21</v>
      </c>
      <c r="I227" s="10" t="s">
        <v>26</v>
      </c>
      <c r="J227" s="10" t="str">
        <f>""</f>
        <v/>
      </c>
      <c r="K227" s="10" t="str">
        <f>"PFES1162645110_0001"</f>
        <v>PFES1162645110_0001</v>
      </c>
      <c r="L227" s="10">
        <v>1</v>
      </c>
      <c r="M227" s="10">
        <v>1</v>
      </c>
    </row>
    <row r="228" spans="1:13">
      <c r="A228" s="8">
        <v>43347</v>
      </c>
      <c r="B228" s="9">
        <v>0.55555555555555558</v>
      </c>
      <c r="C228" s="10" t="str">
        <f>"FES1162645041"</f>
        <v>FES1162645041</v>
      </c>
      <c r="D228" s="10" t="s">
        <v>19</v>
      </c>
      <c r="E228" s="10" t="s">
        <v>266</v>
      </c>
      <c r="F228" s="10" t="str">
        <f>"217064720 "</f>
        <v xml:space="preserve">217064720 </v>
      </c>
      <c r="G228" s="10" t="str">
        <f t="shared" si="6"/>
        <v>ON1</v>
      </c>
      <c r="H228" s="10" t="s">
        <v>21</v>
      </c>
      <c r="I228" s="10" t="s">
        <v>267</v>
      </c>
      <c r="J228" s="10" t="str">
        <f>""</f>
        <v/>
      </c>
      <c r="K228" s="10" t="str">
        <f>"PFES1162645041_0001"</f>
        <v>PFES1162645041_0001</v>
      </c>
      <c r="L228" s="10">
        <v>1</v>
      </c>
      <c r="M228" s="10">
        <v>1</v>
      </c>
    </row>
    <row r="229" spans="1:13">
      <c r="A229" s="8">
        <v>43347</v>
      </c>
      <c r="B229" s="9">
        <v>0.5541666666666667</v>
      </c>
      <c r="C229" s="10" t="str">
        <f>"FES1162645134"</f>
        <v>FES1162645134</v>
      </c>
      <c r="D229" s="10" t="s">
        <v>19</v>
      </c>
      <c r="E229" s="10" t="s">
        <v>20</v>
      </c>
      <c r="F229" s="10" t="str">
        <f>"2170649768 "</f>
        <v xml:space="preserve">2170649768 </v>
      </c>
      <c r="G229" s="10" t="str">
        <f t="shared" si="6"/>
        <v>ON1</v>
      </c>
      <c r="H229" s="10" t="s">
        <v>21</v>
      </c>
      <c r="I229" s="10" t="s">
        <v>22</v>
      </c>
      <c r="J229" s="10" t="str">
        <f>""</f>
        <v/>
      </c>
      <c r="K229" s="10" t="str">
        <f>"PFES1162645134_0001"</f>
        <v>PFES1162645134_0001</v>
      </c>
      <c r="L229" s="10">
        <v>1</v>
      </c>
      <c r="M229" s="10">
        <v>1</v>
      </c>
    </row>
    <row r="230" spans="1:13">
      <c r="A230" s="8">
        <v>43347</v>
      </c>
      <c r="B230" s="9">
        <v>0.5541666666666667</v>
      </c>
      <c r="C230" s="10" t="str">
        <f>"FES1162645172"</f>
        <v>FES1162645172</v>
      </c>
      <c r="D230" s="10" t="s">
        <v>19</v>
      </c>
      <c r="E230" s="10" t="s">
        <v>219</v>
      </c>
      <c r="F230" s="10" t="str">
        <f>"2170650025 "</f>
        <v xml:space="preserve">2170650025 </v>
      </c>
      <c r="G230" s="10" t="str">
        <f t="shared" si="6"/>
        <v>ON1</v>
      </c>
      <c r="H230" s="10" t="s">
        <v>21</v>
      </c>
      <c r="I230" s="10" t="s">
        <v>57</v>
      </c>
      <c r="J230" s="10" t="str">
        <f>""</f>
        <v/>
      </c>
      <c r="K230" s="10" t="str">
        <f>"PFES1162645172_0001"</f>
        <v>PFES1162645172_0001</v>
      </c>
      <c r="L230" s="10">
        <v>1</v>
      </c>
      <c r="M230" s="10">
        <v>1</v>
      </c>
    </row>
    <row r="231" spans="1:13">
      <c r="A231" s="8">
        <v>43347</v>
      </c>
      <c r="B231" s="9">
        <v>0.5541666666666667</v>
      </c>
      <c r="C231" s="10" t="str">
        <f>"FES1162645109"</f>
        <v>FES1162645109</v>
      </c>
      <c r="D231" s="10" t="s">
        <v>19</v>
      </c>
      <c r="E231" s="10" t="s">
        <v>268</v>
      </c>
      <c r="F231" s="10" t="str">
        <f>"2170649953 "</f>
        <v xml:space="preserve">2170649953 </v>
      </c>
      <c r="G231" s="10" t="str">
        <f t="shared" si="6"/>
        <v>ON1</v>
      </c>
      <c r="H231" s="10" t="s">
        <v>21</v>
      </c>
      <c r="I231" s="10" t="s">
        <v>269</v>
      </c>
      <c r="J231" s="10" t="str">
        <f>""</f>
        <v/>
      </c>
      <c r="K231" s="10" t="str">
        <f>"PFES1162645109_0001"</f>
        <v>PFES1162645109_0001</v>
      </c>
      <c r="L231" s="10">
        <v>1</v>
      </c>
      <c r="M231" s="10">
        <v>1</v>
      </c>
    </row>
    <row r="232" spans="1:13">
      <c r="A232" s="8">
        <v>43347</v>
      </c>
      <c r="B232" s="9">
        <v>0.55347222222222225</v>
      </c>
      <c r="C232" s="10" t="str">
        <f>"FES1162645102"</f>
        <v>FES1162645102</v>
      </c>
      <c r="D232" s="10" t="s">
        <v>19</v>
      </c>
      <c r="E232" s="10" t="s">
        <v>151</v>
      </c>
      <c r="F232" s="10" t="str">
        <f>"2170649945 "</f>
        <v xml:space="preserve">2170649945 </v>
      </c>
      <c r="G232" s="10" t="str">
        <f t="shared" si="6"/>
        <v>ON1</v>
      </c>
      <c r="H232" s="10" t="s">
        <v>21</v>
      </c>
      <c r="I232" s="10" t="s">
        <v>152</v>
      </c>
      <c r="J232" s="10" t="str">
        <f>""</f>
        <v/>
      </c>
      <c r="K232" s="10" t="str">
        <f>"PFES1162645102_0001"</f>
        <v>PFES1162645102_0001</v>
      </c>
      <c r="L232" s="10">
        <v>1</v>
      </c>
      <c r="M232" s="10">
        <v>1</v>
      </c>
    </row>
    <row r="233" spans="1:13">
      <c r="A233" s="8">
        <v>43347</v>
      </c>
      <c r="B233" s="9">
        <v>0.54236111111111118</v>
      </c>
      <c r="C233" s="10" t="str">
        <f>"FES1162644986"</f>
        <v>FES1162644986</v>
      </c>
      <c r="D233" s="10" t="s">
        <v>19</v>
      </c>
      <c r="E233" s="10" t="s">
        <v>27</v>
      </c>
      <c r="F233" s="10" t="str">
        <f>"2170648208 "</f>
        <v xml:space="preserve">2170648208 </v>
      </c>
      <c r="G233" s="10" t="str">
        <f t="shared" si="6"/>
        <v>ON1</v>
      </c>
      <c r="H233" s="10" t="s">
        <v>21</v>
      </c>
      <c r="I233" s="10" t="s">
        <v>28</v>
      </c>
      <c r="J233" s="10" t="str">
        <f>""</f>
        <v/>
      </c>
      <c r="K233" s="10" t="str">
        <f>"PFES1162644986_0001"</f>
        <v>PFES1162644986_0001</v>
      </c>
      <c r="L233" s="10">
        <v>2</v>
      </c>
      <c r="M233" s="10">
        <v>5</v>
      </c>
    </row>
    <row r="234" spans="1:13">
      <c r="A234" s="8">
        <v>43347</v>
      </c>
      <c r="B234" s="9">
        <v>0.54097222222222219</v>
      </c>
      <c r="C234" s="10" t="str">
        <f>"FES1162645108"</f>
        <v>FES1162645108</v>
      </c>
      <c r="D234" s="10" t="s">
        <v>19</v>
      </c>
      <c r="E234" s="10" t="s">
        <v>58</v>
      </c>
      <c r="F234" s="10" t="str">
        <f>"2170649952 "</f>
        <v xml:space="preserve">2170649952 </v>
      </c>
      <c r="G234" s="10" t="str">
        <f t="shared" si="6"/>
        <v>ON1</v>
      </c>
      <c r="H234" s="10" t="s">
        <v>21</v>
      </c>
      <c r="I234" s="10" t="s">
        <v>30</v>
      </c>
      <c r="J234" s="10" t="str">
        <f>""</f>
        <v/>
      </c>
      <c r="K234" s="10" t="str">
        <f>"PFES1162645108_0001"</f>
        <v>PFES1162645108_0001</v>
      </c>
      <c r="L234" s="10">
        <v>1</v>
      </c>
      <c r="M234" s="10">
        <v>2</v>
      </c>
    </row>
    <row r="235" spans="1:13">
      <c r="A235" s="8">
        <v>43347</v>
      </c>
      <c r="B235" s="9">
        <v>0.53888888888888886</v>
      </c>
      <c r="C235" s="10" t="str">
        <f>"FES1162645070"</f>
        <v>FES1162645070</v>
      </c>
      <c r="D235" s="10" t="s">
        <v>19</v>
      </c>
      <c r="E235" s="10" t="s">
        <v>270</v>
      </c>
      <c r="F235" s="10" t="str">
        <f>"2170649523 "</f>
        <v xml:space="preserve">2170649523 </v>
      </c>
      <c r="G235" s="10" t="str">
        <f t="shared" si="6"/>
        <v>ON1</v>
      </c>
      <c r="H235" s="10" t="s">
        <v>21</v>
      </c>
      <c r="I235" s="10" t="s">
        <v>68</v>
      </c>
      <c r="J235" s="10" t="str">
        <f>""</f>
        <v/>
      </c>
      <c r="K235" s="10" t="str">
        <f>"PFES1162645070_0001"</f>
        <v>PFES1162645070_0001</v>
      </c>
      <c r="L235" s="10">
        <v>1</v>
      </c>
      <c r="M235" s="10">
        <v>2</v>
      </c>
    </row>
    <row r="236" spans="1:13">
      <c r="A236" s="8">
        <v>43347</v>
      </c>
      <c r="B236" s="9">
        <v>0.53819444444444442</v>
      </c>
      <c r="C236" s="10" t="str">
        <f>"FES1162645123"</f>
        <v>FES1162645123</v>
      </c>
      <c r="D236" s="10" t="s">
        <v>19</v>
      </c>
      <c r="E236" s="10" t="s">
        <v>259</v>
      </c>
      <c r="F236" s="10" t="str">
        <f>"2170649976 "</f>
        <v xml:space="preserve">2170649976 </v>
      </c>
      <c r="G236" s="10" t="str">
        <f t="shared" si="6"/>
        <v>ON1</v>
      </c>
      <c r="H236" s="10" t="s">
        <v>21</v>
      </c>
      <c r="I236" s="10" t="s">
        <v>260</v>
      </c>
      <c r="J236" s="10" t="str">
        <f>""</f>
        <v/>
      </c>
      <c r="K236" s="10" t="str">
        <f>"PFES1162645123_0001"</f>
        <v>PFES1162645123_0001</v>
      </c>
      <c r="L236" s="10">
        <v>1</v>
      </c>
      <c r="M236" s="10">
        <v>2</v>
      </c>
    </row>
    <row r="237" spans="1:13">
      <c r="A237" s="8">
        <v>43347</v>
      </c>
      <c r="B237" s="9">
        <v>0.53680555555555554</v>
      </c>
      <c r="C237" s="10" t="str">
        <f>"FES1162645180"</f>
        <v>FES1162645180</v>
      </c>
      <c r="D237" s="10" t="s">
        <v>19</v>
      </c>
      <c r="E237" s="10" t="s">
        <v>230</v>
      </c>
      <c r="F237" s="10" t="str">
        <f>"2170650038 "</f>
        <v xml:space="preserve">2170650038 </v>
      </c>
      <c r="G237" s="10" t="str">
        <f t="shared" si="6"/>
        <v>ON1</v>
      </c>
      <c r="H237" s="10" t="s">
        <v>21</v>
      </c>
      <c r="I237" s="10" t="s">
        <v>231</v>
      </c>
      <c r="J237" s="10" t="str">
        <f>""</f>
        <v/>
      </c>
      <c r="K237" s="10" t="str">
        <f>"PFES1162645180_0001"</f>
        <v>PFES1162645180_0001</v>
      </c>
      <c r="L237" s="10">
        <v>1</v>
      </c>
      <c r="M237" s="10">
        <v>5</v>
      </c>
    </row>
    <row r="238" spans="1:13">
      <c r="A238" s="8">
        <v>43347</v>
      </c>
      <c r="B238" s="9">
        <v>0.53611111111111109</v>
      </c>
      <c r="C238" s="10" t="str">
        <f>"FES1162645058"</f>
        <v>FES1162645058</v>
      </c>
      <c r="D238" s="10" t="s">
        <v>19</v>
      </c>
      <c r="E238" s="10" t="s">
        <v>271</v>
      </c>
      <c r="F238" s="10" t="str">
        <f>"2170649329 "</f>
        <v xml:space="preserve">2170649329 </v>
      </c>
      <c r="G238" s="10" t="str">
        <f t="shared" si="6"/>
        <v>ON1</v>
      </c>
      <c r="H238" s="10" t="s">
        <v>21</v>
      </c>
      <c r="I238" s="10" t="s">
        <v>36</v>
      </c>
      <c r="J238" s="10" t="str">
        <f>""</f>
        <v/>
      </c>
      <c r="K238" s="10" t="str">
        <f>"PFES1162645058_0001"</f>
        <v>PFES1162645058_0001</v>
      </c>
      <c r="L238" s="10">
        <v>1</v>
      </c>
      <c r="M238" s="10">
        <v>3</v>
      </c>
    </row>
    <row r="239" spans="1:13">
      <c r="A239" s="8">
        <v>43347</v>
      </c>
      <c r="B239" s="9">
        <v>0.53472222222222221</v>
      </c>
      <c r="C239" s="10" t="str">
        <f>"FES1162644997"</f>
        <v>FES1162644997</v>
      </c>
      <c r="D239" s="10" t="s">
        <v>19</v>
      </c>
      <c r="E239" s="10" t="s">
        <v>272</v>
      </c>
      <c r="F239" s="10" t="str">
        <f>"2170643576 "</f>
        <v xml:space="preserve">2170643576 </v>
      </c>
      <c r="G239" s="10" t="str">
        <f t="shared" si="6"/>
        <v>ON1</v>
      </c>
      <c r="H239" s="10" t="s">
        <v>21</v>
      </c>
      <c r="I239" s="10" t="s">
        <v>273</v>
      </c>
      <c r="J239" s="10" t="str">
        <f>""</f>
        <v/>
      </c>
      <c r="K239" s="10" t="str">
        <f>"PFES1162644997_0001"</f>
        <v>PFES1162644997_0001</v>
      </c>
      <c r="L239" s="10">
        <v>1</v>
      </c>
      <c r="M239" s="10">
        <v>2</v>
      </c>
    </row>
    <row r="240" spans="1:13">
      <c r="A240" s="8">
        <v>43347</v>
      </c>
      <c r="B240" s="9">
        <v>0.53333333333333333</v>
      </c>
      <c r="C240" s="10" t="str">
        <f>"FES1162645100"</f>
        <v>FES1162645100</v>
      </c>
      <c r="D240" s="10" t="s">
        <v>19</v>
      </c>
      <c r="E240" s="10" t="s">
        <v>274</v>
      </c>
      <c r="F240" s="10" t="str">
        <f>"2170649940 "</f>
        <v xml:space="preserve">2170649940 </v>
      </c>
      <c r="G240" s="10" t="str">
        <f t="shared" si="6"/>
        <v>ON1</v>
      </c>
      <c r="H240" s="10" t="s">
        <v>21</v>
      </c>
      <c r="I240" s="10" t="s">
        <v>169</v>
      </c>
      <c r="J240" s="10" t="str">
        <f>""</f>
        <v/>
      </c>
      <c r="K240" s="10" t="str">
        <f>"PFES1162645100_0001"</f>
        <v>PFES1162645100_0001</v>
      </c>
      <c r="L240" s="10">
        <v>1</v>
      </c>
      <c r="M240" s="10">
        <v>5</v>
      </c>
    </row>
    <row r="241" spans="1:13">
      <c r="A241" s="8">
        <v>43347</v>
      </c>
      <c r="B241" s="9">
        <v>0.52916666666666667</v>
      </c>
      <c r="C241" s="10" t="str">
        <f>"FES1162645101"</f>
        <v>FES1162645101</v>
      </c>
      <c r="D241" s="10" t="s">
        <v>19</v>
      </c>
      <c r="E241" s="10" t="s">
        <v>275</v>
      </c>
      <c r="F241" s="10" t="str">
        <f>"2170649942 "</f>
        <v xml:space="preserve">2170649942 </v>
      </c>
      <c r="G241" s="10" t="str">
        <f t="shared" si="6"/>
        <v>ON1</v>
      </c>
      <c r="H241" s="10" t="s">
        <v>21</v>
      </c>
      <c r="I241" s="10" t="s">
        <v>171</v>
      </c>
      <c r="J241" s="10" t="str">
        <f>""</f>
        <v/>
      </c>
      <c r="K241" s="10" t="str">
        <f>"PFES1162645101_0001"</f>
        <v>PFES1162645101_0001</v>
      </c>
      <c r="L241" s="10">
        <v>1</v>
      </c>
      <c r="M241" s="10">
        <v>4</v>
      </c>
    </row>
    <row r="242" spans="1:13">
      <c r="A242" s="8">
        <v>43347</v>
      </c>
      <c r="B242" s="9">
        <v>0.52847222222222223</v>
      </c>
      <c r="C242" s="10" t="str">
        <f>"FES1162645076"</f>
        <v>FES1162645076</v>
      </c>
      <c r="D242" s="10" t="s">
        <v>19</v>
      </c>
      <c r="E242" s="10" t="s">
        <v>276</v>
      </c>
      <c r="F242" s="10" t="str">
        <f>"2170649626 "</f>
        <v xml:space="preserve">2170649626 </v>
      </c>
      <c r="G242" s="10" t="str">
        <f t="shared" si="6"/>
        <v>ON1</v>
      </c>
      <c r="H242" s="10" t="s">
        <v>21</v>
      </c>
      <c r="I242" s="10" t="s">
        <v>277</v>
      </c>
      <c r="J242" s="10" t="str">
        <f>""</f>
        <v/>
      </c>
      <c r="K242" s="10" t="str">
        <f>"PFES1162645076_0001"</f>
        <v>PFES1162645076_0001</v>
      </c>
      <c r="L242" s="10">
        <v>1</v>
      </c>
      <c r="M242" s="10">
        <v>4</v>
      </c>
    </row>
    <row r="243" spans="1:13">
      <c r="A243" s="8">
        <v>43347</v>
      </c>
      <c r="B243" s="9">
        <v>0.52708333333333335</v>
      </c>
      <c r="C243" s="10" t="str">
        <f>"FES1162645063"</f>
        <v>FES1162645063</v>
      </c>
      <c r="D243" s="10" t="s">
        <v>19</v>
      </c>
      <c r="E243" s="10" t="s">
        <v>278</v>
      </c>
      <c r="F243" s="10" t="str">
        <f>"2170649436 "</f>
        <v xml:space="preserve">2170649436 </v>
      </c>
      <c r="G243" s="10" t="str">
        <f t="shared" si="6"/>
        <v>ON1</v>
      </c>
      <c r="H243" s="10" t="s">
        <v>21</v>
      </c>
      <c r="I243" s="10" t="s">
        <v>279</v>
      </c>
      <c r="J243" s="10" t="str">
        <f>""</f>
        <v/>
      </c>
      <c r="K243" s="10" t="str">
        <f>"PFES1162645063_0001"</f>
        <v>PFES1162645063_0001</v>
      </c>
      <c r="L243" s="10">
        <v>1</v>
      </c>
      <c r="M243" s="10">
        <v>3</v>
      </c>
    </row>
    <row r="244" spans="1:13">
      <c r="A244" s="8">
        <v>43347</v>
      </c>
      <c r="B244" s="9">
        <v>0.52569444444444446</v>
      </c>
      <c r="C244" s="10" t="str">
        <f>"FES1162645013"</f>
        <v>FES1162645013</v>
      </c>
      <c r="D244" s="10" t="s">
        <v>19</v>
      </c>
      <c r="E244" s="10" t="s">
        <v>280</v>
      </c>
      <c r="F244" s="10" t="str">
        <f>"2170647502 "</f>
        <v xml:space="preserve">2170647502 </v>
      </c>
      <c r="G244" s="10" t="str">
        <f t="shared" si="6"/>
        <v>ON1</v>
      </c>
      <c r="H244" s="10" t="s">
        <v>21</v>
      </c>
      <c r="I244" s="10" t="s">
        <v>24</v>
      </c>
      <c r="J244" s="10" t="str">
        <f>""</f>
        <v/>
      </c>
      <c r="K244" s="10" t="str">
        <f>"PFES1162645013_0001"</f>
        <v>PFES1162645013_0001</v>
      </c>
      <c r="L244" s="10">
        <v>1</v>
      </c>
      <c r="M244" s="10">
        <v>15</v>
      </c>
    </row>
    <row r="245" spans="1:13">
      <c r="A245" s="8">
        <v>43347</v>
      </c>
      <c r="B245" s="9">
        <v>0.52430555555555558</v>
      </c>
      <c r="C245" s="10" t="str">
        <f>"FES1162645056"</f>
        <v>FES1162645056</v>
      </c>
      <c r="D245" s="10" t="s">
        <v>19</v>
      </c>
      <c r="E245" s="10" t="s">
        <v>67</v>
      </c>
      <c r="F245" s="10" t="str">
        <f>"2170649295 "</f>
        <v xml:space="preserve">2170649295 </v>
      </c>
      <c r="G245" s="10" t="str">
        <f t="shared" si="6"/>
        <v>ON1</v>
      </c>
      <c r="H245" s="10" t="s">
        <v>21</v>
      </c>
      <c r="I245" s="10" t="s">
        <v>68</v>
      </c>
      <c r="J245" s="10" t="str">
        <f>""</f>
        <v/>
      </c>
      <c r="K245" s="10" t="str">
        <f>"PFES1162645056_0001"</f>
        <v>PFES1162645056_0001</v>
      </c>
      <c r="L245" s="10">
        <v>1</v>
      </c>
      <c r="M245" s="10">
        <v>5</v>
      </c>
    </row>
    <row r="246" spans="1:13">
      <c r="A246" s="8">
        <v>43347</v>
      </c>
      <c r="B246" s="9">
        <v>0.52361111111111114</v>
      </c>
      <c r="C246" s="10" t="str">
        <f>"FES1162644985"</f>
        <v>FES1162644985</v>
      </c>
      <c r="D246" s="10" t="s">
        <v>19</v>
      </c>
      <c r="E246" s="10" t="s">
        <v>27</v>
      </c>
      <c r="F246" s="10" t="str">
        <f>"2170648180 "</f>
        <v xml:space="preserve">2170648180 </v>
      </c>
      <c r="G246" s="10" t="str">
        <f>"DBC"</f>
        <v>DBC</v>
      </c>
      <c r="H246" s="10" t="s">
        <v>21</v>
      </c>
      <c r="I246" s="10" t="s">
        <v>28</v>
      </c>
      <c r="J246" s="10" t="str">
        <f>""</f>
        <v/>
      </c>
      <c r="K246" s="10" t="str">
        <f>"PFES1162644985_0001"</f>
        <v>PFES1162644985_0001</v>
      </c>
      <c r="L246" s="10">
        <v>2</v>
      </c>
      <c r="M246" s="10">
        <v>28</v>
      </c>
    </row>
    <row r="247" spans="1:13">
      <c r="A247" s="8">
        <v>43347</v>
      </c>
      <c r="B247" s="9">
        <v>0.52222222222222225</v>
      </c>
      <c r="C247" s="10" t="str">
        <f>"FES1162645116"</f>
        <v>FES1162645116</v>
      </c>
      <c r="D247" s="10" t="s">
        <v>19</v>
      </c>
      <c r="E247" s="10" t="s">
        <v>281</v>
      </c>
      <c r="F247" s="10" t="str">
        <f>"2170649971 "</f>
        <v xml:space="preserve">2170649971 </v>
      </c>
      <c r="G247" s="10" t="str">
        <f t="shared" ref="G247:G252" si="7">"ON1"</f>
        <v>ON1</v>
      </c>
      <c r="H247" s="10" t="s">
        <v>21</v>
      </c>
      <c r="I247" s="10" t="s">
        <v>282</v>
      </c>
      <c r="J247" s="10" t="str">
        <f>""</f>
        <v/>
      </c>
      <c r="K247" s="10" t="str">
        <f>"PFES1162645116_0001"</f>
        <v>PFES1162645116_0001</v>
      </c>
      <c r="L247" s="10">
        <v>1</v>
      </c>
      <c r="M247" s="10">
        <v>2</v>
      </c>
    </row>
    <row r="248" spans="1:13">
      <c r="A248" s="8">
        <v>43347</v>
      </c>
      <c r="B248" s="9">
        <v>0.52013888888888882</v>
      </c>
      <c r="C248" s="10" t="str">
        <f>"FES1162645119"</f>
        <v>FES1162645119</v>
      </c>
      <c r="D248" s="10" t="s">
        <v>19</v>
      </c>
      <c r="E248" s="10" t="s">
        <v>103</v>
      </c>
      <c r="F248" s="10" t="str">
        <f>"2170648380 "</f>
        <v xml:space="preserve">2170648380 </v>
      </c>
      <c r="G248" s="10" t="str">
        <f t="shared" si="7"/>
        <v>ON1</v>
      </c>
      <c r="H248" s="10" t="s">
        <v>21</v>
      </c>
      <c r="I248" s="10" t="s">
        <v>283</v>
      </c>
      <c r="J248" s="10" t="str">
        <f>""</f>
        <v/>
      </c>
      <c r="K248" s="10" t="str">
        <f>"PFES1162645119_0001"</f>
        <v>PFES1162645119_0001</v>
      </c>
      <c r="L248" s="10">
        <v>1</v>
      </c>
      <c r="M248" s="10">
        <v>4</v>
      </c>
    </row>
    <row r="249" spans="1:13">
      <c r="A249" s="8">
        <v>43347</v>
      </c>
      <c r="B249" s="9">
        <v>0.51874999999999993</v>
      </c>
      <c r="C249" s="10" t="str">
        <f>"FES1162644993"</f>
        <v>FES1162644993</v>
      </c>
      <c r="D249" s="10" t="s">
        <v>19</v>
      </c>
      <c r="E249" s="10" t="s">
        <v>284</v>
      </c>
      <c r="F249" s="10" t="str">
        <f>"2170641264 "</f>
        <v xml:space="preserve">2170641264 </v>
      </c>
      <c r="G249" s="10" t="str">
        <f t="shared" si="7"/>
        <v>ON1</v>
      </c>
      <c r="H249" s="10" t="s">
        <v>21</v>
      </c>
      <c r="I249" s="10" t="s">
        <v>57</v>
      </c>
      <c r="J249" s="10" t="str">
        <f>""</f>
        <v/>
      </c>
      <c r="K249" s="10" t="str">
        <f>"PFES1162644993_0001"</f>
        <v>PFES1162644993_0001</v>
      </c>
      <c r="L249" s="10">
        <v>1</v>
      </c>
      <c r="M249" s="10">
        <v>13</v>
      </c>
    </row>
    <row r="250" spans="1:13">
      <c r="A250" s="8">
        <v>43347</v>
      </c>
      <c r="B250" s="9">
        <v>0.51736111111111105</v>
      </c>
      <c r="C250" s="10" t="str">
        <f>"FES1162645032"</f>
        <v>FES1162645032</v>
      </c>
      <c r="D250" s="10" t="s">
        <v>19</v>
      </c>
      <c r="E250" s="10" t="s">
        <v>285</v>
      </c>
      <c r="F250" s="10" t="str">
        <f>"2170648801 "</f>
        <v xml:space="preserve">2170648801 </v>
      </c>
      <c r="G250" s="10" t="str">
        <f t="shared" si="7"/>
        <v>ON1</v>
      </c>
      <c r="H250" s="10" t="s">
        <v>21</v>
      </c>
      <c r="I250" s="10" t="s">
        <v>105</v>
      </c>
      <c r="J250" s="10" t="str">
        <f>""</f>
        <v/>
      </c>
      <c r="K250" s="10" t="str">
        <f>"PFES1162645032_0001"</f>
        <v>PFES1162645032_0001</v>
      </c>
      <c r="L250" s="10">
        <v>1</v>
      </c>
      <c r="M250" s="10">
        <v>15</v>
      </c>
    </row>
    <row r="251" spans="1:13">
      <c r="A251" s="8">
        <v>43347</v>
      </c>
      <c r="B251" s="9">
        <v>0.51666666666666672</v>
      </c>
      <c r="C251" s="10" t="str">
        <f>"FES1162645050"</f>
        <v>FES1162645050</v>
      </c>
      <c r="D251" s="10" t="s">
        <v>19</v>
      </c>
      <c r="E251" s="10" t="s">
        <v>67</v>
      </c>
      <c r="F251" s="10" t="str">
        <f>"2170649153 "</f>
        <v xml:space="preserve">2170649153 </v>
      </c>
      <c r="G251" s="10" t="str">
        <f t="shared" si="7"/>
        <v>ON1</v>
      </c>
      <c r="H251" s="10" t="s">
        <v>21</v>
      </c>
      <c r="I251" s="10" t="s">
        <v>68</v>
      </c>
      <c r="J251" s="10" t="str">
        <f>""</f>
        <v/>
      </c>
      <c r="K251" s="10" t="str">
        <f>"PFES1162645050_0001"</f>
        <v>PFES1162645050_0001</v>
      </c>
      <c r="L251" s="10">
        <v>1</v>
      </c>
      <c r="M251" s="10">
        <v>2</v>
      </c>
    </row>
    <row r="252" spans="1:13">
      <c r="A252" s="8">
        <v>43347</v>
      </c>
      <c r="B252" s="9">
        <v>0.51527777777777783</v>
      </c>
      <c r="C252" s="10" t="str">
        <f>"FES1162645083"</f>
        <v>FES1162645083</v>
      </c>
      <c r="D252" s="10" t="s">
        <v>19</v>
      </c>
      <c r="E252" s="10" t="s">
        <v>286</v>
      </c>
      <c r="F252" s="10" t="str">
        <f>"2170649689 "</f>
        <v xml:space="preserve">2170649689 </v>
      </c>
      <c r="G252" s="10" t="str">
        <f t="shared" si="7"/>
        <v>ON1</v>
      </c>
      <c r="H252" s="10" t="s">
        <v>21</v>
      </c>
      <c r="I252" s="10" t="s">
        <v>287</v>
      </c>
      <c r="J252" s="10" t="str">
        <f>""</f>
        <v/>
      </c>
      <c r="K252" s="10" t="str">
        <f>"PFES1162645083_0001"</f>
        <v>PFES1162645083_0001</v>
      </c>
      <c r="L252" s="10">
        <v>1</v>
      </c>
      <c r="M252" s="10">
        <v>2</v>
      </c>
    </row>
    <row r="253" spans="1:13">
      <c r="A253" s="8">
        <v>43347</v>
      </c>
      <c r="B253" s="9">
        <v>0.51527777777777783</v>
      </c>
      <c r="C253" s="10" t="str">
        <f>"FES1162644990"</f>
        <v>FES1162644990</v>
      </c>
      <c r="D253" s="10" t="s">
        <v>19</v>
      </c>
      <c r="E253" s="10" t="s">
        <v>288</v>
      </c>
      <c r="F253" s="10" t="str">
        <f>"2170642343 "</f>
        <v xml:space="preserve">2170642343 </v>
      </c>
      <c r="G253" s="10" t="str">
        <f>"DBC"</f>
        <v>DBC</v>
      </c>
      <c r="H253" s="10" t="s">
        <v>21</v>
      </c>
      <c r="I253" s="10" t="s">
        <v>269</v>
      </c>
      <c r="J253" s="10" t="str">
        <f>""</f>
        <v/>
      </c>
      <c r="K253" s="10" t="str">
        <f>"PFES1162644990_0001"</f>
        <v>PFES1162644990_0001</v>
      </c>
      <c r="L253" s="10">
        <v>2</v>
      </c>
      <c r="M253" s="10">
        <v>23</v>
      </c>
    </row>
    <row r="254" spans="1:13">
      <c r="A254" s="8">
        <v>43347</v>
      </c>
      <c r="B254" s="9">
        <v>0.51527777777777783</v>
      </c>
      <c r="C254" s="10" t="str">
        <f>"FES1162645004"</f>
        <v>FES1162645004</v>
      </c>
      <c r="D254" s="10" t="s">
        <v>19</v>
      </c>
      <c r="E254" s="10" t="s">
        <v>59</v>
      </c>
      <c r="F254" s="10" t="str">
        <f>"2170645444 "</f>
        <v xml:space="preserve">2170645444 </v>
      </c>
      <c r="G254" s="10" t="str">
        <f t="shared" ref="G254:G317" si="8">"ON1"</f>
        <v>ON1</v>
      </c>
      <c r="H254" s="10" t="s">
        <v>21</v>
      </c>
      <c r="I254" s="10" t="s">
        <v>60</v>
      </c>
      <c r="J254" s="10" t="str">
        <f>""</f>
        <v/>
      </c>
      <c r="K254" s="10" t="str">
        <f>"PFES1162645004_0001"</f>
        <v>PFES1162645004_0001</v>
      </c>
      <c r="L254" s="10">
        <v>1</v>
      </c>
      <c r="M254" s="10">
        <v>1</v>
      </c>
    </row>
    <row r="255" spans="1:13">
      <c r="A255" s="8">
        <v>43347</v>
      </c>
      <c r="B255" s="9">
        <v>0.51458333333333328</v>
      </c>
      <c r="C255" s="10" t="str">
        <f>"FES1162645095"</f>
        <v>FES1162645095</v>
      </c>
      <c r="D255" s="10" t="s">
        <v>19</v>
      </c>
      <c r="E255" s="10" t="s">
        <v>162</v>
      </c>
      <c r="F255" s="10" t="str">
        <f>"2170649926 "</f>
        <v xml:space="preserve">2170649926 </v>
      </c>
      <c r="G255" s="10" t="str">
        <f t="shared" si="8"/>
        <v>ON1</v>
      </c>
      <c r="H255" s="10" t="s">
        <v>21</v>
      </c>
      <c r="I255" s="10" t="s">
        <v>30</v>
      </c>
      <c r="J255" s="10" t="str">
        <f>""</f>
        <v/>
      </c>
      <c r="K255" s="10" t="str">
        <f>"PFES1162645095_0001"</f>
        <v>PFES1162645095_0001</v>
      </c>
      <c r="L255" s="10">
        <v>1</v>
      </c>
      <c r="M255" s="10">
        <v>2</v>
      </c>
    </row>
    <row r="256" spans="1:13">
      <c r="A256" s="8">
        <v>43347</v>
      </c>
      <c r="B256" s="9">
        <v>0.51458333333333328</v>
      </c>
      <c r="C256" s="10" t="str">
        <f>"FES1162645033"</f>
        <v>FES1162645033</v>
      </c>
      <c r="D256" s="10" t="s">
        <v>19</v>
      </c>
      <c r="E256" s="10" t="s">
        <v>162</v>
      </c>
      <c r="F256" s="10" t="str">
        <f>"2170648849 "</f>
        <v xml:space="preserve">2170648849 </v>
      </c>
      <c r="G256" s="10" t="str">
        <f t="shared" si="8"/>
        <v>ON1</v>
      </c>
      <c r="H256" s="10" t="s">
        <v>21</v>
      </c>
      <c r="I256" s="10" t="s">
        <v>30</v>
      </c>
      <c r="J256" s="10" t="str">
        <f>""</f>
        <v/>
      </c>
      <c r="K256" s="10" t="str">
        <f>"PFES1162645033_0001"</f>
        <v>PFES1162645033_0001</v>
      </c>
      <c r="L256" s="10">
        <v>2</v>
      </c>
      <c r="M256" s="10">
        <v>4</v>
      </c>
    </row>
    <row r="257" spans="1:13">
      <c r="A257" s="8">
        <v>43347</v>
      </c>
      <c r="B257" s="9">
        <v>0.51458333333333328</v>
      </c>
      <c r="C257" s="10" t="str">
        <f>"FES1162645008"</f>
        <v>FES1162645008</v>
      </c>
      <c r="D257" s="10" t="s">
        <v>19</v>
      </c>
      <c r="E257" s="10" t="s">
        <v>70</v>
      </c>
      <c r="F257" s="10" t="str">
        <f>"2170646998 "</f>
        <v xml:space="preserve">2170646998 </v>
      </c>
      <c r="G257" s="10" t="str">
        <f t="shared" si="8"/>
        <v>ON1</v>
      </c>
      <c r="H257" s="10" t="s">
        <v>21</v>
      </c>
      <c r="I257" s="10" t="s">
        <v>57</v>
      </c>
      <c r="J257" s="10" t="str">
        <f>""</f>
        <v/>
      </c>
      <c r="K257" s="10" t="str">
        <f>"PFES1162645008_0001"</f>
        <v>PFES1162645008_0001</v>
      </c>
      <c r="L257" s="10">
        <v>1</v>
      </c>
      <c r="M257" s="10">
        <v>5</v>
      </c>
    </row>
    <row r="258" spans="1:13">
      <c r="A258" s="8">
        <v>43347</v>
      </c>
      <c r="B258" s="9">
        <v>0.51388888888888895</v>
      </c>
      <c r="C258" s="10" t="str">
        <f>"FES1162645071"</f>
        <v>FES1162645071</v>
      </c>
      <c r="D258" s="10" t="s">
        <v>19</v>
      </c>
      <c r="E258" s="10" t="s">
        <v>162</v>
      </c>
      <c r="F258" s="10" t="str">
        <f>"2170649537 "</f>
        <v xml:space="preserve">2170649537 </v>
      </c>
      <c r="G258" s="10" t="str">
        <f t="shared" si="8"/>
        <v>ON1</v>
      </c>
      <c r="H258" s="10" t="s">
        <v>21</v>
      </c>
      <c r="I258" s="10" t="s">
        <v>30</v>
      </c>
      <c r="J258" s="10" t="str">
        <f>""</f>
        <v/>
      </c>
      <c r="K258" s="10" t="str">
        <f>"PFES1162645071_0001"</f>
        <v>PFES1162645071_0001</v>
      </c>
      <c r="L258" s="10">
        <v>1</v>
      </c>
      <c r="M258" s="10">
        <v>2</v>
      </c>
    </row>
    <row r="259" spans="1:13">
      <c r="A259" s="8">
        <v>43347</v>
      </c>
      <c r="B259" s="9">
        <v>0.51388888888888895</v>
      </c>
      <c r="C259" s="10" t="str">
        <f>"FES1162645039"</f>
        <v>FES1162645039</v>
      </c>
      <c r="D259" s="10" t="s">
        <v>19</v>
      </c>
      <c r="E259" s="10" t="s">
        <v>162</v>
      </c>
      <c r="F259" s="10" t="str">
        <f>"2170649001 "</f>
        <v xml:space="preserve">2170649001 </v>
      </c>
      <c r="G259" s="10" t="str">
        <f t="shared" si="8"/>
        <v>ON1</v>
      </c>
      <c r="H259" s="10" t="s">
        <v>21</v>
      </c>
      <c r="I259" s="10" t="s">
        <v>30</v>
      </c>
      <c r="J259" s="10" t="str">
        <f>""</f>
        <v/>
      </c>
      <c r="K259" s="10" t="str">
        <f>"PFES1162645039_0001"</f>
        <v>PFES1162645039_0001</v>
      </c>
      <c r="L259" s="10">
        <v>1</v>
      </c>
      <c r="M259" s="10">
        <v>1</v>
      </c>
    </row>
    <row r="260" spans="1:13">
      <c r="A260" s="8">
        <v>43347</v>
      </c>
      <c r="B260" s="9">
        <v>0.5131944444444444</v>
      </c>
      <c r="C260" s="10" t="str">
        <f>"FES1162645015"</f>
        <v>FES1162645015</v>
      </c>
      <c r="D260" s="10" t="s">
        <v>19</v>
      </c>
      <c r="E260" s="10" t="s">
        <v>289</v>
      </c>
      <c r="F260" s="10" t="str">
        <f>"2170647725 "</f>
        <v xml:space="preserve">2170647725 </v>
      </c>
      <c r="G260" s="10" t="str">
        <f t="shared" si="8"/>
        <v>ON1</v>
      </c>
      <c r="H260" s="10" t="s">
        <v>21</v>
      </c>
      <c r="I260" s="10" t="s">
        <v>290</v>
      </c>
      <c r="J260" s="10" t="str">
        <f>""</f>
        <v/>
      </c>
      <c r="K260" s="10" t="str">
        <f>"PFES1162645015_0001"</f>
        <v>PFES1162645015_0001</v>
      </c>
      <c r="L260" s="10">
        <v>1</v>
      </c>
      <c r="M260" s="10">
        <v>10</v>
      </c>
    </row>
    <row r="261" spans="1:13">
      <c r="A261" s="8">
        <v>43347</v>
      </c>
      <c r="B261" s="9">
        <v>0.5131944444444444</v>
      </c>
      <c r="C261" s="10" t="str">
        <f>"FES1162645012"</f>
        <v>FES1162645012</v>
      </c>
      <c r="D261" s="10" t="s">
        <v>19</v>
      </c>
      <c r="E261" s="10" t="s">
        <v>27</v>
      </c>
      <c r="F261" s="10" t="str">
        <f>"2170647412 "</f>
        <v xml:space="preserve">2170647412 </v>
      </c>
      <c r="G261" s="10" t="str">
        <f t="shared" si="8"/>
        <v>ON1</v>
      </c>
      <c r="H261" s="10" t="s">
        <v>21</v>
      </c>
      <c r="I261" s="10" t="s">
        <v>28</v>
      </c>
      <c r="J261" s="10" t="str">
        <f>""</f>
        <v/>
      </c>
      <c r="K261" s="10" t="str">
        <f>"PFES1162645012_0001"</f>
        <v>PFES1162645012_0001</v>
      </c>
      <c r="L261" s="10">
        <v>2</v>
      </c>
      <c r="M261" s="10">
        <v>7</v>
      </c>
    </row>
    <row r="262" spans="1:13">
      <c r="A262" s="8">
        <v>43347</v>
      </c>
      <c r="B262" s="9">
        <v>0.5131944444444444</v>
      </c>
      <c r="C262" s="10" t="str">
        <f>"FES1162645097"</f>
        <v>FES1162645097</v>
      </c>
      <c r="D262" s="10" t="s">
        <v>19</v>
      </c>
      <c r="E262" s="10" t="s">
        <v>96</v>
      </c>
      <c r="F262" s="10" t="str">
        <f>"2170649934 "</f>
        <v xml:space="preserve">2170649934 </v>
      </c>
      <c r="G262" s="10" t="str">
        <f t="shared" si="8"/>
        <v>ON1</v>
      </c>
      <c r="H262" s="10" t="s">
        <v>21</v>
      </c>
      <c r="I262" s="10" t="s">
        <v>97</v>
      </c>
      <c r="J262" s="10" t="str">
        <f>""</f>
        <v/>
      </c>
      <c r="K262" s="10" t="str">
        <f>"PFES1162645097_0001"</f>
        <v>PFES1162645097_0001</v>
      </c>
      <c r="L262" s="10">
        <v>1</v>
      </c>
      <c r="M262" s="10">
        <v>3</v>
      </c>
    </row>
    <row r="263" spans="1:13">
      <c r="A263" s="8">
        <v>43347</v>
      </c>
      <c r="B263" s="9">
        <v>0.51250000000000007</v>
      </c>
      <c r="C263" s="10" t="str">
        <f>"FES1162645106"</f>
        <v>FES1162645106</v>
      </c>
      <c r="D263" s="10" t="s">
        <v>19</v>
      </c>
      <c r="E263" s="10" t="s">
        <v>247</v>
      </c>
      <c r="F263" s="10" t="str">
        <f>"2170649550 "</f>
        <v xml:space="preserve">2170649550 </v>
      </c>
      <c r="G263" s="10" t="str">
        <f t="shared" si="8"/>
        <v>ON1</v>
      </c>
      <c r="H263" s="10" t="s">
        <v>21</v>
      </c>
      <c r="I263" s="10" t="s">
        <v>248</v>
      </c>
      <c r="J263" s="10" t="str">
        <f>""</f>
        <v/>
      </c>
      <c r="K263" s="10" t="str">
        <f>"PFES1162645106_0001"</f>
        <v>PFES1162645106_0001</v>
      </c>
      <c r="L263" s="10">
        <v>1</v>
      </c>
      <c r="M263" s="10">
        <v>5</v>
      </c>
    </row>
    <row r="264" spans="1:13">
      <c r="A264" s="8">
        <v>43347</v>
      </c>
      <c r="B264" s="9">
        <v>0.51250000000000007</v>
      </c>
      <c r="C264" s="10" t="str">
        <f>"FES1162645057"</f>
        <v>FES1162645057</v>
      </c>
      <c r="D264" s="10" t="s">
        <v>19</v>
      </c>
      <c r="E264" s="10" t="s">
        <v>59</v>
      </c>
      <c r="F264" s="10" t="str">
        <f>"2170649299 "</f>
        <v xml:space="preserve">2170649299 </v>
      </c>
      <c r="G264" s="10" t="str">
        <f t="shared" si="8"/>
        <v>ON1</v>
      </c>
      <c r="H264" s="10" t="s">
        <v>21</v>
      </c>
      <c r="I264" s="10" t="s">
        <v>60</v>
      </c>
      <c r="J264" s="10" t="str">
        <f>""</f>
        <v/>
      </c>
      <c r="K264" s="10" t="str">
        <f>"PFES1162645057_0001"</f>
        <v>PFES1162645057_0001</v>
      </c>
      <c r="L264" s="10">
        <v>1</v>
      </c>
      <c r="M264" s="10">
        <v>3</v>
      </c>
    </row>
    <row r="265" spans="1:13">
      <c r="A265" s="8">
        <v>43347</v>
      </c>
      <c r="B265" s="9">
        <v>0.51250000000000007</v>
      </c>
      <c r="C265" s="10" t="str">
        <f>"FES1162644987"</f>
        <v>FES1162644987</v>
      </c>
      <c r="D265" s="10" t="s">
        <v>19</v>
      </c>
      <c r="E265" s="10" t="s">
        <v>27</v>
      </c>
      <c r="F265" s="10" t="str">
        <f>"2170648458 "</f>
        <v xml:space="preserve">2170648458 </v>
      </c>
      <c r="G265" s="10" t="str">
        <f t="shared" si="8"/>
        <v>ON1</v>
      </c>
      <c r="H265" s="10" t="s">
        <v>21</v>
      </c>
      <c r="I265" s="10" t="s">
        <v>28</v>
      </c>
      <c r="J265" s="10" t="str">
        <f>""</f>
        <v/>
      </c>
      <c r="K265" s="10" t="str">
        <f>"PFES1162644987_0001"</f>
        <v>PFES1162644987_0001</v>
      </c>
      <c r="L265" s="10">
        <v>1</v>
      </c>
      <c r="M265" s="10">
        <v>1</v>
      </c>
    </row>
    <row r="266" spans="1:13">
      <c r="A266" s="8">
        <v>43347</v>
      </c>
      <c r="B266" s="9">
        <v>0.51180555555555551</v>
      </c>
      <c r="C266" s="10" t="str">
        <f>"FES1162645048"</f>
        <v>FES1162645048</v>
      </c>
      <c r="D266" s="10" t="s">
        <v>19</v>
      </c>
      <c r="E266" s="10" t="s">
        <v>291</v>
      </c>
      <c r="F266" s="10" t="str">
        <f>"2170649136 "</f>
        <v xml:space="preserve">2170649136 </v>
      </c>
      <c r="G266" s="10" t="str">
        <f t="shared" si="8"/>
        <v>ON1</v>
      </c>
      <c r="H266" s="10" t="s">
        <v>21</v>
      </c>
      <c r="I266" s="10" t="s">
        <v>97</v>
      </c>
      <c r="J266" s="10" t="str">
        <f>""</f>
        <v/>
      </c>
      <c r="K266" s="10" t="str">
        <f>"PFES1162645048_0001"</f>
        <v>PFES1162645048_0001</v>
      </c>
      <c r="L266" s="10">
        <v>1</v>
      </c>
      <c r="M266" s="10">
        <v>1</v>
      </c>
    </row>
    <row r="267" spans="1:13">
      <c r="A267" s="8">
        <v>43347</v>
      </c>
      <c r="B267" s="9">
        <v>0.51180555555555551</v>
      </c>
      <c r="C267" s="10" t="str">
        <f>"FES1162645046"</f>
        <v>FES1162645046</v>
      </c>
      <c r="D267" s="10" t="s">
        <v>19</v>
      </c>
      <c r="E267" s="10" t="s">
        <v>288</v>
      </c>
      <c r="F267" s="10" t="str">
        <f>"2170649094 "</f>
        <v xml:space="preserve">2170649094 </v>
      </c>
      <c r="G267" s="10" t="str">
        <f t="shared" si="8"/>
        <v>ON1</v>
      </c>
      <c r="H267" s="10" t="s">
        <v>21</v>
      </c>
      <c r="I267" s="10" t="s">
        <v>269</v>
      </c>
      <c r="J267" s="10" t="str">
        <f>""</f>
        <v/>
      </c>
      <c r="K267" s="10" t="str">
        <f>"PFES1162645046_0001"</f>
        <v>PFES1162645046_0001</v>
      </c>
      <c r="L267" s="10">
        <v>1</v>
      </c>
      <c r="M267" s="10">
        <v>1</v>
      </c>
    </row>
    <row r="268" spans="1:13">
      <c r="A268" s="8">
        <v>43347</v>
      </c>
      <c r="B268" s="9">
        <v>0.51180555555555551</v>
      </c>
      <c r="C268" s="10" t="str">
        <f>"FES1162645067"</f>
        <v>FES1162645067</v>
      </c>
      <c r="D268" s="10" t="s">
        <v>19</v>
      </c>
      <c r="E268" s="10" t="s">
        <v>292</v>
      </c>
      <c r="F268" s="10" t="str">
        <f>"2170649450 "</f>
        <v xml:space="preserve">2170649450 </v>
      </c>
      <c r="G268" s="10" t="str">
        <f t="shared" si="8"/>
        <v>ON1</v>
      </c>
      <c r="H268" s="10" t="s">
        <v>21</v>
      </c>
      <c r="I268" s="10" t="s">
        <v>147</v>
      </c>
      <c r="J268" s="10" t="str">
        <f>""</f>
        <v/>
      </c>
      <c r="K268" s="10" t="str">
        <f>"PFES1162645067_0001"</f>
        <v>PFES1162645067_0001</v>
      </c>
      <c r="L268" s="10">
        <v>1</v>
      </c>
      <c r="M268" s="10">
        <v>1</v>
      </c>
    </row>
    <row r="269" spans="1:13">
      <c r="A269" s="8">
        <v>43347</v>
      </c>
      <c r="B269" s="9">
        <v>0.51111111111111118</v>
      </c>
      <c r="C269" s="10" t="str">
        <f>"FES1162645082"</f>
        <v>FES1162645082</v>
      </c>
      <c r="D269" s="10" t="s">
        <v>19</v>
      </c>
      <c r="E269" s="10" t="s">
        <v>293</v>
      </c>
      <c r="F269" s="10" t="str">
        <f>"2170649688 "</f>
        <v xml:space="preserve">2170649688 </v>
      </c>
      <c r="G269" s="10" t="str">
        <f t="shared" si="8"/>
        <v>ON1</v>
      </c>
      <c r="H269" s="10" t="s">
        <v>21</v>
      </c>
      <c r="I269" s="10" t="s">
        <v>294</v>
      </c>
      <c r="J269" s="10" t="str">
        <f>""</f>
        <v/>
      </c>
      <c r="K269" s="10" t="str">
        <f>"PFES1162645082_0001"</f>
        <v>PFES1162645082_0001</v>
      </c>
      <c r="L269" s="10">
        <v>1</v>
      </c>
      <c r="M269" s="10">
        <v>1</v>
      </c>
    </row>
    <row r="270" spans="1:13">
      <c r="A270" s="8">
        <v>43347</v>
      </c>
      <c r="B270" s="9">
        <v>0.51111111111111118</v>
      </c>
      <c r="C270" s="10" t="str">
        <f>"FES1162645120"</f>
        <v>FES1162645120</v>
      </c>
      <c r="D270" s="10" t="s">
        <v>19</v>
      </c>
      <c r="E270" s="10" t="s">
        <v>224</v>
      </c>
      <c r="F270" s="10" t="str">
        <f>"2170649948 "</f>
        <v xml:space="preserve">2170649948 </v>
      </c>
      <c r="G270" s="10" t="str">
        <f t="shared" si="8"/>
        <v>ON1</v>
      </c>
      <c r="H270" s="10" t="s">
        <v>21</v>
      </c>
      <c r="I270" s="10" t="s">
        <v>225</v>
      </c>
      <c r="J270" s="10" t="str">
        <f>""</f>
        <v/>
      </c>
      <c r="K270" s="10" t="str">
        <f>"PFES1162645120_0001"</f>
        <v>PFES1162645120_0001</v>
      </c>
      <c r="L270" s="10">
        <v>1</v>
      </c>
      <c r="M270" s="10">
        <v>1</v>
      </c>
    </row>
    <row r="271" spans="1:13">
      <c r="A271" s="8">
        <v>43347</v>
      </c>
      <c r="B271" s="9">
        <v>0.51111111111111118</v>
      </c>
      <c r="C271" s="10" t="str">
        <f>"FES1162645105"</f>
        <v>FES1162645105</v>
      </c>
      <c r="D271" s="10" t="s">
        <v>19</v>
      </c>
      <c r="E271" s="10" t="s">
        <v>176</v>
      </c>
      <c r="F271" s="10" t="str">
        <f>"2170649949 "</f>
        <v xml:space="preserve">2170649949 </v>
      </c>
      <c r="G271" s="10" t="str">
        <f t="shared" si="8"/>
        <v>ON1</v>
      </c>
      <c r="H271" s="10" t="s">
        <v>21</v>
      </c>
      <c r="I271" s="10" t="s">
        <v>177</v>
      </c>
      <c r="J271" s="10" t="str">
        <f>""</f>
        <v/>
      </c>
      <c r="K271" s="10" t="str">
        <f>"PFES1162645105_0001"</f>
        <v>PFES1162645105_0001</v>
      </c>
      <c r="L271" s="10">
        <v>1</v>
      </c>
      <c r="M271" s="10">
        <v>1</v>
      </c>
    </row>
    <row r="272" spans="1:13">
      <c r="A272" s="8">
        <v>43347</v>
      </c>
      <c r="B272" s="9">
        <v>0.51041666666666663</v>
      </c>
      <c r="C272" s="10" t="str">
        <f>"FES1162645023"</f>
        <v>FES1162645023</v>
      </c>
      <c r="D272" s="10" t="s">
        <v>19</v>
      </c>
      <c r="E272" s="10" t="s">
        <v>295</v>
      </c>
      <c r="F272" s="10" t="str">
        <f>"2170648442 "</f>
        <v xml:space="preserve">2170648442 </v>
      </c>
      <c r="G272" s="10" t="str">
        <f t="shared" si="8"/>
        <v>ON1</v>
      </c>
      <c r="H272" s="10" t="s">
        <v>21</v>
      </c>
      <c r="I272" s="10" t="s">
        <v>42</v>
      </c>
      <c r="J272" s="10" t="str">
        <f>""</f>
        <v/>
      </c>
      <c r="K272" s="10" t="str">
        <f>"PFES1162645023_0001"</f>
        <v>PFES1162645023_0001</v>
      </c>
      <c r="L272" s="10">
        <v>1</v>
      </c>
      <c r="M272" s="10">
        <v>1</v>
      </c>
    </row>
    <row r="273" spans="1:13">
      <c r="A273" s="8">
        <v>43347</v>
      </c>
      <c r="B273" s="9">
        <v>0.51041666666666663</v>
      </c>
      <c r="C273" s="10" t="str">
        <f>"FES1162645040"</f>
        <v>FES1162645040</v>
      </c>
      <c r="D273" s="10" t="s">
        <v>19</v>
      </c>
      <c r="E273" s="10" t="s">
        <v>296</v>
      </c>
      <c r="F273" s="10" t="str">
        <f>"2170649008 "</f>
        <v xml:space="preserve">2170649008 </v>
      </c>
      <c r="G273" s="10" t="str">
        <f t="shared" si="8"/>
        <v>ON1</v>
      </c>
      <c r="H273" s="10" t="s">
        <v>21</v>
      </c>
      <c r="I273" s="10" t="s">
        <v>124</v>
      </c>
      <c r="J273" s="10" t="str">
        <f>""</f>
        <v/>
      </c>
      <c r="K273" s="10" t="str">
        <f>"PFES1162645040_0001"</f>
        <v>PFES1162645040_0001</v>
      </c>
      <c r="L273" s="10">
        <v>1</v>
      </c>
      <c r="M273" s="10">
        <v>1</v>
      </c>
    </row>
    <row r="274" spans="1:13">
      <c r="A274" s="8">
        <v>43347</v>
      </c>
      <c r="B274" s="9">
        <v>0.50972222222222219</v>
      </c>
      <c r="C274" s="10" t="str">
        <f>"FES1162645000"</f>
        <v>FES1162645000</v>
      </c>
      <c r="D274" s="10" t="s">
        <v>19</v>
      </c>
      <c r="E274" s="10" t="s">
        <v>297</v>
      </c>
      <c r="F274" s="10" t="str">
        <f>"21706444412 "</f>
        <v xml:space="preserve">21706444412 </v>
      </c>
      <c r="G274" s="10" t="str">
        <f t="shared" si="8"/>
        <v>ON1</v>
      </c>
      <c r="H274" s="10" t="s">
        <v>21</v>
      </c>
      <c r="I274" s="10" t="s">
        <v>42</v>
      </c>
      <c r="J274" s="10" t="str">
        <f>""</f>
        <v/>
      </c>
      <c r="K274" s="10" t="str">
        <f>"PFES1162645000_0001"</f>
        <v>PFES1162645000_0001</v>
      </c>
      <c r="L274" s="10">
        <v>1</v>
      </c>
      <c r="M274" s="10">
        <v>1</v>
      </c>
    </row>
    <row r="275" spans="1:13">
      <c r="A275" s="8">
        <v>43347</v>
      </c>
      <c r="B275" s="9">
        <v>0.50972222222222219</v>
      </c>
      <c r="C275" s="10" t="str">
        <f>"FES1162645098"</f>
        <v>FES1162645098</v>
      </c>
      <c r="D275" s="10" t="s">
        <v>19</v>
      </c>
      <c r="E275" s="10" t="s">
        <v>298</v>
      </c>
      <c r="F275" s="10" t="str">
        <f>"2170649936 "</f>
        <v xml:space="preserve">2170649936 </v>
      </c>
      <c r="G275" s="10" t="str">
        <f t="shared" si="8"/>
        <v>ON1</v>
      </c>
      <c r="H275" s="10" t="s">
        <v>21</v>
      </c>
      <c r="I275" s="10" t="s">
        <v>118</v>
      </c>
      <c r="J275" s="10" t="str">
        <f>""</f>
        <v/>
      </c>
      <c r="K275" s="10" t="str">
        <f>"PFES1162645098_0001"</f>
        <v>PFES1162645098_0001</v>
      </c>
      <c r="L275" s="10">
        <v>1</v>
      </c>
      <c r="M275" s="10">
        <v>1</v>
      </c>
    </row>
    <row r="276" spans="1:13">
      <c r="A276" s="8">
        <v>43347</v>
      </c>
      <c r="B276" s="9">
        <v>0.50972222222222219</v>
      </c>
      <c r="C276" s="10" t="str">
        <f>"FES1162645080"</f>
        <v>FES1162645080</v>
      </c>
      <c r="D276" s="10" t="s">
        <v>19</v>
      </c>
      <c r="E276" s="10" t="s">
        <v>38</v>
      </c>
      <c r="F276" s="10" t="str">
        <f>"2170649679 "</f>
        <v xml:space="preserve">2170649679 </v>
      </c>
      <c r="G276" s="10" t="str">
        <f t="shared" si="8"/>
        <v>ON1</v>
      </c>
      <c r="H276" s="10" t="s">
        <v>21</v>
      </c>
      <c r="I276" s="10" t="s">
        <v>26</v>
      </c>
      <c r="J276" s="10" t="str">
        <f>""</f>
        <v/>
      </c>
      <c r="K276" s="10" t="str">
        <f>"PFES1162645080_0001"</f>
        <v>PFES1162645080_0001</v>
      </c>
      <c r="L276" s="10">
        <v>1</v>
      </c>
      <c r="M276" s="10">
        <v>1</v>
      </c>
    </row>
    <row r="277" spans="1:13">
      <c r="A277" s="8">
        <v>43347</v>
      </c>
      <c r="B277" s="9">
        <v>0.50902777777777775</v>
      </c>
      <c r="C277" s="10" t="str">
        <f>"FES1162645066"</f>
        <v>FES1162645066</v>
      </c>
      <c r="D277" s="10" t="s">
        <v>19</v>
      </c>
      <c r="E277" s="10" t="s">
        <v>299</v>
      </c>
      <c r="F277" s="10" t="str">
        <f>"2170649447 "</f>
        <v xml:space="preserve">2170649447 </v>
      </c>
      <c r="G277" s="10" t="str">
        <f t="shared" si="8"/>
        <v>ON1</v>
      </c>
      <c r="H277" s="10" t="s">
        <v>21</v>
      </c>
      <c r="I277" s="10" t="s">
        <v>300</v>
      </c>
      <c r="J277" s="10" t="str">
        <f>""</f>
        <v/>
      </c>
      <c r="K277" s="10" t="str">
        <f>"PFES1162645066_0001"</f>
        <v>PFES1162645066_0001</v>
      </c>
      <c r="L277" s="10">
        <v>1</v>
      </c>
      <c r="M277" s="10">
        <v>1</v>
      </c>
    </row>
    <row r="278" spans="1:13">
      <c r="A278" s="8">
        <v>43347</v>
      </c>
      <c r="B278" s="9">
        <v>0.50902777777777775</v>
      </c>
      <c r="C278" s="10" t="str">
        <f>"FES1162645073"</f>
        <v>FES1162645073</v>
      </c>
      <c r="D278" s="10" t="s">
        <v>19</v>
      </c>
      <c r="E278" s="10" t="s">
        <v>301</v>
      </c>
      <c r="F278" s="10" t="str">
        <f>"2170649607 "</f>
        <v xml:space="preserve">2170649607 </v>
      </c>
      <c r="G278" s="10" t="str">
        <f t="shared" si="8"/>
        <v>ON1</v>
      </c>
      <c r="H278" s="10" t="s">
        <v>21</v>
      </c>
      <c r="I278" s="10" t="s">
        <v>302</v>
      </c>
      <c r="J278" s="10" t="str">
        <f>""</f>
        <v/>
      </c>
      <c r="K278" s="10" t="str">
        <f>"PFES1162645073_0001"</f>
        <v>PFES1162645073_0001</v>
      </c>
      <c r="L278" s="10">
        <v>1</v>
      </c>
      <c r="M278" s="10">
        <v>1</v>
      </c>
    </row>
    <row r="279" spans="1:13">
      <c r="A279" s="8">
        <v>43347</v>
      </c>
      <c r="B279" s="9">
        <v>0.5083333333333333</v>
      </c>
      <c r="C279" s="10" t="str">
        <f>"FES1162645038"</f>
        <v>FES1162645038</v>
      </c>
      <c r="D279" s="10" t="s">
        <v>19</v>
      </c>
      <c r="E279" s="10" t="s">
        <v>295</v>
      </c>
      <c r="F279" s="10" t="str">
        <f>"2170648926 "</f>
        <v xml:space="preserve">2170648926 </v>
      </c>
      <c r="G279" s="10" t="str">
        <f t="shared" si="8"/>
        <v>ON1</v>
      </c>
      <c r="H279" s="10" t="s">
        <v>21</v>
      </c>
      <c r="I279" s="10" t="s">
        <v>42</v>
      </c>
      <c r="J279" s="10" t="str">
        <f>""</f>
        <v/>
      </c>
      <c r="K279" s="10" t="str">
        <f>"PFES1162645038_0001"</f>
        <v>PFES1162645038_0001</v>
      </c>
      <c r="L279" s="10">
        <v>1</v>
      </c>
      <c r="M279" s="10">
        <v>1</v>
      </c>
    </row>
    <row r="280" spans="1:13">
      <c r="A280" s="8">
        <v>43347</v>
      </c>
      <c r="B280" s="9">
        <v>0.5083333333333333</v>
      </c>
      <c r="C280" s="10" t="str">
        <f>"FES1162645065"</f>
        <v>FES1162645065</v>
      </c>
      <c r="D280" s="10" t="s">
        <v>19</v>
      </c>
      <c r="E280" s="10" t="s">
        <v>303</v>
      </c>
      <c r="F280" s="10" t="str">
        <f>"2170649445 "</f>
        <v xml:space="preserve">2170649445 </v>
      </c>
      <c r="G280" s="10" t="str">
        <f t="shared" si="8"/>
        <v>ON1</v>
      </c>
      <c r="H280" s="10" t="s">
        <v>21</v>
      </c>
      <c r="I280" s="10" t="s">
        <v>304</v>
      </c>
      <c r="J280" s="10" t="str">
        <f>""</f>
        <v/>
      </c>
      <c r="K280" s="10" t="str">
        <f>"PFES1162645065_0001"</f>
        <v>PFES1162645065_0001</v>
      </c>
      <c r="L280" s="10">
        <v>1</v>
      </c>
      <c r="M280" s="10">
        <v>1</v>
      </c>
    </row>
    <row r="281" spans="1:13">
      <c r="A281" s="8">
        <v>43347</v>
      </c>
      <c r="B281" s="9">
        <v>0.5083333333333333</v>
      </c>
      <c r="C281" s="10" t="str">
        <f>"FES1162645054"</f>
        <v>FES1162645054</v>
      </c>
      <c r="D281" s="10" t="s">
        <v>19</v>
      </c>
      <c r="E281" s="10" t="s">
        <v>172</v>
      </c>
      <c r="F281" s="10" t="str">
        <f>"2170649252 "</f>
        <v xml:space="preserve">2170649252 </v>
      </c>
      <c r="G281" s="10" t="str">
        <f t="shared" si="8"/>
        <v>ON1</v>
      </c>
      <c r="H281" s="10" t="s">
        <v>21</v>
      </c>
      <c r="I281" s="10" t="s">
        <v>105</v>
      </c>
      <c r="J281" s="10" t="str">
        <f>""</f>
        <v/>
      </c>
      <c r="K281" s="10" t="str">
        <f>"PFES1162645054_0001"</f>
        <v>PFES1162645054_0001</v>
      </c>
      <c r="L281" s="10">
        <v>1</v>
      </c>
      <c r="M281" s="10">
        <v>1</v>
      </c>
    </row>
    <row r="282" spans="1:13">
      <c r="A282" s="8">
        <v>43347</v>
      </c>
      <c r="B282" s="9">
        <v>0.49652777777777773</v>
      </c>
      <c r="C282" s="10" t="str">
        <f>"FES1162645077"</f>
        <v>FES1162645077</v>
      </c>
      <c r="D282" s="10" t="s">
        <v>19</v>
      </c>
      <c r="E282" s="10" t="s">
        <v>70</v>
      </c>
      <c r="F282" s="10" t="str">
        <f>"2170649646 "</f>
        <v xml:space="preserve">2170649646 </v>
      </c>
      <c r="G282" s="10" t="str">
        <f t="shared" si="8"/>
        <v>ON1</v>
      </c>
      <c r="H282" s="10" t="s">
        <v>21</v>
      </c>
      <c r="I282" s="10" t="s">
        <v>57</v>
      </c>
      <c r="J282" s="10" t="str">
        <f>""</f>
        <v/>
      </c>
      <c r="K282" s="10" t="str">
        <f>"PFES1162645077_0001"</f>
        <v>PFES1162645077_0001</v>
      </c>
      <c r="L282" s="10">
        <v>1</v>
      </c>
      <c r="M282" s="10">
        <v>1</v>
      </c>
    </row>
    <row r="283" spans="1:13">
      <c r="A283" s="8">
        <v>43347</v>
      </c>
      <c r="B283" s="9">
        <v>0.49652777777777773</v>
      </c>
      <c r="C283" s="10" t="str">
        <f>"FES1162645051"</f>
        <v>FES1162645051</v>
      </c>
      <c r="D283" s="10" t="s">
        <v>19</v>
      </c>
      <c r="E283" s="10" t="s">
        <v>149</v>
      </c>
      <c r="F283" s="10" t="str">
        <f>"2170649166 "</f>
        <v xml:space="preserve">2170649166 </v>
      </c>
      <c r="G283" s="10" t="str">
        <f t="shared" si="8"/>
        <v>ON1</v>
      </c>
      <c r="H283" s="10" t="s">
        <v>21</v>
      </c>
      <c r="I283" s="10" t="s">
        <v>150</v>
      </c>
      <c r="J283" s="10" t="str">
        <f>""</f>
        <v/>
      </c>
      <c r="K283" s="10" t="str">
        <f>"PFES1162645051_0001"</f>
        <v>PFES1162645051_0001</v>
      </c>
      <c r="L283" s="10">
        <v>1</v>
      </c>
      <c r="M283" s="10">
        <v>1</v>
      </c>
    </row>
    <row r="284" spans="1:13">
      <c r="A284" s="8">
        <v>43347</v>
      </c>
      <c r="B284" s="9">
        <v>0.49583333333333335</v>
      </c>
      <c r="C284" s="10" t="str">
        <f>"FES1162645062"</f>
        <v>FES1162645062</v>
      </c>
      <c r="D284" s="10" t="s">
        <v>19</v>
      </c>
      <c r="E284" s="10" t="s">
        <v>305</v>
      </c>
      <c r="F284" s="10" t="str">
        <f>"2170649384 "</f>
        <v xml:space="preserve">2170649384 </v>
      </c>
      <c r="G284" s="10" t="str">
        <f t="shared" si="8"/>
        <v>ON1</v>
      </c>
      <c r="H284" s="10" t="s">
        <v>21</v>
      </c>
      <c r="I284" s="10" t="s">
        <v>306</v>
      </c>
      <c r="J284" s="10" t="str">
        <f>""</f>
        <v/>
      </c>
      <c r="K284" s="10" t="str">
        <f>"PFES1162645062_0001"</f>
        <v>PFES1162645062_0001</v>
      </c>
      <c r="L284" s="10">
        <v>1</v>
      </c>
      <c r="M284" s="10">
        <v>1</v>
      </c>
    </row>
    <row r="285" spans="1:13">
      <c r="A285" s="8">
        <v>43347</v>
      </c>
      <c r="B285" s="9">
        <v>0.49583333333333335</v>
      </c>
      <c r="C285" s="10" t="str">
        <f>"FES1162645047"</f>
        <v>FES1162645047</v>
      </c>
      <c r="D285" s="10" t="s">
        <v>19</v>
      </c>
      <c r="E285" s="10" t="s">
        <v>307</v>
      </c>
      <c r="F285" s="10" t="str">
        <f>"2170649123 "</f>
        <v xml:space="preserve">2170649123 </v>
      </c>
      <c r="G285" s="10" t="str">
        <f t="shared" si="8"/>
        <v>ON1</v>
      </c>
      <c r="H285" s="10" t="s">
        <v>21</v>
      </c>
      <c r="I285" s="10" t="s">
        <v>308</v>
      </c>
      <c r="J285" s="10" t="str">
        <f>""</f>
        <v/>
      </c>
      <c r="K285" s="10" t="str">
        <f>"PFES1162645047_0001"</f>
        <v>PFES1162645047_0001</v>
      </c>
      <c r="L285" s="10">
        <v>1</v>
      </c>
      <c r="M285" s="10">
        <v>1</v>
      </c>
    </row>
    <row r="286" spans="1:13">
      <c r="A286" s="8">
        <v>43347</v>
      </c>
      <c r="B286" s="9">
        <v>0.49513888888888885</v>
      </c>
      <c r="C286" s="10" t="str">
        <f>"FES1162645049"</f>
        <v>FES1162645049</v>
      </c>
      <c r="D286" s="10" t="s">
        <v>19</v>
      </c>
      <c r="E286" s="10" t="s">
        <v>301</v>
      </c>
      <c r="F286" s="10" t="str">
        <f>"2170649151 "</f>
        <v xml:space="preserve">2170649151 </v>
      </c>
      <c r="G286" s="10" t="str">
        <f t="shared" si="8"/>
        <v>ON1</v>
      </c>
      <c r="H286" s="10" t="s">
        <v>21</v>
      </c>
      <c r="I286" s="10" t="s">
        <v>309</v>
      </c>
      <c r="J286" s="10" t="str">
        <f>""</f>
        <v/>
      </c>
      <c r="K286" s="10" t="str">
        <f>"PFES1162645049_0001"</f>
        <v>PFES1162645049_0001</v>
      </c>
      <c r="L286" s="10">
        <v>1</v>
      </c>
      <c r="M286" s="10">
        <v>1</v>
      </c>
    </row>
    <row r="287" spans="1:13">
      <c r="A287" s="8">
        <v>43347</v>
      </c>
      <c r="B287" s="9">
        <v>0.49513888888888885</v>
      </c>
      <c r="C287" s="10" t="str">
        <f>"FES1162645027"</f>
        <v>FES1162645027</v>
      </c>
      <c r="D287" s="10" t="s">
        <v>19</v>
      </c>
      <c r="E287" s="10" t="s">
        <v>301</v>
      </c>
      <c r="F287" s="10" t="str">
        <f>"2170648675 "</f>
        <v xml:space="preserve">2170648675 </v>
      </c>
      <c r="G287" s="10" t="str">
        <f t="shared" si="8"/>
        <v>ON1</v>
      </c>
      <c r="H287" s="10" t="s">
        <v>21</v>
      </c>
      <c r="I287" s="10" t="s">
        <v>309</v>
      </c>
      <c r="J287" s="10" t="str">
        <f>""</f>
        <v/>
      </c>
      <c r="K287" s="10" t="str">
        <f>"PFES1162645027_0001"</f>
        <v>PFES1162645027_0001</v>
      </c>
      <c r="L287" s="10">
        <v>1</v>
      </c>
      <c r="M287" s="10">
        <v>1</v>
      </c>
    </row>
    <row r="288" spans="1:13">
      <c r="A288" s="8">
        <v>43347</v>
      </c>
      <c r="B288" s="9">
        <v>0.49513888888888885</v>
      </c>
      <c r="C288" s="10" t="str">
        <f>"FES1162645021"</f>
        <v>FES1162645021</v>
      </c>
      <c r="D288" s="10" t="s">
        <v>19</v>
      </c>
      <c r="E288" s="10" t="s">
        <v>286</v>
      </c>
      <c r="F288" s="10" t="str">
        <f>"2170648242 "</f>
        <v xml:space="preserve">2170648242 </v>
      </c>
      <c r="G288" s="10" t="str">
        <f t="shared" si="8"/>
        <v>ON1</v>
      </c>
      <c r="H288" s="10" t="s">
        <v>21</v>
      </c>
      <c r="I288" s="10" t="s">
        <v>287</v>
      </c>
      <c r="J288" s="10" t="str">
        <f>""</f>
        <v/>
      </c>
      <c r="K288" s="10" t="str">
        <f>"PFES1162645021_0001"</f>
        <v>PFES1162645021_0001</v>
      </c>
      <c r="L288" s="10">
        <v>1</v>
      </c>
      <c r="M288" s="10">
        <v>1</v>
      </c>
    </row>
    <row r="289" spans="1:13">
      <c r="A289" s="8">
        <v>43347</v>
      </c>
      <c r="B289" s="9">
        <v>0.49444444444444446</v>
      </c>
      <c r="C289" s="10" t="str">
        <f>"FES1162645042"</f>
        <v>FES1162645042</v>
      </c>
      <c r="D289" s="10" t="s">
        <v>19</v>
      </c>
      <c r="E289" s="10" t="s">
        <v>310</v>
      </c>
      <c r="F289" s="10" t="str">
        <f>"2170649021 "</f>
        <v xml:space="preserve">2170649021 </v>
      </c>
      <c r="G289" s="10" t="str">
        <f t="shared" si="8"/>
        <v>ON1</v>
      </c>
      <c r="H289" s="10" t="s">
        <v>21</v>
      </c>
      <c r="I289" s="10" t="s">
        <v>78</v>
      </c>
      <c r="J289" s="10" t="str">
        <f>""</f>
        <v/>
      </c>
      <c r="K289" s="10" t="str">
        <f>"PFES1162645042_0001"</f>
        <v>PFES1162645042_0001</v>
      </c>
      <c r="L289" s="10">
        <v>1</v>
      </c>
      <c r="M289" s="10">
        <v>1</v>
      </c>
    </row>
    <row r="290" spans="1:13">
      <c r="A290" s="8">
        <v>43347</v>
      </c>
      <c r="B290" s="9">
        <v>0.49444444444444446</v>
      </c>
      <c r="C290" s="10" t="str">
        <f>"FES1162645007"</f>
        <v>FES1162645007</v>
      </c>
      <c r="D290" s="10" t="s">
        <v>19</v>
      </c>
      <c r="E290" s="10" t="s">
        <v>70</v>
      </c>
      <c r="F290" s="10" t="str">
        <f>"2170646961 "</f>
        <v xml:space="preserve">2170646961 </v>
      </c>
      <c r="G290" s="10" t="str">
        <f t="shared" si="8"/>
        <v>ON1</v>
      </c>
      <c r="H290" s="10" t="s">
        <v>21</v>
      </c>
      <c r="I290" s="10" t="s">
        <v>57</v>
      </c>
      <c r="J290" s="10" t="str">
        <f>""</f>
        <v/>
      </c>
      <c r="K290" s="10" t="str">
        <f>"PFES1162645007_0001"</f>
        <v>PFES1162645007_0001</v>
      </c>
      <c r="L290" s="10">
        <v>1</v>
      </c>
      <c r="M290" s="10">
        <v>1</v>
      </c>
    </row>
    <row r="291" spans="1:13">
      <c r="A291" s="8">
        <v>43347</v>
      </c>
      <c r="B291" s="9">
        <v>0.49374999999999997</v>
      </c>
      <c r="C291" s="10" t="str">
        <f>"FES1162645179"</f>
        <v>FES1162645179</v>
      </c>
      <c r="D291" s="10" t="s">
        <v>19</v>
      </c>
      <c r="E291" s="10" t="s">
        <v>230</v>
      </c>
      <c r="F291" s="10" t="str">
        <f>"2170650037 "</f>
        <v xml:space="preserve">2170650037 </v>
      </c>
      <c r="G291" s="10" t="str">
        <f t="shared" si="8"/>
        <v>ON1</v>
      </c>
      <c r="H291" s="10" t="s">
        <v>21</v>
      </c>
      <c r="I291" s="10" t="s">
        <v>231</v>
      </c>
      <c r="J291" s="10" t="str">
        <f>""</f>
        <v/>
      </c>
      <c r="K291" s="10" t="str">
        <f>"PFES1162645179_0001"</f>
        <v>PFES1162645179_0001</v>
      </c>
      <c r="L291" s="10">
        <v>1</v>
      </c>
      <c r="M291" s="10">
        <v>1</v>
      </c>
    </row>
    <row r="292" spans="1:13">
      <c r="A292" s="8">
        <v>43347</v>
      </c>
      <c r="B292" s="9">
        <v>0.49374999999999997</v>
      </c>
      <c r="C292" s="10" t="str">
        <f>"FES1162645121"</f>
        <v>FES1162645121</v>
      </c>
      <c r="D292" s="10" t="s">
        <v>19</v>
      </c>
      <c r="E292" s="10" t="s">
        <v>39</v>
      </c>
      <c r="F292" s="10" t="str">
        <f>"2170649973 "</f>
        <v xml:space="preserve">2170649973 </v>
      </c>
      <c r="G292" s="10" t="str">
        <f t="shared" si="8"/>
        <v>ON1</v>
      </c>
      <c r="H292" s="10" t="s">
        <v>21</v>
      </c>
      <c r="I292" s="10" t="s">
        <v>40</v>
      </c>
      <c r="J292" s="10" t="str">
        <f>""</f>
        <v/>
      </c>
      <c r="K292" s="10" t="str">
        <f>"PFES1162645121_0001"</f>
        <v>PFES1162645121_0001</v>
      </c>
      <c r="L292" s="10">
        <v>1</v>
      </c>
      <c r="M292" s="10">
        <v>1</v>
      </c>
    </row>
    <row r="293" spans="1:13">
      <c r="A293" s="8">
        <v>43347</v>
      </c>
      <c r="B293" s="9">
        <v>0.49374999999999997</v>
      </c>
      <c r="C293" s="10" t="str">
        <f>"FES1162645074"</f>
        <v>FES1162645074</v>
      </c>
      <c r="D293" s="10" t="s">
        <v>19</v>
      </c>
      <c r="E293" s="10" t="s">
        <v>311</v>
      </c>
      <c r="F293" s="10" t="str">
        <f>"2170649610 "</f>
        <v xml:space="preserve">2170649610 </v>
      </c>
      <c r="G293" s="10" t="str">
        <f t="shared" si="8"/>
        <v>ON1</v>
      </c>
      <c r="H293" s="10" t="s">
        <v>21</v>
      </c>
      <c r="I293" s="10" t="s">
        <v>312</v>
      </c>
      <c r="J293" s="10" t="str">
        <f>""</f>
        <v/>
      </c>
      <c r="K293" s="10" t="str">
        <f>"PFES1162645074_0001"</f>
        <v>PFES1162645074_0001</v>
      </c>
      <c r="L293" s="10">
        <v>1</v>
      </c>
      <c r="M293" s="10">
        <v>1</v>
      </c>
    </row>
    <row r="294" spans="1:13">
      <c r="A294" s="8">
        <v>43347</v>
      </c>
      <c r="B294" s="9">
        <v>0.49305555555555558</v>
      </c>
      <c r="C294" s="10" t="str">
        <f>"FES1162645115"</f>
        <v>FES1162645115</v>
      </c>
      <c r="D294" s="10" t="s">
        <v>19</v>
      </c>
      <c r="E294" s="10" t="s">
        <v>223</v>
      </c>
      <c r="F294" s="10" t="str">
        <f>"2170649969 "</f>
        <v xml:space="preserve">2170649969 </v>
      </c>
      <c r="G294" s="10" t="str">
        <f t="shared" si="8"/>
        <v>ON1</v>
      </c>
      <c r="H294" s="10" t="s">
        <v>21</v>
      </c>
      <c r="I294" s="10" t="s">
        <v>211</v>
      </c>
      <c r="J294" s="10" t="str">
        <f>""</f>
        <v/>
      </c>
      <c r="K294" s="10" t="str">
        <f>"PFES1162645115_0001"</f>
        <v>PFES1162645115_0001</v>
      </c>
      <c r="L294" s="10">
        <v>1</v>
      </c>
      <c r="M294" s="10">
        <v>1</v>
      </c>
    </row>
    <row r="295" spans="1:13">
      <c r="A295" s="8">
        <v>43347</v>
      </c>
      <c r="B295" s="9">
        <v>0.49305555555555558</v>
      </c>
      <c r="C295" s="10" t="str">
        <f>"FES1162645078"</f>
        <v>FES1162645078</v>
      </c>
      <c r="D295" s="10" t="s">
        <v>19</v>
      </c>
      <c r="E295" s="10" t="s">
        <v>293</v>
      </c>
      <c r="F295" s="10" t="str">
        <f>"2170649649 "</f>
        <v xml:space="preserve">2170649649 </v>
      </c>
      <c r="G295" s="10" t="str">
        <f t="shared" si="8"/>
        <v>ON1</v>
      </c>
      <c r="H295" s="10" t="s">
        <v>21</v>
      </c>
      <c r="I295" s="10" t="s">
        <v>294</v>
      </c>
      <c r="J295" s="10" t="str">
        <f>""</f>
        <v/>
      </c>
      <c r="K295" s="10" t="str">
        <f>"PFES1162645078_0001"</f>
        <v>PFES1162645078_0001</v>
      </c>
      <c r="L295" s="10">
        <v>1</v>
      </c>
      <c r="M295" s="10">
        <v>1</v>
      </c>
    </row>
    <row r="296" spans="1:13">
      <c r="A296" s="8">
        <v>43347</v>
      </c>
      <c r="B296" s="9">
        <v>0.49305555555555558</v>
      </c>
      <c r="C296" s="10" t="str">
        <f>"FES1162645079"</f>
        <v>FES1162645079</v>
      </c>
      <c r="D296" s="10" t="s">
        <v>19</v>
      </c>
      <c r="E296" s="10" t="s">
        <v>313</v>
      </c>
      <c r="F296" s="10" t="str">
        <f>"2170649663 "</f>
        <v xml:space="preserve">2170649663 </v>
      </c>
      <c r="G296" s="10" t="str">
        <f t="shared" si="8"/>
        <v>ON1</v>
      </c>
      <c r="H296" s="10" t="s">
        <v>21</v>
      </c>
      <c r="I296" s="10" t="s">
        <v>24</v>
      </c>
      <c r="J296" s="10" t="str">
        <f>""</f>
        <v/>
      </c>
      <c r="K296" s="10" t="str">
        <f>"PFES1162645079_0001"</f>
        <v>PFES1162645079_0001</v>
      </c>
      <c r="L296" s="10">
        <v>1</v>
      </c>
      <c r="M296" s="10">
        <v>1</v>
      </c>
    </row>
    <row r="297" spans="1:13">
      <c r="A297" s="8">
        <v>43347</v>
      </c>
      <c r="B297" s="9">
        <v>0.49236111111111108</v>
      </c>
      <c r="C297" s="10" t="str">
        <f>"FES1162645084"</f>
        <v>FES1162645084</v>
      </c>
      <c r="D297" s="10" t="s">
        <v>19</v>
      </c>
      <c r="E297" s="10" t="s">
        <v>142</v>
      </c>
      <c r="F297" s="10" t="str">
        <f>"2170649679 "</f>
        <v xml:space="preserve">2170649679 </v>
      </c>
      <c r="G297" s="10" t="str">
        <f t="shared" si="8"/>
        <v>ON1</v>
      </c>
      <c r="H297" s="10" t="s">
        <v>21</v>
      </c>
      <c r="I297" s="10" t="s">
        <v>143</v>
      </c>
      <c r="J297" s="10" t="str">
        <f>""</f>
        <v/>
      </c>
      <c r="K297" s="10" t="str">
        <f>"PFES1162645084_0001"</f>
        <v>PFES1162645084_0001</v>
      </c>
      <c r="L297" s="10">
        <v>1</v>
      </c>
      <c r="M297" s="10">
        <v>1</v>
      </c>
    </row>
    <row r="298" spans="1:13">
      <c r="A298" s="8">
        <v>43347</v>
      </c>
      <c r="B298" s="9">
        <v>0.49236111111111108</v>
      </c>
      <c r="C298" s="10" t="str">
        <f>"FES1162645055"</f>
        <v>FES1162645055</v>
      </c>
      <c r="D298" s="10" t="s">
        <v>19</v>
      </c>
      <c r="E298" s="10" t="s">
        <v>314</v>
      </c>
      <c r="F298" s="10" t="str">
        <f>"2170649264 "</f>
        <v xml:space="preserve">2170649264 </v>
      </c>
      <c r="G298" s="10" t="str">
        <f t="shared" si="8"/>
        <v>ON1</v>
      </c>
      <c r="H298" s="10" t="s">
        <v>21</v>
      </c>
      <c r="I298" s="10" t="s">
        <v>24</v>
      </c>
      <c r="J298" s="10" t="str">
        <f>""</f>
        <v/>
      </c>
      <c r="K298" s="10" t="str">
        <f>"PFES1162645055_0001"</f>
        <v>PFES1162645055_0001</v>
      </c>
      <c r="L298" s="10">
        <v>1</v>
      </c>
      <c r="M298" s="10">
        <v>1</v>
      </c>
    </row>
    <row r="299" spans="1:13">
      <c r="A299" s="8">
        <v>43347</v>
      </c>
      <c r="B299" s="9">
        <v>0.49236111111111108</v>
      </c>
      <c r="C299" s="10" t="str">
        <f>"FES1162645146"</f>
        <v>FES1162645146</v>
      </c>
      <c r="D299" s="10" t="s">
        <v>19</v>
      </c>
      <c r="E299" s="10" t="s">
        <v>315</v>
      </c>
      <c r="F299" s="10" t="str">
        <f>"2170648617 "</f>
        <v xml:space="preserve">2170648617 </v>
      </c>
      <c r="G299" s="10" t="str">
        <f t="shared" si="8"/>
        <v>ON1</v>
      </c>
      <c r="H299" s="10" t="s">
        <v>21</v>
      </c>
      <c r="I299" s="10" t="s">
        <v>277</v>
      </c>
      <c r="J299" s="10" t="str">
        <f>""</f>
        <v/>
      </c>
      <c r="K299" s="10" t="str">
        <f>"PFES1162645146_0001"</f>
        <v>PFES1162645146_0001</v>
      </c>
      <c r="L299" s="10">
        <v>1</v>
      </c>
      <c r="M299" s="10">
        <v>1</v>
      </c>
    </row>
    <row r="300" spans="1:13">
      <c r="A300" s="8">
        <v>43347</v>
      </c>
      <c r="B300" s="9">
        <v>0.4916666666666667</v>
      </c>
      <c r="C300" s="10" t="str">
        <f>"FES1162645036"</f>
        <v>FES1162645036</v>
      </c>
      <c r="D300" s="10" t="s">
        <v>19</v>
      </c>
      <c r="E300" s="10" t="s">
        <v>316</v>
      </c>
      <c r="F300" s="10" t="str">
        <f>"2170648873 "</f>
        <v xml:space="preserve">2170648873 </v>
      </c>
      <c r="G300" s="10" t="str">
        <f t="shared" si="8"/>
        <v>ON1</v>
      </c>
      <c r="H300" s="10" t="s">
        <v>21</v>
      </c>
      <c r="I300" s="10" t="s">
        <v>317</v>
      </c>
      <c r="J300" s="10" t="str">
        <f>""</f>
        <v/>
      </c>
      <c r="K300" s="10" t="str">
        <f>"PFES1162645036_0001"</f>
        <v>PFES1162645036_0001</v>
      </c>
      <c r="L300" s="10">
        <v>1</v>
      </c>
      <c r="M300" s="10">
        <v>1</v>
      </c>
    </row>
    <row r="301" spans="1:13">
      <c r="A301" s="8">
        <v>43347</v>
      </c>
      <c r="B301" s="9">
        <v>0.4916666666666667</v>
      </c>
      <c r="C301" s="10" t="str">
        <f>"FES1162645072"</f>
        <v>FES1162645072</v>
      </c>
      <c r="D301" s="10" t="s">
        <v>19</v>
      </c>
      <c r="E301" s="10" t="s">
        <v>318</v>
      </c>
      <c r="F301" s="10" t="str">
        <f>"2170649544 "</f>
        <v xml:space="preserve">2170649544 </v>
      </c>
      <c r="G301" s="10" t="str">
        <f t="shared" si="8"/>
        <v>ON1</v>
      </c>
      <c r="H301" s="10" t="s">
        <v>21</v>
      </c>
      <c r="I301" s="10" t="s">
        <v>319</v>
      </c>
      <c r="J301" s="10" t="str">
        <f>""</f>
        <v/>
      </c>
      <c r="K301" s="10" t="str">
        <f>"PFES1162645072_0001"</f>
        <v>PFES1162645072_0001</v>
      </c>
      <c r="L301" s="10">
        <v>1</v>
      </c>
      <c r="M301" s="10">
        <v>1</v>
      </c>
    </row>
    <row r="302" spans="1:13">
      <c r="A302" s="8">
        <v>43347</v>
      </c>
      <c r="B302" s="9">
        <v>0.4909722222222222</v>
      </c>
      <c r="C302" s="10" t="str">
        <f>"FES1162645009"</f>
        <v>FES1162645009</v>
      </c>
      <c r="D302" s="10" t="s">
        <v>19</v>
      </c>
      <c r="E302" s="10" t="s">
        <v>320</v>
      </c>
      <c r="F302" s="10" t="str">
        <f>"2170647007 "</f>
        <v xml:space="preserve">2170647007 </v>
      </c>
      <c r="G302" s="10" t="str">
        <f t="shared" si="8"/>
        <v>ON1</v>
      </c>
      <c r="H302" s="10" t="s">
        <v>21</v>
      </c>
      <c r="I302" s="10" t="s">
        <v>321</v>
      </c>
      <c r="J302" s="10" t="str">
        <f>""</f>
        <v/>
      </c>
      <c r="K302" s="10" t="str">
        <f>"PFES1162645009_0001"</f>
        <v>PFES1162645009_0001</v>
      </c>
      <c r="L302" s="10">
        <v>1</v>
      </c>
      <c r="M302" s="10">
        <v>1</v>
      </c>
    </row>
    <row r="303" spans="1:13">
      <c r="A303" s="8">
        <v>43347</v>
      </c>
      <c r="B303" s="9">
        <v>0.4909722222222222</v>
      </c>
      <c r="C303" s="10" t="str">
        <f>"FES1162645024"</f>
        <v>FES1162645024</v>
      </c>
      <c r="D303" s="10" t="s">
        <v>19</v>
      </c>
      <c r="E303" s="10" t="s">
        <v>322</v>
      </c>
      <c r="F303" s="10" t="str">
        <f>"2170648507 "</f>
        <v xml:space="preserve">2170648507 </v>
      </c>
      <c r="G303" s="10" t="str">
        <f t="shared" si="8"/>
        <v>ON1</v>
      </c>
      <c r="H303" s="10" t="s">
        <v>21</v>
      </c>
      <c r="I303" s="10" t="s">
        <v>323</v>
      </c>
      <c r="J303" s="10" t="str">
        <f>""</f>
        <v/>
      </c>
      <c r="K303" s="10" t="str">
        <f>"PFES1162645024_0001"</f>
        <v>PFES1162645024_0001</v>
      </c>
      <c r="L303" s="10">
        <v>1</v>
      </c>
      <c r="M303" s="10">
        <v>1</v>
      </c>
    </row>
    <row r="304" spans="1:13">
      <c r="A304" s="8">
        <v>43347</v>
      </c>
      <c r="B304" s="9">
        <v>0.4909722222222222</v>
      </c>
      <c r="C304" s="10" t="str">
        <f>"FES1162645069"</f>
        <v>FES1162645069</v>
      </c>
      <c r="D304" s="10" t="s">
        <v>19</v>
      </c>
      <c r="E304" s="10" t="s">
        <v>324</v>
      </c>
      <c r="F304" s="10" t="str">
        <f>"2170+649507 "</f>
        <v xml:space="preserve">2170+649507 </v>
      </c>
      <c r="G304" s="10" t="str">
        <f t="shared" si="8"/>
        <v>ON1</v>
      </c>
      <c r="H304" s="10" t="s">
        <v>21</v>
      </c>
      <c r="I304" s="10" t="s">
        <v>24</v>
      </c>
      <c r="J304" s="10" t="str">
        <f>""</f>
        <v/>
      </c>
      <c r="K304" s="10" t="str">
        <f>"PFES1162645069_0001"</f>
        <v>PFES1162645069_0001</v>
      </c>
      <c r="L304" s="10">
        <v>1</v>
      </c>
      <c r="M304" s="10">
        <v>1</v>
      </c>
    </row>
    <row r="305" spans="1:13">
      <c r="A305" s="8">
        <v>43347</v>
      </c>
      <c r="B305" s="9">
        <v>0.48958333333333331</v>
      </c>
      <c r="C305" s="10" t="str">
        <f>"FES1162645122"</f>
        <v>FES1162645122</v>
      </c>
      <c r="D305" s="10" t="s">
        <v>19</v>
      </c>
      <c r="E305" s="10" t="s">
        <v>325</v>
      </c>
      <c r="F305" s="10" t="str">
        <f>"2170649974 "</f>
        <v xml:space="preserve">2170649974 </v>
      </c>
      <c r="G305" s="10" t="str">
        <f t="shared" si="8"/>
        <v>ON1</v>
      </c>
      <c r="H305" s="10" t="s">
        <v>21</v>
      </c>
      <c r="I305" s="10" t="s">
        <v>131</v>
      </c>
      <c r="J305" s="10" t="str">
        <f>""</f>
        <v/>
      </c>
      <c r="K305" s="10" t="str">
        <f>"PFES1162645122_0001"</f>
        <v>PFES1162645122_0001</v>
      </c>
      <c r="L305" s="10">
        <v>1</v>
      </c>
      <c r="M305" s="10">
        <v>1</v>
      </c>
    </row>
    <row r="306" spans="1:13">
      <c r="A306" s="8">
        <v>43347</v>
      </c>
      <c r="B306" s="9">
        <v>0.4861111111111111</v>
      </c>
      <c r="C306" s="10" t="str">
        <f>"FES1162645099"</f>
        <v>FES1162645099</v>
      </c>
      <c r="D306" s="10" t="s">
        <v>19</v>
      </c>
      <c r="E306" s="10" t="s">
        <v>213</v>
      </c>
      <c r="F306" s="10" t="str">
        <f>"2170649938 "</f>
        <v xml:space="preserve">2170649938 </v>
      </c>
      <c r="G306" s="10" t="str">
        <f t="shared" si="8"/>
        <v>ON1</v>
      </c>
      <c r="H306" s="10" t="s">
        <v>21</v>
      </c>
      <c r="I306" s="10" t="s">
        <v>135</v>
      </c>
      <c r="J306" s="10" t="str">
        <f>""</f>
        <v/>
      </c>
      <c r="K306" s="10" t="str">
        <f>"PFES1162645099_0001"</f>
        <v>PFES1162645099_0001</v>
      </c>
      <c r="L306" s="10">
        <v>1</v>
      </c>
      <c r="M306" s="10">
        <v>1</v>
      </c>
    </row>
    <row r="307" spans="1:13">
      <c r="A307" s="8">
        <v>43347</v>
      </c>
      <c r="B307" s="9">
        <v>0.48472222222222222</v>
      </c>
      <c r="C307" s="10" t="str">
        <f>"FES1162645018"</f>
        <v>FES1162645018</v>
      </c>
      <c r="D307" s="10" t="s">
        <v>19</v>
      </c>
      <c r="E307" s="10" t="s">
        <v>326</v>
      </c>
      <c r="F307" s="10" t="str">
        <f>"2170647765 "</f>
        <v xml:space="preserve">2170647765 </v>
      </c>
      <c r="G307" s="10" t="str">
        <f t="shared" si="8"/>
        <v>ON1</v>
      </c>
      <c r="H307" s="10" t="s">
        <v>21</v>
      </c>
      <c r="I307" s="10" t="s">
        <v>277</v>
      </c>
      <c r="J307" s="10" t="str">
        <f>""</f>
        <v/>
      </c>
      <c r="K307" s="10" t="str">
        <f>"PFES1162645018_0001"</f>
        <v>PFES1162645018_0001</v>
      </c>
      <c r="L307" s="10">
        <v>1</v>
      </c>
      <c r="M307" s="10">
        <v>1</v>
      </c>
    </row>
    <row r="308" spans="1:13">
      <c r="A308" s="8">
        <v>43347</v>
      </c>
      <c r="B308" s="9">
        <v>0.48055555555555557</v>
      </c>
      <c r="C308" s="10" t="str">
        <f>"FES1162645118"</f>
        <v>FES1162645118</v>
      </c>
      <c r="D308" s="10" t="s">
        <v>19</v>
      </c>
      <c r="E308" s="10" t="s">
        <v>103</v>
      </c>
      <c r="F308" s="10" t="str">
        <f>"2170647218 "</f>
        <v xml:space="preserve">2170647218 </v>
      </c>
      <c r="G308" s="10" t="str">
        <f t="shared" si="8"/>
        <v>ON1</v>
      </c>
      <c r="H308" s="10" t="s">
        <v>21</v>
      </c>
      <c r="I308" s="10" t="s">
        <v>283</v>
      </c>
      <c r="J308" s="10" t="str">
        <f>""</f>
        <v/>
      </c>
      <c r="K308" s="10" t="str">
        <f>"PFES1162645118_0001"</f>
        <v>PFES1162645118_0001</v>
      </c>
      <c r="L308" s="10">
        <v>1</v>
      </c>
      <c r="M308" s="10">
        <v>1</v>
      </c>
    </row>
    <row r="309" spans="1:13">
      <c r="A309" s="8">
        <v>43347</v>
      </c>
      <c r="B309" s="9">
        <v>0.47916666666666669</v>
      </c>
      <c r="C309" s="10" t="str">
        <f>"FES1162644992"</f>
        <v>FES1162644992</v>
      </c>
      <c r="D309" s="10" t="s">
        <v>19</v>
      </c>
      <c r="E309" s="10" t="s">
        <v>232</v>
      </c>
      <c r="F309" s="10" t="str">
        <f>"2170641179 "</f>
        <v xml:space="preserve">2170641179 </v>
      </c>
      <c r="G309" s="10" t="str">
        <f t="shared" si="8"/>
        <v>ON1</v>
      </c>
      <c r="H309" s="10" t="s">
        <v>21</v>
      </c>
      <c r="I309" s="10" t="s">
        <v>233</v>
      </c>
      <c r="J309" s="10" t="str">
        <f>""</f>
        <v/>
      </c>
      <c r="K309" s="10" t="str">
        <f>"PFES1162644992_0001"</f>
        <v>PFES1162644992_0001</v>
      </c>
      <c r="L309" s="10">
        <v>4</v>
      </c>
      <c r="M309" s="10">
        <v>19</v>
      </c>
    </row>
    <row r="310" spans="1:13">
      <c r="A310" s="8">
        <v>43347</v>
      </c>
      <c r="B310" s="9">
        <v>0.4770833333333333</v>
      </c>
      <c r="C310" s="10" t="str">
        <f>"FES1162644960"</f>
        <v>FES1162644960</v>
      </c>
      <c r="D310" s="10" t="s">
        <v>19</v>
      </c>
      <c r="E310" s="10" t="s">
        <v>38</v>
      </c>
      <c r="F310" s="10" t="str">
        <f>"2170649907 "</f>
        <v xml:space="preserve">2170649907 </v>
      </c>
      <c r="G310" s="10" t="str">
        <f t="shared" si="8"/>
        <v>ON1</v>
      </c>
      <c r="H310" s="10" t="s">
        <v>21</v>
      </c>
      <c r="I310" s="10" t="s">
        <v>26</v>
      </c>
      <c r="J310" s="10" t="str">
        <f>""</f>
        <v/>
      </c>
      <c r="K310" s="10" t="str">
        <f>"PFES1162644960_0001"</f>
        <v>PFES1162644960_0001</v>
      </c>
      <c r="L310" s="10">
        <v>1</v>
      </c>
      <c r="M310" s="10">
        <v>12</v>
      </c>
    </row>
    <row r="311" spans="1:13">
      <c r="A311" s="8">
        <v>43347</v>
      </c>
      <c r="B311" s="9">
        <v>0.47569444444444442</v>
      </c>
      <c r="C311" s="10" t="str">
        <f>"FES1162644981"</f>
        <v>FES1162644981</v>
      </c>
      <c r="D311" s="10" t="s">
        <v>19</v>
      </c>
      <c r="E311" s="10" t="s">
        <v>27</v>
      </c>
      <c r="F311" s="10" t="str">
        <f>"2170647698 "</f>
        <v xml:space="preserve">2170647698 </v>
      </c>
      <c r="G311" s="10" t="str">
        <f t="shared" si="8"/>
        <v>ON1</v>
      </c>
      <c r="H311" s="10" t="s">
        <v>21</v>
      </c>
      <c r="I311" s="10" t="s">
        <v>28</v>
      </c>
      <c r="J311" s="10" t="str">
        <f>""</f>
        <v/>
      </c>
      <c r="K311" s="10" t="str">
        <f>"PFES1162644981_0001"</f>
        <v>PFES1162644981_0001</v>
      </c>
      <c r="L311" s="10">
        <v>1</v>
      </c>
      <c r="M311" s="10">
        <v>2</v>
      </c>
    </row>
    <row r="312" spans="1:13">
      <c r="A312" s="8">
        <v>43347</v>
      </c>
      <c r="B312" s="9">
        <v>0.47500000000000003</v>
      </c>
      <c r="C312" s="10" t="str">
        <f>"FES1162645045"</f>
        <v>FES1162645045</v>
      </c>
      <c r="D312" s="10" t="s">
        <v>19</v>
      </c>
      <c r="E312" s="10" t="s">
        <v>327</v>
      </c>
      <c r="F312" s="10" t="str">
        <f>"2170649068 "</f>
        <v xml:space="preserve">2170649068 </v>
      </c>
      <c r="G312" s="10" t="str">
        <f t="shared" si="8"/>
        <v>ON1</v>
      </c>
      <c r="H312" s="10" t="s">
        <v>21</v>
      </c>
      <c r="I312" s="10" t="s">
        <v>290</v>
      </c>
      <c r="J312" s="10" t="str">
        <f>""</f>
        <v/>
      </c>
      <c r="K312" s="10" t="str">
        <f>"PFES1162645045_0001"</f>
        <v>PFES1162645045_0001</v>
      </c>
      <c r="L312" s="10">
        <v>1</v>
      </c>
      <c r="M312" s="10">
        <v>5</v>
      </c>
    </row>
    <row r="313" spans="1:13">
      <c r="A313" s="8">
        <v>43347</v>
      </c>
      <c r="B313" s="9">
        <v>0.47361111111111115</v>
      </c>
      <c r="C313" s="10" t="str">
        <f>"FES1162645016"</f>
        <v>FES1162645016</v>
      </c>
      <c r="D313" s="10" t="s">
        <v>19</v>
      </c>
      <c r="E313" s="10" t="s">
        <v>328</v>
      </c>
      <c r="F313" s="10" t="str">
        <f>"2170647730 "</f>
        <v xml:space="preserve">2170647730 </v>
      </c>
      <c r="G313" s="10" t="str">
        <f t="shared" si="8"/>
        <v>ON1</v>
      </c>
      <c r="H313" s="10" t="s">
        <v>21</v>
      </c>
      <c r="I313" s="10" t="s">
        <v>57</v>
      </c>
      <c r="J313" s="10" t="str">
        <f>""</f>
        <v/>
      </c>
      <c r="K313" s="10" t="str">
        <f>"PFES1162645016_0001"</f>
        <v>PFES1162645016_0001</v>
      </c>
      <c r="L313" s="10">
        <v>1</v>
      </c>
      <c r="M313" s="10">
        <v>2</v>
      </c>
    </row>
    <row r="314" spans="1:13">
      <c r="A314" s="8">
        <v>43347</v>
      </c>
      <c r="B314" s="9">
        <v>0.47222222222222227</v>
      </c>
      <c r="C314" s="10" t="str">
        <f>"FES1162645044"</f>
        <v>FES1162645044</v>
      </c>
      <c r="D314" s="10" t="s">
        <v>19</v>
      </c>
      <c r="E314" s="10" t="s">
        <v>327</v>
      </c>
      <c r="F314" s="10" t="str">
        <f>"2170649067 "</f>
        <v xml:space="preserve">2170649067 </v>
      </c>
      <c r="G314" s="10" t="str">
        <f t="shared" si="8"/>
        <v>ON1</v>
      </c>
      <c r="H314" s="10" t="s">
        <v>21</v>
      </c>
      <c r="I314" s="10" t="s">
        <v>290</v>
      </c>
      <c r="J314" s="10" t="str">
        <f>""</f>
        <v/>
      </c>
      <c r="K314" s="10" t="str">
        <f>"PFES1162645044_0001"</f>
        <v>PFES1162645044_0001</v>
      </c>
      <c r="L314" s="10">
        <v>1</v>
      </c>
      <c r="M314" s="10">
        <v>6</v>
      </c>
    </row>
    <row r="315" spans="1:13">
      <c r="A315" s="8">
        <v>43347</v>
      </c>
      <c r="B315" s="9">
        <v>0.47083333333333338</v>
      </c>
      <c r="C315" s="10" t="str">
        <f>"FES1162645061"</f>
        <v>FES1162645061</v>
      </c>
      <c r="D315" s="10" t="s">
        <v>19</v>
      </c>
      <c r="E315" s="10" t="s">
        <v>329</v>
      </c>
      <c r="F315" s="10" t="str">
        <f>"2170649378 "</f>
        <v xml:space="preserve">2170649378 </v>
      </c>
      <c r="G315" s="10" t="str">
        <f t="shared" si="8"/>
        <v>ON1</v>
      </c>
      <c r="H315" s="10" t="s">
        <v>21</v>
      </c>
      <c r="I315" s="10" t="s">
        <v>330</v>
      </c>
      <c r="J315" s="10" t="str">
        <f>""</f>
        <v/>
      </c>
      <c r="K315" s="10" t="str">
        <f>"PFES1162645061_0001"</f>
        <v>PFES1162645061_0001</v>
      </c>
      <c r="L315" s="10">
        <v>1</v>
      </c>
      <c r="M315" s="10">
        <v>17</v>
      </c>
    </row>
    <row r="316" spans="1:13">
      <c r="A316" s="8">
        <v>43347</v>
      </c>
      <c r="B316" s="9">
        <v>0.47013888888888888</v>
      </c>
      <c r="C316" s="10" t="str">
        <f>"FES1162645019"</f>
        <v>FES1162645019</v>
      </c>
      <c r="D316" s="10" t="s">
        <v>19</v>
      </c>
      <c r="E316" s="10" t="s">
        <v>59</v>
      </c>
      <c r="F316" s="10" t="str">
        <f>"2170647905 "</f>
        <v xml:space="preserve">2170647905 </v>
      </c>
      <c r="G316" s="10" t="str">
        <f t="shared" si="8"/>
        <v>ON1</v>
      </c>
      <c r="H316" s="10" t="s">
        <v>21</v>
      </c>
      <c r="I316" s="10" t="s">
        <v>60</v>
      </c>
      <c r="J316" s="10" t="str">
        <f>""</f>
        <v/>
      </c>
      <c r="K316" s="10" t="str">
        <f>"PFES1162645019_0001"</f>
        <v>PFES1162645019_0001</v>
      </c>
      <c r="L316" s="10">
        <v>1</v>
      </c>
      <c r="M316" s="10">
        <v>1</v>
      </c>
    </row>
    <row r="317" spans="1:13">
      <c r="A317" s="8">
        <v>43347</v>
      </c>
      <c r="B317" s="9">
        <v>0.4694444444444445</v>
      </c>
      <c r="C317" s="10" t="str">
        <f>"FES1162645011"</f>
        <v>FES1162645011</v>
      </c>
      <c r="D317" s="10" t="s">
        <v>19</v>
      </c>
      <c r="E317" s="10" t="s">
        <v>162</v>
      </c>
      <c r="F317" s="10" t="str">
        <f>"2170647347 "</f>
        <v xml:space="preserve">2170647347 </v>
      </c>
      <c r="G317" s="10" t="str">
        <f t="shared" si="8"/>
        <v>ON1</v>
      </c>
      <c r="H317" s="10" t="s">
        <v>21</v>
      </c>
      <c r="I317" s="10" t="s">
        <v>30</v>
      </c>
      <c r="J317" s="10" t="str">
        <f>""</f>
        <v/>
      </c>
      <c r="K317" s="10" t="str">
        <f>"PFES1162645011_0001"</f>
        <v>PFES1162645011_0001</v>
      </c>
      <c r="L317" s="10">
        <v>1</v>
      </c>
      <c r="M317" s="10">
        <v>1</v>
      </c>
    </row>
    <row r="318" spans="1:13">
      <c r="A318" s="8">
        <v>43347</v>
      </c>
      <c r="B318" s="9">
        <v>0.4694444444444445</v>
      </c>
      <c r="C318" s="10" t="str">
        <f>"FES1162645081"</f>
        <v>FES1162645081</v>
      </c>
      <c r="D318" s="10" t="s">
        <v>19</v>
      </c>
      <c r="E318" s="10" t="s">
        <v>162</v>
      </c>
      <c r="F318" s="10" t="str">
        <f>"2170649682 "</f>
        <v xml:space="preserve">2170649682 </v>
      </c>
      <c r="G318" s="10" t="str">
        <f t="shared" ref="G318:G331" si="9">"ON1"</f>
        <v>ON1</v>
      </c>
      <c r="H318" s="10" t="s">
        <v>21</v>
      </c>
      <c r="I318" s="10" t="s">
        <v>30</v>
      </c>
      <c r="J318" s="10" t="str">
        <f>""</f>
        <v/>
      </c>
      <c r="K318" s="10" t="str">
        <f>"PFES1162645081_0001"</f>
        <v>PFES1162645081_0001</v>
      </c>
      <c r="L318" s="10">
        <v>1</v>
      </c>
      <c r="M318" s="10">
        <v>1</v>
      </c>
    </row>
    <row r="319" spans="1:13">
      <c r="A319" s="8">
        <v>43347</v>
      </c>
      <c r="B319" s="9">
        <v>0.4694444444444445</v>
      </c>
      <c r="C319" s="10" t="str">
        <f>"FES1162645034"</f>
        <v>FES1162645034</v>
      </c>
      <c r="D319" s="10" t="s">
        <v>19</v>
      </c>
      <c r="E319" s="10" t="s">
        <v>162</v>
      </c>
      <c r="F319" s="10" t="str">
        <f>"2170648850 "</f>
        <v xml:space="preserve">2170648850 </v>
      </c>
      <c r="G319" s="10" t="str">
        <f t="shared" si="9"/>
        <v>ON1</v>
      </c>
      <c r="H319" s="10" t="s">
        <v>21</v>
      </c>
      <c r="I319" s="10" t="s">
        <v>30</v>
      </c>
      <c r="J319" s="10" t="str">
        <f>""</f>
        <v/>
      </c>
      <c r="K319" s="10" t="str">
        <f>"PFES1162645034_0001"</f>
        <v>PFES1162645034_0001</v>
      </c>
      <c r="L319" s="10">
        <v>1</v>
      </c>
      <c r="M319" s="10">
        <v>1</v>
      </c>
    </row>
    <row r="320" spans="1:13">
      <c r="A320" s="8">
        <v>43347</v>
      </c>
      <c r="B320" s="9">
        <v>0.46875</v>
      </c>
      <c r="C320" s="10" t="str">
        <f>"FES1162645091"</f>
        <v>FES1162645091</v>
      </c>
      <c r="D320" s="10" t="s">
        <v>19</v>
      </c>
      <c r="E320" s="10" t="s">
        <v>331</v>
      </c>
      <c r="F320" s="10" t="str">
        <f>"2170649861 "</f>
        <v xml:space="preserve">2170649861 </v>
      </c>
      <c r="G320" s="10" t="str">
        <f t="shared" si="9"/>
        <v>ON1</v>
      </c>
      <c r="H320" s="10" t="s">
        <v>21</v>
      </c>
      <c r="I320" s="10" t="s">
        <v>85</v>
      </c>
      <c r="J320" s="10" t="str">
        <f>""</f>
        <v/>
      </c>
      <c r="K320" s="10" t="str">
        <f>"PFES1162645091_0001"</f>
        <v>PFES1162645091_0001</v>
      </c>
      <c r="L320" s="10">
        <v>1</v>
      </c>
      <c r="M320" s="10">
        <v>1</v>
      </c>
    </row>
    <row r="321" spans="1:13">
      <c r="A321" s="8">
        <v>43347</v>
      </c>
      <c r="B321" s="9">
        <v>0.46875</v>
      </c>
      <c r="C321" s="10" t="str">
        <f>"FES1162645089"</f>
        <v>FES1162645089</v>
      </c>
      <c r="D321" s="10" t="s">
        <v>19</v>
      </c>
      <c r="E321" s="10" t="s">
        <v>84</v>
      </c>
      <c r="F321" s="10" t="str">
        <f>"2170649829 "</f>
        <v xml:space="preserve">2170649829 </v>
      </c>
      <c r="G321" s="10" t="str">
        <f t="shared" si="9"/>
        <v>ON1</v>
      </c>
      <c r="H321" s="10" t="s">
        <v>21</v>
      </c>
      <c r="I321" s="10" t="s">
        <v>85</v>
      </c>
      <c r="J321" s="10" t="str">
        <f>""</f>
        <v/>
      </c>
      <c r="K321" s="10" t="str">
        <f>"PFES1162645089_0001"</f>
        <v>PFES1162645089_0001</v>
      </c>
      <c r="L321" s="10">
        <v>1</v>
      </c>
      <c r="M321" s="10">
        <v>1</v>
      </c>
    </row>
    <row r="322" spans="1:13">
      <c r="A322" s="8">
        <v>43347</v>
      </c>
      <c r="B322" s="9">
        <v>0.4680555555555555</v>
      </c>
      <c r="C322" s="10" t="str">
        <f>"FES1162645103"</f>
        <v>FES1162645103</v>
      </c>
      <c r="D322" s="10" t="s">
        <v>19</v>
      </c>
      <c r="E322" s="10" t="s">
        <v>268</v>
      </c>
      <c r="F322" s="10" t="str">
        <f>"2170649946 "</f>
        <v xml:space="preserve">2170649946 </v>
      </c>
      <c r="G322" s="10" t="str">
        <f t="shared" si="9"/>
        <v>ON1</v>
      </c>
      <c r="H322" s="10" t="s">
        <v>21</v>
      </c>
      <c r="I322" s="10" t="s">
        <v>62</v>
      </c>
      <c r="J322" s="10" t="str">
        <f>""</f>
        <v/>
      </c>
      <c r="K322" s="10" t="str">
        <f>"PFES1162645103_0001"</f>
        <v>PFES1162645103_0001</v>
      </c>
      <c r="L322" s="10">
        <v>1</v>
      </c>
      <c r="M322" s="10">
        <v>1</v>
      </c>
    </row>
    <row r="323" spans="1:13">
      <c r="A323" s="8">
        <v>43347</v>
      </c>
      <c r="B323" s="9">
        <v>0.4680555555555555</v>
      </c>
      <c r="C323" s="10" t="str">
        <f>"FES1162645029"</f>
        <v>FES1162645029</v>
      </c>
      <c r="D323" s="10" t="s">
        <v>19</v>
      </c>
      <c r="E323" s="10" t="s">
        <v>293</v>
      </c>
      <c r="F323" s="10" t="str">
        <f>"2170648689 "</f>
        <v xml:space="preserve">2170648689 </v>
      </c>
      <c r="G323" s="10" t="str">
        <f t="shared" si="9"/>
        <v>ON1</v>
      </c>
      <c r="H323" s="10" t="s">
        <v>21</v>
      </c>
      <c r="I323" s="10" t="s">
        <v>294</v>
      </c>
      <c r="J323" s="10" t="str">
        <f>""</f>
        <v/>
      </c>
      <c r="K323" s="10" t="str">
        <f>"PFES1162645029_0001"</f>
        <v>PFES1162645029_0001</v>
      </c>
      <c r="L323" s="10">
        <v>1</v>
      </c>
      <c r="M323" s="10">
        <v>2</v>
      </c>
    </row>
    <row r="324" spans="1:13">
      <c r="A324" s="8">
        <v>43347</v>
      </c>
      <c r="B324" s="9">
        <v>0.46736111111111112</v>
      </c>
      <c r="C324" s="10" t="str">
        <f>"FES1162645037"</f>
        <v>FES1162645037</v>
      </c>
      <c r="D324" s="10" t="s">
        <v>19</v>
      </c>
      <c r="E324" s="10" t="s">
        <v>332</v>
      </c>
      <c r="F324" s="10" t="str">
        <f>"2170648902 "</f>
        <v xml:space="preserve">2170648902 </v>
      </c>
      <c r="G324" s="10" t="str">
        <f t="shared" si="9"/>
        <v>ON1</v>
      </c>
      <c r="H324" s="10" t="s">
        <v>21</v>
      </c>
      <c r="I324" s="10" t="s">
        <v>333</v>
      </c>
      <c r="J324" s="10" t="str">
        <f>""</f>
        <v/>
      </c>
      <c r="K324" s="10" t="str">
        <f>"PFES1162645037_0001"</f>
        <v>PFES1162645037_0001</v>
      </c>
      <c r="L324" s="10">
        <v>1</v>
      </c>
      <c r="M324" s="10">
        <v>1</v>
      </c>
    </row>
    <row r="325" spans="1:13">
      <c r="A325" s="8">
        <v>43347</v>
      </c>
      <c r="B325" s="9">
        <v>0.46736111111111112</v>
      </c>
      <c r="C325" s="10" t="str">
        <f>"FES1162644995"</f>
        <v>FES1162644995</v>
      </c>
      <c r="D325" s="10" t="s">
        <v>19</v>
      </c>
      <c r="E325" s="10" t="s">
        <v>232</v>
      </c>
      <c r="F325" s="10" t="str">
        <f>"2170642733 "</f>
        <v xml:space="preserve">2170642733 </v>
      </c>
      <c r="G325" s="10" t="str">
        <f t="shared" si="9"/>
        <v>ON1</v>
      </c>
      <c r="H325" s="10" t="s">
        <v>21</v>
      </c>
      <c r="I325" s="10" t="s">
        <v>233</v>
      </c>
      <c r="J325" s="10" t="str">
        <f>""</f>
        <v/>
      </c>
      <c r="K325" s="10" t="str">
        <f>"PFES1162644995_0001"</f>
        <v>PFES1162644995_0001</v>
      </c>
      <c r="L325" s="10">
        <v>1</v>
      </c>
      <c r="M325" s="10">
        <v>1</v>
      </c>
    </row>
    <row r="326" spans="1:13">
      <c r="A326" s="8">
        <v>43347</v>
      </c>
      <c r="B326" s="9">
        <v>0.46736111111111112</v>
      </c>
      <c r="C326" s="10" t="str">
        <f>"FES1162645001"</f>
        <v>FES1162645001</v>
      </c>
      <c r="D326" s="10" t="s">
        <v>19</v>
      </c>
      <c r="E326" s="10" t="s">
        <v>232</v>
      </c>
      <c r="F326" s="10" t="str">
        <f>"2170644779 "</f>
        <v xml:space="preserve">2170644779 </v>
      </c>
      <c r="G326" s="10" t="str">
        <f t="shared" si="9"/>
        <v>ON1</v>
      </c>
      <c r="H326" s="10" t="s">
        <v>21</v>
      </c>
      <c r="I326" s="10" t="s">
        <v>233</v>
      </c>
      <c r="J326" s="10" t="str">
        <f>""</f>
        <v/>
      </c>
      <c r="K326" s="10" t="str">
        <f>"PFES1162645001_0001"</f>
        <v>PFES1162645001_0001</v>
      </c>
      <c r="L326" s="10">
        <v>1</v>
      </c>
      <c r="M326" s="10">
        <v>1</v>
      </c>
    </row>
    <row r="327" spans="1:13">
      <c r="A327" s="8">
        <v>43347</v>
      </c>
      <c r="B327" s="9">
        <v>0.46666666666666662</v>
      </c>
      <c r="C327" s="10" t="str">
        <f>"FES1162644988"</f>
        <v>FES1162644988</v>
      </c>
      <c r="D327" s="10" t="s">
        <v>19</v>
      </c>
      <c r="E327" s="10" t="s">
        <v>27</v>
      </c>
      <c r="F327" s="10" t="str">
        <f>"2170649612 "</f>
        <v xml:space="preserve">2170649612 </v>
      </c>
      <c r="G327" s="10" t="str">
        <f t="shared" si="9"/>
        <v>ON1</v>
      </c>
      <c r="H327" s="10" t="s">
        <v>21</v>
      </c>
      <c r="I327" s="10" t="s">
        <v>28</v>
      </c>
      <c r="J327" s="10" t="str">
        <f>""</f>
        <v/>
      </c>
      <c r="K327" s="10" t="str">
        <f>"PFES1162644988_0001"</f>
        <v>PFES1162644988_0001</v>
      </c>
      <c r="L327" s="10">
        <v>1</v>
      </c>
      <c r="M327" s="10">
        <v>1</v>
      </c>
    </row>
    <row r="328" spans="1:13">
      <c r="A328" s="8">
        <v>43347</v>
      </c>
      <c r="B328" s="9">
        <v>0.46666666666666662</v>
      </c>
      <c r="C328" s="10" t="str">
        <f>"FES1162645043"</f>
        <v>FES1162645043</v>
      </c>
      <c r="D328" s="10" t="s">
        <v>19</v>
      </c>
      <c r="E328" s="10" t="s">
        <v>104</v>
      </c>
      <c r="F328" s="10" t="str">
        <f>"2170649044 "</f>
        <v xml:space="preserve">2170649044 </v>
      </c>
      <c r="G328" s="10" t="str">
        <f t="shared" si="9"/>
        <v>ON1</v>
      </c>
      <c r="H328" s="10" t="s">
        <v>21</v>
      </c>
      <c r="I328" s="10" t="s">
        <v>105</v>
      </c>
      <c r="J328" s="10" t="str">
        <f>""</f>
        <v/>
      </c>
      <c r="K328" s="10" t="str">
        <f>"PFES1162645043_0001"</f>
        <v>PFES1162645043_0001</v>
      </c>
      <c r="L328" s="10">
        <v>1</v>
      </c>
      <c r="M328" s="10">
        <v>1</v>
      </c>
    </row>
    <row r="329" spans="1:13">
      <c r="A329" s="8">
        <v>43347</v>
      </c>
      <c r="B329" s="9">
        <v>0.46666666666666662</v>
      </c>
      <c r="C329" s="10" t="str">
        <f>"FES1162644996"</f>
        <v>FES1162644996</v>
      </c>
      <c r="D329" s="10" t="s">
        <v>19</v>
      </c>
      <c r="E329" s="10" t="s">
        <v>232</v>
      </c>
      <c r="F329" s="10" t="str">
        <f>"21706474237 "</f>
        <v xml:space="preserve">21706474237 </v>
      </c>
      <c r="G329" s="10" t="str">
        <f t="shared" si="9"/>
        <v>ON1</v>
      </c>
      <c r="H329" s="10" t="s">
        <v>21</v>
      </c>
      <c r="I329" s="10" t="s">
        <v>233</v>
      </c>
      <c r="J329" s="10" t="str">
        <f>""</f>
        <v/>
      </c>
      <c r="K329" s="10" t="str">
        <f>"PFES1162644996_0001"</f>
        <v>PFES1162644996_0001</v>
      </c>
      <c r="L329" s="10">
        <v>1</v>
      </c>
      <c r="M329" s="10">
        <v>1</v>
      </c>
    </row>
    <row r="330" spans="1:13">
      <c r="A330" s="8">
        <v>43347</v>
      </c>
      <c r="B330" s="9">
        <v>0.46666666666666662</v>
      </c>
      <c r="C330" s="10" t="str">
        <f>"FES1162644991"</f>
        <v>FES1162644991</v>
      </c>
      <c r="D330" s="10" t="s">
        <v>19</v>
      </c>
      <c r="E330" s="10" t="s">
        <v>232</v>
      </c>
      <c r="F330" s="10" t="str">
        <f>"2170641053 "</f>
        <v xml:space="preserve">2170641053 </v>
      </c>
      <c r="G330" s="10" t="str">
        <f t="shared" si="9"/>
        <v>ON1</v>
      </c>
      <c r="H330" s="10" t="s">
        <v>21</v>
      </c>
      <c r="I330" s="10" t="s">
        <v>233</v>
      </c>
      <c r="J330" s="10" t="str">
        <f>""</f>
        <v/>
      </c>
      <c r="K330" s="10" t="str">
        <f>"PFES1162644991_0001"</f>
        <v>PFES1162644991_0001</v>
      </c>
      <c r="L330" s="10">
        <v>2</v>
      </c>
      <c r="M330" s="10">
        <v>6</v>
      </c>
    </row>
    <row r="331" spans="1:13">
      <c r="A331" s="8">
        <v>43347</v>
      </c>
      <c r="B331" s="9">
        <v>0.46666666666666662</v>
      </c>
      <c r="C331" s="10" t="str">
        <f>"FES1162644991"</f>
        <v>FES1162644991</v>
      </c>
      <c r="D331" s="10" t="s">
        <v>19</v>
      </c>
      <c r="E331" s="10" t="s">
        <v>232</v>
      </c>
      <c r="F331" s="10" t="str">
        <f>"2170641053 "</f>
        <v xml:space="preserve">2170641053 </v>
      </c>
      <c r="G331" s="10" t="str">
        <f t="shared" si="9"/>
        <v>ON1</v>
      </c>
      <c r="H331" s="10" t="s">
        <v>21</v>
      </c>
      <c r="I331" s="10" t="s">
        <v>233</v>
      </c>
      <c r="J331" s="10"/>
      <c r="K331" s="10" t="str">
        <f>"PFES1162644991_0002"</f>
        <v>PFES1162644991_0002</v>
      </c>
      <c r="L331" s="10">
        <v>2</v>
      </c>
      <c r="M331" s="10">
        <v>6</v>
      </c>
    </row>
    <row r="332" spans="1:13">
      <c r="A332" s="8">
        <v>43347</v>
      </c>
      <c r="B332" s="9">
        <v>0.46597222222222223</v>
      </c>
      <c r="C332" s="10" t="str">
        <f>"FES1162644984"</f>
        <v>FES1162644984</v>
      </c>
      <c r="D332" s="10" t="s">
        <v>19</v>
      </c>
      <c r="E332" s="10" t="s">
        <v>27</v>
      </c>
      <c r="F332" s="10" t="str">
        <f>"2170648087 "</f>
        <v xml:space="preserve">2170648087 </v>
      </c>
      <c r="G332" s="10" t="str">
        <f>"ON1"</f>
        <v>ON1</v>
      </c>
      <c r="H332" s="10" t="s">
        <v>21</v>
      </c>
      <c r="I332" s="10" t="s">
        <v>28</v>
      </c>
      <c r="J332" s="10" t="str">
        <f>""</f>
        <v/>
      </c>
      <c r="K332" s="10" t="str">
        <f>"PFES1162644984_0001"</f>
        <v>PFES1162644984_0001</v>
      </c>
      <c r="L332" s="10">
        <v>2</v>
      </c>
      <c r="M332" s="10">
        <v>5</v>
      </c>
    </row>
    <row r="333" spans="1:13">
      <c r="A333" s="8">
        <v>43347</v>
      </c>
      <c r="B333" s="9">
        <v>0.46597222222222223</v>
      </c>
      <c r="C333" s="10" t="str">
        <f>"FES1162644984"</f>
        <v>FES1162644984</v>
      </c>
      <c r="D333" s="10" t="s">
        <v>19</v>
      </c>
      <c r="E333" s="10" t="s">
        <v>27</v>
      </c>
      <c r="F333" s="10" t="str">
        <f>"2170648087 "</f>
        <v xml:space="preserve">2170648087 </v>
      </c>
      <c r="G333" s="10" t="str">
        <f>"ON1"</f>
        <v>ON1</v>
      </c>
      <c r="H333" s="10" t="s">
        <v>21</v>
      </c>
      <c r="I333" s="10" t="s">
        <v>28</v>
      </c>
      <c r="J333" s="10"/>
      <c r="K333" s="10" t="str">
        <f>"PFES1162644984_0002"</f>
        <v>PFES1162644984_0002</v>
      </c>
      <c r="L333" s="10">
        <v>2</v>
      </c>
      <c r="M333" s="10">
        <v>5</v>
      </c>
    </row>
    <row r="334" spans="1:13">
      <c r="A334" s="8">
        <v>43347</v>
      </c>
      <c r="B334" s="9">
        <v>0.46597222222222223</v>
      </c>
      <c r="C334" s="10" t="str">
        <f>"FES1162645014"</f>
        <v>FES1162645014</v>
      </c>
      <c r="D334" s="10" t="s">
        <v>19</v>
      </c>
      <c r="E334" s="10" t="s">
        <v>162</v>
      </c>
      <c r="F334" s="10" t="str">
        <f>"2170647519 "</f>
        <v xml:space="preserve">2170647519 </v>
      </c>
      <c r="G334" s="10" t="str">
        <f t="shared" ref="G334:G363" si="10">"ON1"</f>
        <v>ON1</v>
      </c>
      <c r="H334" s="10" t="s">
        <v>21</v>
      </c>
      <c r="I334" s="10" t="s">
        <v>30</v>
      </c>
      <c r="J334" s="10" t="str">
        <f>""</f>
        <v/>
      </c>
      <c r="K334" s="10" t="str">
        <f>"PFES1162645014_0001"</f>
        <v>PFES1162645014_0001</v>
      </c>
      <c r="L334" s="10">
        <v>1</v>
      </c>
      <c r="M334" s="10">
        <v>6</v>
      </c>
    </row>
    <row r="335" spans="1:13">
      <c r="A335" s="8">
        <v>43347</v>
      </c>
      <c r="B335" s="9">
        <v>0.46527777777777773</v>
      </c>
      <c r="C335" s="10" t="str">
        <f>"FES1162645022"</f>
        <v>FES1162645022</v>
      </c>
      <c r="D335" s="10" t="s">
        <v>19</v>
      </c>
      <c r="E335" s="10" t="s">
        <v>334</v>
      </c>
      <c r="F335" s="10" t="str">
        <f>"2170648250 "</f>
        <v xml:space="preserve">2170648250 </v>
      </c>
      <c r="G335" s="10" t="str">
        <f t="shared" si="10"/>
        <v>ON1</v>
      </c>
      <c r="H335" s="10" t="s">
        <v>21</v>
      </c>
      <c r="I335" s="10" t="s">
        <v>102</v>
      </c>
      <c r="J335" s="10" t="str">
        <f>""</f>
        <v/>
      </c>
      <c r="K335" s="10" t="str">
        <f>"PFES1162645022_0001"</f>
        <v>PFES1162645022_0001</v>
      </c>
      <c r="L335" s="10">
        <v>1</v>
      </c>
      <c r="M335" s="10">
        <v>5</v>
      </c>
    </row>
    <row r="336" spans="1:13">
      <c r="A336" s="8">
        <v>43347</v>
      </c>
      <c r="B336" s="9">
        <v>0.46388888888888885</v>
      </c>
      <c r="C336" s="10" t="str">
        <f>"FES1162645003"</f>
        <v>FES1162645003</v>
      </c>
      <c r="D336" s="10" t="s">
        <v>19</v>
      </c>
      <c r="E336" s="10" t="s">
        <v>174</v>
      </c>
      <c r="F336" s="10" t="str">
        <f>"2170645159 "</f>
        <v xml:space="preserve">2170645159 </v>
      </c>
      <c r="G336" s="10" t="str">
        <f t="shared" si="10"/>
        <v>ON1</v>
      </c>
      <c r="H336" s="10" t="s">
        <v>21</v>
      </c>
      <c r="I336" s="10" t="s">
        <v>175</v>
      </c>
      <c r="J336" s="10" t="str">
        <f>""</f>
        <v/>
      </c>
      <c r="K336" s="10" t="str">
        <f>"PFES1162645003_0001"</f>
        <v>PFES1162645003_0001</v>
      </c>
      <c r="L336" s="10">
        <v>1</v>
      </c>
      <c r="M336" s="10">
        <v>1</v>
      </c>
    </row>
    <row r="337" spans="1:13">
      <c r="A337" s="8">
        <v>43347</v>
      </c>
      <c r="B337" s="9">
        <v>0.46319444444444446</v>
      </c>
      <c r="C337" s="10" t="str">
        <f>"FES1162645064"</f>
        <v>FES1162645064</v>
      </c>
      <c r="D337" s="10" t="s">
        <v>19</v>
      </c>
      <c r="E337" s="10" t="s">
        <v>335</v>
      </c>
      <c r="F337" s="10" t="str">
        <f>"2170649438 "</f>
        <v xml:space="preserve">2170649438 </v>
      </c>
      <c r="G337" s="10" t="str">
        <f t="shared" si="10"/>
        <v>ON1</v>
      </c>
      <c r="H337" s="10" t="s">
        <v>21</v>
      </c>
      <c r="I337" s="10" t="s">
        <v>66</v>
      </c>
      <c r="J337" s="10" t="str">
        <f>""</f>
        <v/>
      </c>
      <c r="K337" s="10" t="str">
        <f>"PFES1162645064_0001"</f>
        <v>PFES1162645064_0001</v>
      </c>
      <c r="L337" s="10">
        <v>1</v>
      </c>
      <c r="M337" s="10">
        <v>4</v>
      </c>
    </row>
    <row r="338" spans="1:13">
      <c r="A338" s="8">
        <v>43347</v>
      </c>
      <c r="B338" s="9">
        <v>0.46249999999999997</v>
      </c>
      <c r="C338" s="10" t="str">
        <f>"FES1162645154"</f>
        <v>FES1162645154</v>
      </c>
      <c r="D338" s="10" t="s">
        <v>19</v>
      </c>
      <c r="E338" s="10" t="s">
        <v>336</v>
      </c>
      <c r="F338" s="10" t="str">
        <f>"2170650006 "</f>
        <v xml:space="preserve">2170650006 </v>
      </c>
      <c r="G338" s="10" t="str">
        <f t="shared" si="10"/>
        <v>ON1</v>
      </c>
      <c r="H338" s="10" t="s">
        <v>21</v>
      </c>
      <c r="I338" s="10" t="s">
        <v>117</v>
      </c>
      <c r="J338" s="10" t="str">
        <f>""</f>
        <v/>
      </c>
      <c r="K338" s="10" t="str">
        <f>"PFES1162645154_0001"</f>
        <v>PFES1162645154_0001</v>
      </c>
      <c r="L338" s="10">
        <v>1</v>
      </c>
      <c r="M338" s="10">
        <v>1</v>
      </c>
    </row>
    <row r="339" spans="1:13">
      <c r="A339" s="8">
        <v>43347</v>
      </c>
      <c r="B339" s="9">
        <v>0.46180555555555558</v>
      </c>
      <c r="C339" s="10" t="str">
        <f>"FES1162645002"</f>
        <v>FES1162645002</v>
      </c>
      <c r="D339" s="10" t="s">
        <v>19</v>
      </c>
      <c r="E339" s="10" t="s">
        <v>174</v>
      </c>
      <c r="F339" s="10" t="str">
        <f>"2170644983 "</f>
        <v xml:space="preserve">2170644983 </v>
      </c>
      <c r="G339" s="10" t="str">
        <f t="shared" si="10"/>
        <v>ON1</v>
      </c>
      <c r="H339" s="10" t="s">
        <v>21</v>
      </c>
      <c r="I339" s="10" t="s">
        <v>175</v>
      </c>
      <c r="J339" s="10" t="str">
        <f>""</f>
        <v/>
      </c>
      <c r="K339" s="10" t="str">
        <f>"PFES1162645002_0001"</f>
        <v>PFES1162645002_0001</v>
      </c>
      <c r="L339" s="10">
        <v>1</v>
      </c>
      <c r="M339" s="10">
        <v>3</v>
      </c>
    </row>
    <row r="340" spans="1:13">
      <c r="A340" s="8">
        <v>43347</v>
      </c>
      <c r="B340" s="9">
        <v>0.46111111111111108</v>
      </c>
      <c r="C340" s="10" t="str">
        <f>"FES1162645114"</f>
        <v>FES1162645114</v>
      </c>
      <c r="D340" s="10" t="s">
        <v>19</v>
      </c>
      <c r="E340" s="10" t="s">
        <v>178</v>
      </c>
      <c r="F340" s="10" t="str">
        <f>"2170649967 "</f>
        <v xml:space="preserve">2170649967 </v>
      </c>
      <c r="G340" s="10" t="str">
        <f t="shared" si="10"/>
        <v>ON1</v>
      </c>
      <c r="H340" s="10" t="s">
        <v>21</v>
      </c>
      <c r="I340" s="10" t="s">
        <v>179</v>
      </c>
      <c r="J340" s="10" t="str">
        <f>""</f>
        <v/>
      </c>
      <c r="K340" s="10" t="str">
        <f>"PFES1162645114_0001"</f>
        <v>PFES1162645114_0001</v>
      </c>
      <c r="L340" s="10">
        <v>1</v>
      </c>
      <c r="M340" s="10">
        <v>2</v>
      </c>
    </row>
    <row r="341" spans="1:13">
      <c r="A341" s="8">
        <v>43347</v>
      </c>
      <c r="B341" s="9">
        <v>0.4548611111111111</v>
      </c>
      <c r="C341" s="10" t="str">
        <f>"FES1162645026"</f>
        <v>FES1162645026</v>
      </c>
      <c r="D341" s="10" t="s">
        <v>19</v>
      </c>
      <c r="E341" s="10" t="s">
        <v>337</v>
      </c>
      <c r="F341" s="10" t="str">
        <f>"2170648595 "</f>
        <v xml:space="preserve">2170648595 </v>
      </c>
      <c r="G341" s="10" t="str">
        <f t="shared" si="10"/>
        <v>ON1</v>
      </c>
      <c r="H341" s="10" t="s">
        <v>21</v>
      </c>
      <c r="I341" s="10" t="s">
        <v>338</v>
      </c>
      <c r="J341" s="10" t="str">
        <f>""</f>
        <v/>
      </c>
      <c r="K341" s="10" t="str">
        <f>"PFES1162645026_0001"</f>
        <v>PFES1162645026_0001</v>
      </c>
      <c r="L341" s="10">
        <v>1</v>
      </c>
      <c r="M341" s="10">
        <v>1</v>
      </c>
    </row>
    <row r="342" spans="1:13">
      <c r="A342" s="8">
        <v>43347</v>
      </c>
      <c r="B342" s="9">
        <v>0.45416666666666666</v>
      </c>
      <c r="C342" s="10" t="str">
        <f>"FES1162645124"</f>
        <v>FES1162645124</v>
      </c>
      <c r="D342" s="10" t="s">
        <v>19</v>
      </c>
      <c r="E342" s="10" t="s">
        <v>339</v>
      </c>
      <c r="F342" s="10" t="str">
        <f>"2170649978 "</f>
        <v xml:space="preserve">2170649978 </v>
      </c>
      <c r="G342" s="10" t="str">
        <f t="shared" si="10"/>
        <v>ON1</v>
      </c>
      <c r="H342" s="10" t="s">
        <v>21</v>
      </c>
      <c r="I342" s="10" t="s">
        <v>340</v>
      </c>
      <c r="J342" s="10" t="str">
        <f>""</f>
        <v/>
      </c>
      <c r="K342" s="10" t="str">
        <f>"PFES1162645124_0001"</f>
        <v>PFES1162645124_0001</v>
      </c>
      <c r="L342" s="10">
        <v>1</v>
      </c>
      <c r="M342" s="10">
        <v>1</v>
      </c>
    </row>
    <row r="343" spans="1:13">
      <c r="A343" s="8">
        <v>43347</v>
      </c>
      <c r="B343" s="9">
        <v>0.45416666666666666</v>
      </c>
      <c r="C343" s="10" t="str">
        <f>"FES1162645059"</f>
        <v>FES1162645059</v>
      </c>
      <c r="D343" s="10" t="s">
        <v>19</v>
      </c>
      <c r="E343" s="10" t="s">
        <v>341</v>
      </c>
      <c r="F343" s="10" t="str">
        <f>"2170649352 "</f>
        <v xml:space="preserve">2170649352 </v>
      </c>
      <c r="G343" s="10" t="str">
        <f t="shared" si="10"/>
        <v>ON1</v>
      </c>
      <c r="H343" s="10" t="s">
        <v>21</v>
      </c>
      <c r="I343" s="10" t="s">
        <v>342</v>
      </c>
      <c r="J343" s="10" t="str">
        <f>""</f>
        <v/>
      </c>
      <c r="K343" s="10" t="str">
        <f>"PFES1162645059_0001"</f>
        <v>PFES1162645059_0001</v>
      </c>
      <c r="L343" s="10">
        <v>1</v>
      </c>
      <c r="M343" s="10">
        <v>1</v>
      </c>
    </row>
    <row r="344" spans="1:13">
      <c r="A344" s="8">
        <v>43347</v>
      </c>
      <c r="B344" s="9">
        <v>0.45416666666666666</v>
      </c>
      <c r="C344" s="10" t="str">
        <f>"FES1162644998"</f>
        <v>FES1162644998</v>
      </c>
      <c r="D344" s="10" t="s">
        <v>19</v>
      </c>
      <c r="E344" s="10" t="s">
        <v>174</v>
      </c>
      <c r="F344" s="10" t="str">
        <f>"2170643668 "</f>
        <v xml:space="preserve">2170643668 </v>
      </c>
      <c r="G344" s="10" t="str">
        <f t="shared" si="10"/>
        <v>ON1</v>
      </c>
      <c r="H344" s="10" t="s">
        <v>21</v>
      </c>
      <c r="I344" s="10" t="s">
        <v>175</v>
      </c>
      <c r="J344" s="10" t="str">
        <f>""</f>
        <v/>
      </c>
      <c r="K344" s="10" t="str">
        <f>"PFES1162644998_0001"</f>
        <v>PFES1162644998_0001</v>
      </c>
      <c r="L344" s="10">
        <v>1</v>
      </c>
      <c r="M344" s="10">
        <v>1</v>
      </c>
    </row>
    <row r="345" spans="1:13">
      <c r="A345" s="8">
        <v>43347</v>
      </c>
      <c r="B345" s="9">
        <v>0.45347222222222222</v>
      </c>
      <c r="C345" s="10" t="str">
        <f>"FES1162645006"</f>
        <v>FES1162645006</v>
      </c>
      <c r="D345" s="10" t="s">
        <v>19</v>
      </c>
      <c r="E345" s="10" t="s">
        <v>336</v>
      </c>
      <c r="F345" s="10" t="str">
        <f>"2170646018 "</f>
        <v xml:space="preserve">2170646018 </v>
      </c>
      <c r="G345" s="10" t="str">
        <f t="shared" si="10"/>
        <v>ON1</v>
      </c>
      <c r="H345" s="10" t="s">
        <v>21</v>
      </c>
      <c r="I345" s="10" t="s">
        <v>117</v>
      </c>
      <c r="J345" s="10" t="str">
        <f>""</f>
        <v/>
      </c>
      <c r="K345" s="10" t="str">
        <f>"PFES1162645006_0001"</f>
        <v>PFES1162645006_0001</v>
      </c>
      <c r="L345" s="10">
        <v>1</v>
      </c>
      <c r="M345" s="10">
        <v>1</v>
      </c>
    </row>
    <row r="346" spans="1:13">
      <c r="A346" s="8">
        <v>43347</v>
      </c>
      <c r="B346" s="9">
        <v>0.45347222222222222</v>
      </c>
      <c r="C346" s="10" t="str">
        <f>"FES1162644999"</f>
        <v>FES1162644999</v>
      </c>
      <c r="D346" s="10" t="s">
        <v>19</v>
      </c>
      <c r="E346" s="10" t="s">
        <v>174</v>
      </c>
      <c r="F346" s="10" t="str">
        <f>"217064674 "</f>
        <v xml:space="preserve">217064674 </v>
      </c>
      <c r="G346" s="10" t="str">
        <f t="shared" si="10"/>
        <v>ON1</v>
      </c>
      <c r="H346" s="10" t="s">
        <v>21</v>
      </c>
      <c r="I346" s="10" t="s">
        <v>175</v>
      </c>
      <c r="J346" s="10" t="str">
        <f>""</f>
        <v/>
      </c>
      <c r="K346" s="10" t="str">
        <f>"PFES1162644999_0001"</f>
        <v>PFES1162644999_0001</v>
      </c>
      <c r="L346" s="10">
        <v>1</v>
      </c>
      <c r="M346" s="10">
        <v>1</v>
      </c>
    </row>
    <row r="347" spans="1:13">
      <c r="A347" s="8">
        <v>43347</v>
      </c>
      <c r="B347" s="9">
        <v>0.45277777777777778</v>
      </c>
      <c r="C347" s="10" t="str">
        <f>"FES1162645155"</f>
        <v>FES1162645155</v>
      </c>
      <c r="D347" s="10" t="s">
        <v>19</v>
      </c>
      <c r="E347" s="10" t="s">
        <v>343</v>
      </c>
      <c r="F347" s="10" t="str">
        <f>"21706450007 "</f>
        <v xml:space="preserve">21706450007 </v>
      </c>
      <c r="G347" s="10" t="str">
        <f t="shared" si="10"/>
        <v>ON1</v>
      </c>
      <c r="H347" s="10" t="s">
        <v>21</v>
      </c>
      <c r="I347" s="10" t="s">
        <v>117</v>
      </c>
      <c r="J347" s="10" t="str">
        <f>""</f>
        <v/>
      </c>
      <c r="K347" s="10" t="str">
        <f>"PFES1162645155_0001"</f>
        <v>PFES1162645155_0001</v>
      </c>
      <c r="L347" s="10">
        <v>1</v>
      </c>
      <c r="M347" s="10">
        <v>1</v>
      </c>
    </row>
    <row r="348" spans="1:13">
      <c r="A348" s="8">
        <v>43347</v>
      </c>
      <c r="B348" s="9">
        <v>0.45277777777777778</v>
      </c>
      <c r="C348" s="10" t="str">
        <f>"FES1162645060"</f>
        <v>FES1162645060</v>
      </c>
      <c r="D348" s="10" t="s">
        <v>19</v>
      </c>
      <c r="E348" s="10" t="s">
        <v>332</v>
      </c>
      <c r="F348" s="10" t="str">
        <f>"2170649357 "</f>
        <v xml:space="preserve">2170649357 </v>
      </c>
      <c r="G348" s="10" t="str">
        <f t="shared" si="10"/>
        <v>ON1</v>
      </c>
      <c r="H348" s="10" t="s">
        <v>21</v>
      </c>
      <c r="I348" s="10" t="s">
        <v>333</v>
      </c>
      <c r="J348" s="10" t="str">
        <f>""</f>
        <v/>
      </c>
      <c r="K348" s="10" t="str">
        <f>"PFES1162645060_0001"</f>
        <v>PFES1162645060_0001</v>
      </c>
      <c r="L348" s="10">
        <v>1</v>
      </c>
      <c r="M348" s="10">
        <v>1</v>
      </c>
    </row>
    <row r="349" spans="1:13">
      <c r="A349" s="8">
        <v>43347</v>
      </c>
      <c r="B349" s="9">
        <v>0.45208333333333334</v>
      </c>
      <c r="C349" s="10" t="str">
        <f>"FES1162645025"</f>
        <v>FES1162645025</v>
      </c>
      <c r="D349" s="10" t="s">
        <v>19</v>
      </c>
      <c r="E349" s="10" t="s">
        <v>137</v>
      </c>
      <c r="F349" s="10" t="str">
        <f>"2170648560 "</f>
        <v xml:space="preserve">2170648560 </v>
      </c>
      <c r="G349" s="10" t="str">
        <f t="shared" si="10"/>
        <v>ON1</v>
      </c>
      <c r="H349" s="10" t="s">
        <v>21</v>
      </c>
      <c r="I349" s="10" t="s">
        <v>138</v>
      </c>
      <c r="J349" s="10" t="str">
        <f>""</f>
        <v/>
      </c>
      <c r="K349" s="10" t="str">
        <f>"PFES1162645025_0001"</f>
        <v>PFES1162645025_0001</v>
      </c>
      <c r="L349" s="10">
        <v>1</v>
      </c>
      <c r="M349" s="10">
        <v>1</v>
      </c>
    </row>
    <row r="350" spans="1:13">
      <c r="A350" s="8">
        <v>43347</v>
      </c>
      <c r="B350" s="9">
        <v>0.4513888888888889</v>
      </c>
      <c r="C350" s="10" t="str">
        <f>"FES1162645090"</f>
        <v>FES1162645090</v>
      </c>
      <c r="D350" s="10" t="s">
        <v>19</v>
      </c>
      <c r="E350" s="10" t="s">
        <v>293</v>
      </c>
      <c r="F350" s="10" t="str">
        <f>"2170649834 "</f>
        <v xml:space="preserve">2170649834 </v>
      </c>
      <c r="G350" s="10" t="str">
        <f t="shared" si="10"/>
        <v>ON1</v>
      </c>
      <c r="H350" s="10" t="s">
        <v>21</v>
      </c>
      <c r="I350" s="10" t="s">
        <v>294</v>
      </c>
      <c r="J350" s="10" t="str">
        <f>""</f>
        <v/>
      </c>
      <c r="K350" s="10" t="str">
        <f>"PFES1162645090_0001"</f>
        <v>PFES1162645090_0001</v>
      </c>
      <c r="L350" s="10">
        <v>1</v>
      </c>
      <c r="M350" s="10">
        <v>5</v>
      </c>
    </row>
    <row r="351" spans="1:13">
      <c r="A351" s="8">
        <v>43347</v>
      </c>
      <c r="B351" s="9">
        <v>0.4513888888888889</v>
      </c>
      <c r="C351" s="10" t="str">
        <f>"FES1162645020"</f>
        <v>FES1162645020</v>
      </c>
      <c r="D351" s="10" t="s">
        <v>19</v>
      </c>
      <c r="E351" s="10" t="s">
        <v>344</v>
      </c>
      <c r="F351" s="10" t="str">
        <f>"21706498498 "</f>
        <v xml:space="preserve">21706498498 </v>
      </c>
      <c r="G351" s="10" t="str">
        <f t="shared" si="10"/>
        <v>ON1</v>
      </c>
      <c r="H351" s="10" t="s">
        <v>21</v>
      </c>
      <c r="I351" s="10" t="s">
        <v>333</v>
      </c>
      <c r="J351" s="10" t="str">
        <f>""</f>
        <v/>
      </c>
      <c r="K351" s="10" t="str">
        <f>"PFES1162645020_0001"</f>
        <v>PFES1162645020_0001</v>
      </c>
      <c r="L351" s="10">
        <v>1</v>
      </c>
      <c r="M351" s="10">
        <v>1</v>
      </c>
    </row>
    <row r="352" spans="1:13">
      <c r="A352" s="8">
        <v>43347</v>
      </c>
      <c r="B352" s="9">
        <v>0.4513888888888889</v>
      </c>
      <c r="C352" s="10" t="str">
        <f>"FES1162645068"</f>
        <v>FES1162645068</v>
      </c>
      <c r="D352" s="10" t="s">
        <v>19</v>
      </c>
      <c r="E352" s="10" t="s">
        <v>301</v>
      </c>
      <c r="F352" s="10" t="str">
        <f>"2170649499 "</f>
        <v xml:space="preserve">2170649499 </v>
      </c>
      <c r="G352" s="10" t="str">
        <f t="shared" si="10"/>
        <v>ON1</v>
      </c>
      <c r="H352" s="10" t="s">
        <v>21</v>
      </c>
      <c r="I352" s="10" t="s">
        <v>309</v>
      </c>
      <c r="J352" s="10" t="str">
        <f>""</f>
        <v/>
      </c>
      <c r="K352" s="10" t="str">
        <f>"PFES1162645068_0001"</f>
        <v>PFES1162645068_0001</v>
      </c>
      <c r="L352" s="10">
        <v>1</v>
      </c>
      <c r="M352" s="10">
        <v>1</v>
      </c>
    </row>
    <row r="353" spans="1:13">
      <c r="A353" s="8">
        <v>43347</v>
      </c>
      <c r="B353" s="9">
        <v>0.45069444444444445</v>
      </c>
      <c r="C353" s="10" t="str">
        <f>"FES1162645087"</f>
        <v>FES1162645087</v>
      </c>
      <c r="D353" s="10" t="s">
        <v>19</v>
      </c>
      <c r="E353" s="10" t="s">
        <v>345</v>
      </c>
      <c r="F353" s="10" t="str">
        <f>"2170649767 "</f>
        <v xml:space="preserve">2170649767 </v>
      </c>
      <c r="G353" s="10" t="str">
        <f t="shared" si="10"/>
        <v>ON1</v>
      </c>
      <c r="H353" s="10" t="s">
        <v>21</v>
      </c>
      <c r="I353" s="10" t="s">
        <v>346</v>
      </c>
      <c r="J353" s="10" t="str">
        <f>""</f>
        <v/>
      </c>
      <c r="K353" s="10" t="str">
        <f>"PFES1162645087_0001"</f>
        <v>PFES1162645087_0001</v>
      </c>
      <c r="L353" s="10">
        <v>1</v>
      </c>
      <c r="M353" s="10">
        <v>1</v>
      </c>
    </row>
    <row r="354" spans="1:13">
      <c r="A354" s="8">
        <v>43347</v>
      </c>
      <c r="B354" s="9">
        <v>0.45069444444444445</v>
      </c>
      <c r="C354" s="10" t="str">
        <f>"FES1162645092"</f>
        <v>FES1162645092</v>
      </c>
      <c r="D354" s="10" t="s">
        <v>19</v>
      </c>
      <c r="E354" s="10" t="s">
        <v>347</v>
      </c>
      <c r="F354" s="10" t="str">
        <f>"2170649894 "</f>
        <v xml:space="preserve">2170649894 </v>
      </c>
      <c r="G354" s="10" t="str">
        <f t="shared" si="10"/>
        <v>ON1</v>
      </c>
      <c r="H354" s="10" t="s">
        <v>21</v>
      </c>
      <c r="I354" s="10" t="s">
        <v>348</v>
      </c>
      <c r="J354" s="10" t="str">
        <f>""</f>
        <v/>
      </c>
      <c r="K354" s="10" t="str">
        <f>"PFES1162645092_0001"</f>
        <v>PFES1162645092_0001</v>
      </c>
      <c r="L354" s="10">
        <v>1</v>
      </c>
      <c r="M354" s="10">
        <v>1</v>
      </c>
    </row>
    <row r="355" spans="1:13">
      <c r="A355" s="8">
        <v>43347</v>
      </c>
      <c r="B355" s="9">
        <v>0.45</v>
      </c>
      <c r="C355" s="10" t="str">
        <f>"FES1162645096"</f>
        <v>FES1162645096</v>
      </c>
      <c r="D355" s="10" t="s">
        <v>19</v>
      </c>
      <c r="E355" s="10" t="s">
        <v>221</v>
      </c>
      <c r="F355" s="10" t="str">
        <f>"2170649932 "</f>
        <v xml:space="preserve">2170649932 </v>
      </c>
      <c r="G355" s="10" t="str">
        <f t="shared" si="10"/>
        <v>ON1</v>
      </c>
      <c r="H355" s="10" t="s">
        <v>21</v>
      </c>
      <c r="I355" s="10" t="s">
        <v>222</v>
      </c>
      <c r="J355" s="10" t="str">
        <f>""</f>
        <v/>
      </c>
      <c r="K355" s="10" t="str">
        <f>"PFES1162645096_0001"</f>
        <v>PFES1162645096_0001</v>
      </c>
      <c r="L355" s="10">
        <v>1</v>
      </c>
      <c r="M355" s="10">
        <v>1</v>
      </c>
    </row>
    <row r="356" spans="1:13">
      <c r="A356" s="8">
        <v>43347</v>
      </c>
      <c r="B356" s="9">
        <v>0.45</v>
      </c>
      <c r="C356" s="10" t="str">
        <f>"FES1162645128"</f>
        <v>FES1162645128</v>
      </c>
      <c r="D356" s="10" t="s">
        <v>19</v>
      </c>
      <c r="E356" s="10" t="s">
        <v>349</v>
      </c>
      <c r="F356" s="10" t="str">
        <f>"2170649986 "</f>
        <v xml:space="preserve">2170649986 </v>
      </c>
      <c r="G356" s="10" t="str">
        <f t="shared" si="10"/>
        <v>ON1</v>
      </c>
      <c r="H356" s="10" t="s">
        <v>21</v>
      </c>
      <c r="I356" s="10" t="s">
        <v>126</v>
      </c>
      <c r="J356" s="10" t="str">
        <f>""</f>
        <v/>
      </c>
      <c r="K356" s="10" t="str">
        <f>"PFES1162645128_0001"</f>
        <v>PFES1162645128_0001</v>
      </c>
      <c r="L356" s="10">
        <v>1</v>
      </c>
      <c r="M356" s="10">
        <v>1</v>
      </c>
    </row>
    <row r="357" spans="1:13">
      <c r="A357" s="8">
        <v>43347</v>
      </c>
      <c r="B357" s="9">
        <v>0.45</v>
      </c>
      <c r="C357" s="10" t="str">
        <f>"FES1162645093"</f>
        <v>FES1162645093</v>
      </c>
      <c r="D357" s="10" t="s">
        <v>19</v>
      </c>
      <c r="E357" s="10" t="s">
        <v>350</v>
      </c>
      <c r="F357" s="10" t="str">
        <f>"2170649895 "</f>
        <v xml:space="preserve">2170649895 </v>
      </c>
      <c r="G357" s="10" t="str">
        <f t="shared" si="10"/>
        <v>ON1</v>
      </c>
      <c r="H357" s="10" t="s">
        <v>21</v>
      </c>
      <c r="I357" s="10" t="s">
        <v>80</v>
      </c>
      <c r="J357" s="10" t="str">
        <f>""</f>
        <v/>
      </c>
      <c r="K357" s="10" t="str">
        <f>"PFES1162645093_0001"</f>
        <v>PFES1162645093_0001</v>
      </c>
      <c r="L357" s="10">
        <v>1</v>
      </c>
      <c r="M357" s="10">
        <v>1</v>
      </c>
    </row>
    <row r="358" spans="1:13">
      <c r="A358" s="8">
        <v>43347</v>
      </c>
      <c r="B358" s="9">
        <v>0.44930555555555557</v>
      </c>
      <c r="C358" s="10" t="str">
        <f>"FES1162645140"</f>
        <v>FES1162645140</v>
      </c>
      <c r="D358" s="10" t="s">
        <v>19</v>
      </c>
      <c r="E358" s="10" t="s">
        <v>56</v>
      </c>
      <c r="F358" s="10" t="str">
        <f>"2170649995 "</f>
        <v xml:space="preserve">2170649995 </v>
      </c>
      <c r="G358" s="10" t="str">
        <f t="shared" si="10"/>
        <v>ON1</v>
      </c>
      <c r="H358" s="10" t="s">
        <v>21</v>
      </c>
      <c r="I358" s="10" t="s">
        <v>57</v>
      </c>
      <c r="J358" s="10" t="str">
        <f>""</f>
        <v/>
      </c>
      <c r="K358" s="10" t="str">
        <f>"PFES1162645140_0001"</f>
        <v>PFES1162645140_0001</v>
      </c>
      <c r="L358" s="10">
        <v>1</v>
      </c>
      <c r="M358" s="10">
        <v>1</v>
      </c>
    </row>
    <row r="359" spans="1:13">
      <c r="A359" s="8">
        <v>43347</v>
      </c>
      <c r="B359" s="9">
        <v>0.44930555555555557</v>
      </c>
      <c r="C359" s="10" t="str">
        <f>"FES1162645085"</f>
        <v>FES1162645085</v>
      </c>
      <c r="D359" s="10" t="s">
        <v>19</v>
      </c>
      <c r="E359" s="10" t="s">
        <v>347</v>
      </c>
      <c r="F359" s="10" t="str">
        <f>"2170649728 "</f>
        <v xml:space="preserve">2170649728 </v>
      </c>
      <c r="G359" s="10" t="str">
        <f t="shared" si="10"/>
        <v>ON1</v>
      </c>
      <c r="H359" s="10" t="s">
        <v>21</v>
      </c>
      <c r="I359" s="10" t="s">
        <v>348</v>
      </c>
      <c r="J359" s="10" t="str">
        <f>""</f>
        <v/>
      </c>
      <c r="K359" s="10" t="str">
        <f>"PFES1162645085_0001"</f>
        <v>PFES1162645085_0001</v>
      </c>
      <c r="L359" s="10">
        <v>1</v>
      </c>
      <c r="M359" s="10">
        <v>1</v>
      </c>
    </row>
    <row r="360" spans="1:13">
      <c r="A360" s="8">
        <v>43347</v>
      </c>
      <c r="B360" s="9">
        <v>0.44861111111111113</v>
      </c>
      <c r="C360" s="10" t="str">
        <f>"FES1162645010"</f>
        <v>FES1162645010</v>
      </c>
      <c r="D360" s="10" t="s">
        <v>19</v>
      </c>
      <c r="E360" s="10" t="s">
        <v>70</v>
      </c>
      <c r="F360" s="10" t="str">
        <f>"2170647222 "</f>
        <v xml:space="preserve">2170647222 </v>
      </c>
      <c r="G360" s="10" t="str">
        <f t="shared" si="10"/>
        <v>ON1</v>
      </c>
      <c r="H360" s="10" t="s">
        <v>21</v>
      </c>
      <c r="I360" s="10" t="s">
        <v>57</v>
      </c>
      <c r="J360" s="10" t="str">
        <f>""</f>
        <v/>
      </c>
      <c r="K360" s="10" t="str">
        <f>"PFES1162645010_0001"</f>
        <v>PFES1162645010_0001</v>
      </c>
      <c r="L360" s="10">
        <v>1</v>
      </c>
      <c r="M360" s="10">
        <v>1</v>
      </c>
    </row>
    <row r="361" spans="1:13">
      <c r="A361" s="8">
        <v>43347</v>
      </c>
      <c r="B361" s="9">
        <v>0.44791666666666669</v>
      </c>
      <c r="C361" s="10" t="str">
        <f>"FES1162645088"</f>
        <v>FES1162645088</v>
      </c>
      <c r="D361" s="10" t="s">
        <v>19</v>
      </c>
      <c r="E361" s="10" t="s">
        <v>351</v>
      </c>
      <c r="F361" s="10" t="str">
        <f>"2170649800 "</f>
        <v xml:space="preserve">2170649800 </v>
      </c>
      <c r="G361" s="10" t="str">
        <f t="shared" si="10"/>
        <v>ON1</v>
      </c>
      <c r="H361" s="10" t="s">
        <v>21</v>
      </c>
      <c r="I361" s="10" t="s">
        <v>308</v>
      </c>
      <c r="J361" s="10" t="str">
        <f>""</f>
        <v/>
      </c>
      <c r="K361" s="10" t="str">
        <f>"PFES1162645088_0001"</f>
        <v>PFES1162645088_0001</v>
      </c>
      <c r="L361" s="10">
        <v>1</v>
      </c>
      <c r="M361" s="10">
        <v>1</v>
      </c>
    </row>
    <row r="362" spans="1:13">
      <c r="A362" s="8">
        <v>43347</v>
      </c>
      <c r="B362" s="9">
        <v>0.44791666666666669</v>
      </c>
      <c r="C362" s="10" t="str">
        <f>"FES1162645127"</f>
        <v>FES1162645127</v>
      </c>
      <c r="D362" s="10" t="s">
        <v>19</v>
      </c>
      <c r="E362" s="10" t="s">
        <v>156</v>
      </c>
      <c r="F362" s="10" t="str">
        <f>"2170649984 "</f>
        <v xml:space="preserve">2170649984 </v>
      </c>
      <c r="G362" s="10" t="str">
        <f t="shared" si="10"/>
        <v>ON1</v>
      </c>
      <c r="H362" s="10" t="s">
        <v>21</v>
      </c>
      <c r="I362" s="10" t="s">
        <v>157</v>
      </c>
      <c r="J362" s="10" t="str">
        <f>""</f>
        <v/>
      </c>
      <c r="K362" s="10" t="str">
        <f>"PFES1162645127_0001"</f>
        <v>PFES1162645127_0001</v>
      </c>
      <c r="L362" s="10">
        <v>1</v>
      </c>
      <c r="M362" s="10">
        <v>1</v>
      </c>
    </row>
    <row r="363" spans="1:13">
      <c r="A363" s="8">
        <v>43347</v>
      </c>
      <c r="B363" s="9">
        <v>0.44722222222222219</v>
      </c>
      <c r="C363" s="10" t="str">
        <f>"FES1162645094"</f>
        <v>FES1162645094</v>
      </c>
      <c r="D363" s="10" t="s">
        <v>19</v>
      </c>
      <c r="E363" s="10" t="s">
        <v>284</v>
      </c>
      <c r="F363" s="10" t="str">
        <f>"2170649917 "</f>
        <v xml:space="preserve">2170649917 </v>
      </c>
      <c r="G363" s="10" t="str">
        <f t="shared" si="10"/>
        <v>ON1</v>
      </c>
      <c r="H363" s="10" t="s">
        <v>21</v>
      </c>
      <c r="I363" s="10" t="s">
        <v>57</v>
      </c>
      <c r="J363" s="10" t="str">
        <f>""</f>
        <v/>
      </c>
      <c r="K363" s="10" t="str">
        <f>"PFES1162645094_0001"</f>
        <v>PFES1162645094_0001</v>
      </c>
      <c r="L363" s="10">
        <v>1</v>
      </c>
      <c r="M363" s="10">
        <v>1</v>
      </c>
    </row>
    <row r="364" spans="1:13">
      <c r="A364" s="8">
        <v>43347</v>
      </c>
      <c r="B364" s="9">
        <v>0.43333333333333335</v>
      </c>
      <c r="C364" s="10" t="str">
        <f>"FES1162645075"</f>
        <v>FES1162645075</v>
      </c>
      <c r="D364" s="10" t="s">
        <v>19</v>
      </c>
      <c r="E364" s="10" t="s">
        <v>174</v>
      </c>
      <c r="F364" s="10" t="str">
        <f>"2170649624 "</f>
        <v xml:space="preserve">2170649624 </v>
      </c>
      <c r="G364" s="10" t="str">
        <f>"SDX"</f>
        <v>SDX</v>
      </c>
      <c r="H364" s="10" t="s">
        <v>21</v>
      </c>
      <c r="I364" s="10" t="s">
        <v>175</v>
      </c>
      <c r="J364" s="10" t="str">
        <f>"SDX"</f>
        <v>SDX</v>
      </c>
      <c r="K364" s="10" t="str">
        <f>"PFES1162645075_0001"</f>
        <v>PFES1162645075_0001</v>
      </c>
      <c r="L364" s="10">
        <v>1</v>
      </c>
      <c r="M364" s="10">
        <v>1</v>
      </c>
    </row>
    <row r="365" spans="1:13">
      <c r="A365" s="8">
        <v>43348</v>
      </c>
      <c r="B365" s="9">
        <v>0.69305555555555554</v>
      </c>
      <c r="C365" s="10" t="str">
        <f>"FES1162645503"</f>
        <v>FES1162645503</v>
      </c>
      <c r="D365" s="10" t="s">
        <v>19</v>
      </c>
      <c r="E365" s="10" t="s">
        <v>352</v>
      </c>
      <c r="F365" s="10" t="str">
        <f>"2170650335 "</f>
        <v xml:space="preserve">2170650335 </v>
      </c>
      <c r="G365" s="10" t="str">
        <f t="shared" ref="G365:G428" si="11">"ON1"</f>
        <v>ON1</v>
      </c>
      <c r="H365" s="10" t="s">
        <v>21</v>
      </c>
      <c r="I365" s="10" t="s">
        <v>353</v>
      </c>
      <c r="J365" s="10" t="str">
        <f>""</f>
        <v/>
      </c>
      <c r="K365" s="10" t="str">
        <f>"PFES1162645503_0001"</f>
        <v>PFES1162645503_0001</v>
      </c>
      <c r="L365" s="10">
        <v>1</v>
      </c>
      <c r="M365" s="10">
        <v>7</v>
      </c>
    </row>
    <row r="366" spans="1:13">
      <c r="A366" s="8">
        <v>43348</v>
      </c>
      <c r="B366" s="9">
        <v>0.68333333333333324</v>
      </c>
      <c r="C366" s="10" t="str">
        <f>"FES1162645504"</f>
        <v>FES1162645504</v>
      </c>
      <c r="D366" s="10" t="s">
        <v>19</v>
      </c>
      <c r="E366" s="10" t="s">
        <v>58</v>
      </c>
      <c r="F366" s="10" t="str">
        <f>"2170650028 "</f>
        <v xml:space="preserve">2170650028 </v>
      </c>
      <c r="G366" s="10" t="str">
        <f t="shared" si="11"/>
        <v>ON1</v>
      </c>
      <c r="H366" s="10" t="s">
        <v>21</v>
      </c>
      <c r="I366" s="10" t="s">
        <v>30</v>
      </c>
      <c r="J366" s="10" t="str">
        <f>""</f>
        <v/>
      </c>
      <c r="K366" s="10" t="str">
        <f>"PFES1162645504_0001"</f>
        <v>PFES1162645504_0001</v>
      </c>
      <c r="L366" s="10">
        <v>1</v>
      </c>
      <c r="M366" s="10">
        <v>5</v>
      </c>
    </row>
    <row r="367" spans="1:13">
      <c r="A367" s="8">
        <v>43348</v>
      </c>
      <c r="B367" s="9">
        <v>0.68263888888888891</v>
      </c>
      <c r="C367" s="10" t="str">
        <f>"FES1162645485"</f>
        <v>FES1162645485</v>
      </c>
      <c r="D367" s="10" t="s">
        <v>19</v>
      </c>
      <c r="E367" s="10" t="s">
        <v>345</v>
      </c>
      <c r="F367" s="10" t="str">
        <f>"2170647086 "</f>
        <v xml:space="preserve">2170647086 </v>
      </c>
      <c r="G367" s="10" t="str">
        <f t="shared" si="11"/>
        <v>ON1</v>
      </c>
      <c r="H367" s="10" t="s">
        <v>21</v>
      </c>
      <c r="I367" s="10" t="s">
        <v>346</v>
      </c>
      <c r="J367" s="10" t="str">
        <f>""</f>
        <v/>
      </c>
      <c r="K367" s="10" t="str">
        <f>"PFES1162645485_0001"</f>
        <v>PFES1162645485_0001</v>
      </c>
      <c r="L367" s="10">
        <v>1</v>
      </c>
      <c r="M367" s="10">
        <v>11</v>
      </c>
    </row>
    <row r="368" spans="1:13">
      <c r="A368" s="8">
        <v>43348</v>
      </c>
      <c r="B368" s="9">
        <v>0.68194444444444446</v>
      </c>
      <c r="C368" s="10" t="str">
        <f>"FES1162645507"</f>
        <v>FES1162645507</v>
      </c>
      <c r="D368" s="10" t="s">
        <v>19</v>
      </c>
      <c r="E368" s="10" t="s">
        <v>194</v>
      </c>
      <c r="F368" s="10" t="str">
        <f>"2170650269 "</f>
        <v xml:space="preserve">2170650269 </v>
      </c>
      <c r="G368" s="10" t="str">
        <f t="shared" si="11"/>
        <v>ON1</v>
      </c>
      <c r="H368" s="10" t="s">
        <v>21</v>
      </c>
      <c r="I368" s="10" t="s">
        <v>195</v>
      </c>
      <c r="J368" s="10" t="str">
        <f>""</f>
        <v/>
      </c>
      <c r="K368" s="10" t="str">
        <f>"PFES1162645507_0001"</f>
        <v>PFES1162645507_0001</v>
      </c>
      <c r="L368" s="10">
        <v>1</v>
      </c>
      <c r="M368" s="10">
        <v>1</v>
      </c>
    </row>
    <row r="369" spans="1:13">
      <c r="A369" s="8">
        <v>43348</v>
      </c>
      <c r="B369" s="9">
        <v>0.68125000000000002</v>
      </c>
      <c r="C369" s="10" t="str">
        <f>"FES1162645484"</f>
        <v>FES1162645484</v>
      </c>
      <c r="D369" s="10" t="s">
        <v>19</v>
      </c>
      <c r="E369" s="10" t="s">
        <v>354</v>
      </c>
      <c r="F369" s="10" t="str">
        <f>"2170628569 "</f>
        <v xml:space="preserve">2170628569 </v>
      </c>
      <c r="G369" s="10" t="str">
        <f t="shared" si="11"/>
        <v>ON1</v>
      </c>
      <c r="H369" s="10" t="s">
        <v>21</v>
      </c>
      <c r="I369" s="10" t="s">
        <v>355</v>
      </c>
      <c r="J369" s="10" t="str">
        <f>""</f>
        <v/>
      </c>
      <c r="K369" s="10" t="str">
        <f>"PFES1162645484_0001"</f>
        <v>PFES1162645484_0001</v>
      </c>
      <c r="L369" s="10">
        <v>1</v>
      </c>
      <c r="M369" s="10">
        <v>14</v>
      </c>
    </row>
    <row r="370" spans="1:13">
      <c r="A370" s="8">
        <v>43348</v>
      </c>
      <c r="B370" s="9">
        <v>0.68055555555555547</v>
      </c>
      <c r="C370" s="10" t="str">
        <f>"FES1162645499"</f>
        <v>FES1162645499</v>
      </c>
      <c r="D370" s="10" t="s">
        <v>19</v>
      </c>
      <c r="E370" s="10" t="s">
        <v>356</v>
      </c>
      <c r="F370" s="10" t="str">
        <f>"2170650425 "</f>
        <v xml:space="preserve">2170650425 </v>
      </c>
      <c r="G370" s="10" t="str">
        <f t="shared" si="11"/>
        <v>ON1</v>
      </c>
      <c r="H370" s="10" t="s">
        <v>21</v>
      </c>
      <c r="I370" s="10" t="s">
        <v>277</v>
      </c>
      <c r="J370" s="10" t="str">
        <f>""</f>
        <v/>
      </c>
      <c r="K370" s="10" t="str">
        <f>"PFES1162645499_0001"</f>
        <v>PFES1162645499_0001</v>
      </c>
      <c r="L370" s="10">
        <v>1</v>
      </c>
      <c r="M370" s="10">
        <v>15</v>
      </c>
    </row>
    <row r="371" spans="1:13">
      <c r="A371" s="8">
        <v>43348</v>
      </c>
      <c r="B371" s="9">
        <v>0.67986111111111114</v>
      </c>
      <c r="C371" s="10" t="str">
        <f>"FES1162645506"</f>
        <v>FES1162645506</v>
      </c>
      <c r="D371" s="10" t="s">
        <v>19</v>
      </c>
      <c r="E371" s="10" t="s">
        <v>81</v>
      </c>
      <c r="F371" s="10" t="str">
        <f>"2170650322 "</f>
        <v xml:space="preserve">2170650322 </v>
      </c>
      <c r="G371" s="10" t="str">
        <f t="shared" si="11"/>
        <v>ON1</v>
      </c>
      <c r="H371" s="10" t="s">
        <v>21</v>
      </c>
      <c r="I371" s="10" t="s">
        <v>28</v>
      </c>
      <c r="J371" s="10" t="str">
        <f>""</f>
        <v/>
      </c>
      <c r="K371" s="10" t="str">
        <f>"PFES1162645506_0001"</f>
        <v>PFES1162645506_0001</v>
      </c>
      <c r="L371" s="10">
        <v>1</v>
      </c>
      <c r="M371" s="10">
        <v>1</v>
      </c>
    </row>
    <row r="372" spans="1:13">
      <c r="A372" s="8">
        <v>43348</v>
      </c>
      <c r="B372" s="9">
        <v>0.67986111111111114</v>
      </c>
      <c r="C372" s="10" t="str">
        <f>"FES1162645505"</f>
        <v>FES1162645505</v>
      </c>
      <c r="D372" s="10" t="s">
        <v>19</v>
      </c>
      <c r="E372" s="10" t="s">
        <v>357</v>
      </c>
      <c r="F372" s="10" t="str">
        <f>"2170650190 "</f>
        <v xml:space="preserve">2170650190 </v>
      </c>
      <c r="G372" s="10" t="str">
        <f t="shared" si="11"/>
        <v>ON1</v>
      </c>
      <c r="H372" s="10" t="s">
        <v>21</v>
      </c>
      <c r="I372" s="10" t="s">
        <v>283</v>
      </c>
      <c r="J372" s="10" t="str">
        <f>""</f>
        <v/>
      </c>
      <c r="K372" s="10" t="str">
        <f>"PFES1162645505_0001"</f>
        <v>PFES1162645505_0001</v>
      </c>
      <c r="L372" s="10">
        <v>1</v>
      </c>
      <c r="M372" s="10">
        <v>1</v>
      </c>
    </row>
    <row r="373" spans="1:13">
      <c r="A373" s="8">
        <v>43348</v>
      </c>
      <c r="B373" s="9">
        <v>0.67986111111111114</v>
      </c>
      <c r="C373" s="10" t="str">
        <f>"FES1162645500"</f>
        <v>FES1162645500</v>
      </c>
      <c r="D373" s="10" t="s">
        <v>19</v>
      </c>
      <c r="E373" s="10" t="s">
        <v>358</v>
      </c>
      <c r="F373" s="10" t="str">
        <f>"2170650428 "</f>
        <v xml:space="preserve">2170650428 </v>
      </c>
      <c r="G373" s="10" t="str">
        <f t="shared" si="11"/>
        <v>ON1</v>
      </c>
      <c r="H373" s="10" t="s">
        <v>21</v>
      </c>
      <c r="I373" s="10" t="s">
        <v>42</v>
      </c>
      <c r="J373" s="10" t="str">
        <f>""</f>
        <v/>
      </c>
      <c r="K373" s="10" t="str">
        <f>"PFES1162645500_0001"</f>
        <v>PFES1162645500_0001</v>
      </c>
      <c r="L373" s="10">
        <v>1</v>
      </c>
      <c r="M373" s="10">
        <v>1</v>
      </c>
    </row>
    <row r="374" spans="1:13">
      <c r="A374" s="8">
        <v>43348</v>
      </c>
      <c r="B374" s="9">
        <v>0.67638888888888893</v>
      </c>
      <c r="C374" s="10" t="str">
        <f>"FES1162645471"</f>
        <v>FES1162645471</v>
      </c>
      <c r="D374" s="10" t="s">
        <v>19</v>
      </c>
      <c r="E374" s="10" t="s">
        <v>357</v>
      </c>
      <c r="F374" s="10" t="str">
        <f>"2170650190 "</f>
        <v xml:space="preserve">2170650190 </v>
      </c>
      <c r="G374" s="10" t="str">
        <f t="shared" si="11"/>
        <v>ON1</v>
      </c>
      <c r="H374" s="10" t="s">
        <v>21</v>
      </c>
      <c r="I374" s="10" t="s">
        <v>283</v>
      </c>
      <c r="J374" s="10" t="str">
        <f>""</f>
        <v/>
      </c>
      <c r="K374" s="10" t="str">
        <f>"PFES1162645471_0001"</f>
        <v>PFES1162645471_0001</v>
      </c>
      <c r="L374" s="10">
        <v>1</v>
      </c>
      <c r="M374" s="10">
        <v>1</v>
      </c>
    </row>
    <row r="375" spans="1:13">
      <c r="A375" s="8">
        <v>43348</v>
      </c>
      <c r="B375" s="9">
        <v>0.67083333333333339</v>
      </c>
      <c r="C375" s="10" t="str">
        <f>"FES1162645502"</f>
        <v>FES1162645502</v>
      </c>
      <c r="D375" s="10" t="s">
        <v>19</v>
      </c>
      <c r="E375" s="10" t="s">
        <v>359</v>
      </c>
      <c r="F375" s="10" t="str">
        <f>"217060432 "</f>
        <v xml:space="preserve">217060432 </v>
      </c>
      <c r="G375" s="10" t="str">
        <f t="shared" si="11"/>
        <v>ON1</v>
      </c>
      <c r="H375" s="10" t="s">
        <v>21</v>
      </c>
      <c r="I375" s="10" t="s">
        <v>87</v>
      </c>
      <c r="J375" s="10" t="str">
        <f>""</f>
        <v/>
      </c>
      <c r="K375" s="10" t="str">
        <f>"PFES1162645502_0001"</f>
        <v>PFES1162645502_0001</v>
      </c>
      <c r="L375" s="10">
        <v>1</v>
      </c>
      <c r="M375" s="10">
        <v>1</v>
      </c>
    </row>
    <row r="376" spans="1:13">
      <c r="A376" s="8">
        <v>43348</v>
      </c>
      <c r="B376" s="9">
        <v>0.67013888888888884</v>
      </c>
      <c r="C376" s="10" t="str">
        <f>"FES1162645481"</f>
        <v>FES1162645481</v>
      </c>
      <c r="D376" s="10" t="s">
        <v>19</v>
      </c>
      <c r="E376" s="10" t="s">
        <v>253</v>
      </c>
      <c r="F376" s="10" t="str">
        <f>"2170650395 "</f>
        <v xml:space="preserve">2170650395 </v>
      </c>
      <c r="G376" s="10" t="str">
        <f t="shared" si="11"/>
        <v>ON1</v>
      </c>
      <c r="H376" s="10" t="s">
        <v>21</v>
      </c>
      <c r="I376" s="10" t="s">
        <v>254</v>
      </c>
      <c r="J376" s="10" t="str">
        <f>""</f>
        <v/>
      </c>
      <c r="K376" s="10" t="str">
        <f>"PFES1162645481_0001"</f>
        <v>PFES1162645481_0001</v>
      </c>
      <c r="L376" s="10">
        <v>1</v>
      </c>
      <c r="M376" s="10">
        <v>1</v>
      </c>
    </row>
    <row r="377" spans="1:13">
      <c r="A377" s="8">
        <v>43348</v>
      </c>
      <c r="B377" s="9">
        <v>0.67013888888888884</v>
      </c>
      <c r="C377" s="10" t="str">
        <f>"FES1162645479"</f>
        <v>FES1162645479</v>
      </c>
      <c r="D377" s="10" t="s">
        <v>19</v>
      </c>
      <c r="E377" s="10" t="s">
        <v>360</v>
      </c>
      <c r="F377" s="10" t="str">
        <f>"2170650391 "</f>
        <v xml:space="preserve">2170650391 </v>
      </c>
      <c r="G377" s="10" t="str">
        <f t="shared" si="11"/>
        <v>ON1</v>
      </c>
      <c r="H377" s="10" t="s">
        <v>21</v>
      </c>
      <c r="I377" s="10" t="s">
        <v>89</v>
      </c>
      <c r="J377" s="10" t="str">
        <f>""</f>
        <v/>
      </c>
      <c r="K377" s="10" t="str">
        <f>"PFES1162645479_0001"</f>
        <v>PFES1162645479_0001</v>
      </c>
      <c r="L377" s="10">
        <v>1</v>
      </c>
      <c r="M377" s="10">
        <v>1</v>
      </c>
    </row>
    <row r="378" spans="1:13">
      <c r="A378" s="8">
        <v>43348</v>
      </c>
      <c r="B378" s="9">
        <v>0.6694444444444444</v>
      </c>
      <c r="C378" s="10" t="str">
        <f>"FES1162645459"</f>
        <v>FES1162645459</v>
      </c>
      <c r="D378" s="10" t="s">
        <v>19</v>
      </c>
      <c r="E378" s="10" t="s">
        <v>361</v>
      </c>
      <c r="F378" s="10" t="str">
        <f>"2170650372 "</f>
        <v xml:space="preserve">2170650372 </v>
      </c>
      <c r="G378" s="10" t="str">
        <f t="shared" si="11"/>
        <v>ON1</v>
      </c>
      <c r="H378" s="10" t="s">
        <v>21</v>
      </c>
      <c r="I378" s="10" t="s">
        <v>107</v>
      </c>
      <c r="J378" s="10" t="str">
        <f>""</f>
        <v/>
      </c>
      <c r="K378" s="10" t="str">
        <f>"PFES1162645459_0001"</f>
        <v>PFES1162645459_0001</v>
      </c>
      <c r="L378" s="10">
        <v>1</v>
      </c>
      <c r="M378" s="10">
        <v>1</v>
      </c>
    </row>
    <row r="379" spans="1:13">
      <c r="A379" s="8">
        <v>43348</v>
      </c>
      <c r="B379" s="9">
        <v>0.66041666666666665</v>
      </c>
      <c r="C379" s="10" t="str">
        <f>"FES1162645501"</f>
        <v>FES1162645501</v>
      </c>
      <c r="D379" s="10" t="s">
        <v>19</v>
      </c>
      <c r="E379" s="10" t="s">
        <v>362</v>
      </c>
      <c r="F379" s="10" t="str">
        <f>"2170650430 "</f>
        <v xml:space="preserve">2170650430 </v>
      </c>
      <c r="G379" s="10" t="str">
        <f t="shared" si="11"/>
        <v>ON1</v>
      </c>
      <c r="H379" s="10" t="s">
        <v>21</v>
      </c>
      <c r="I379" s="10" t="s">
        <v>179</v>
      </c>
      <c r="J379" s="10" t="str">
        <f>""</f>
        <v/>
      </c>
      <c r="K379" s="10" t="str">
        <f>"PFES1162645501_0001"</f>
        <v>PFES1162645501_0001</v>
      </c>
      <c r="L379" s="10">
        <v>1</v>
      </c>
      <c r="M379" s="10">
        <v>5</v>
      </c>
    </row>
    <row r="380" spans="1:13">
      <c r="A380" s="8">
        <v>43348</v>
      </c>
      <c r="B380" s="9">
        <v>0.65902777777777777</v>
      </c>
      <c r="C380" s="10" t="str">
        <f>"FES1162645495"</f>
        <v>FES1162645495</v>
      </c>
      <c r="D380" s="10" t="s">
        <v>19</v>
      </c>
      <c r="E380" s="10" t="s">
        <v>281</v>
      </c>
      <c r="F380" s="10" t="str">
        <f>"2170650415 "</f>
        <v xml:space="preserve">2170650415 </v>
      </c>
      <c r="G380" s="10" t="str">
        <f t="shared" si="11"/>
        <v>ON1</v>
      </c>
      <c r="H380" s="10" t="s">
        <v>21</v>
      </c>
      <c r="I380" s="10" t="s">
        <v>282</v>
      </c>
      <c r="J380" s="10" t="str">
        <f>""</f>
        <v/>
      </c>
      <c r="K380" s="10" t="str">
        <f>"PFES1162645495_0001"</f>
        <v>PFES1162645495_0001</v>
      </c>
      <c r="L380" s="10">
        <v>1</v>
      </c>
      <c r="M380" s="10">
        <v>4</v>
      </c>
    </row>
    <row r="381" spans="1:13">
      <c r="A381" s="8">
        <v>43348</v>
      </c>
      <c r="B381" s="9">
        <v>0.65486111111111112</v>
      </c>
      <c r="C381" s="10" t="str">
        <f>"FES1162645498"</f>
        <v>FES1162645498</v>
      </c>
      <c r="D381" s="10" t="s">
        <v>19</v>
      </c>
      <c r="E381" s="10" t="s">
        <v>363</v>
      </c>
      <c r="F381" s="10" t="str">
        <f>"2170650422 "</f>
        <v xml:space="preserve">2170650422 </v>
      </c>
      <c r="G381" s="10" t="str">
        <f t="shared" si="11"/>
        <v>ON1</v>
      </c>
      <c r="H381" s="10" t="s">
        <v>21</v>
      </c>
      <c r="I381" s="10" t="s">
        <v>177</v>
      </c>
      <c r="J381" s="10" t="str">
        <f>""</f>
        <v/>
      </c>
      <c r="K381" s="10" t="str">
        <f>"PFES1162645498_0001"</f>
        <v>PFES1162645498_0001</v>
      </c>
      <c r="L381" s="10">
        <v>1</v>
      </c>
      <c r="M381" s="10">
        <v>1</v>
      </c>
    </row>
    <row r="382" spans="1:13">
      <c r="A382" s="8">
        <v>43348</v>
      </c>
      <c r="B382" s="9">
        <v>0.65486111111111112</v>
      </c>
      <c r="C382" s="10" t="str">
        <f>"FES1162645494"</f>
        <v>FES1162645494</v>
      </c>
      <c r="D382" s="10" t="s">
        <v>19</v>
      </c>
      <c r="E382" s="10" t="s">
        <v>149</v>
      </c>
      <c r="F382" s="10" t="str">
        <f>"2170650414 "</f>
        <v xml:space="preserve">2170650414 </v>
      </c>
      <c r="G382" s="10" t="str">
        <f t="shared" si="11"/>
        <v>ON1</v>
      </c>
      <c r="H382" s="10" t="s">
        <v>21</v>
      </c>
      <c r="I382" s="10" t="s">
        <v>150</v>
      </c>
      <c r="J382" s="10" t="str">
        <f>""</f>
        <v/>
      </c>
      <c r="K382" s="10" t="str">
        <f>"PFES1162645494_0001"</f>
        <v>PFES1162645494_0001</v>
      </c>
      <c r="L382" s="10">
        <v>1</v>
      </c>
      <c r="M382" s="10">
        <v>1</v>
      </c>
    </row>
    <row r="383" spans="1:13">
      <c r="A383" s="8">
        <v>43348</v>
      </c>
      <c r="B383" s="9">
        <v>0.65416666666666667</v>
      </c>
      <c r="C383" s="10" t="str">
        <f>"FES1162645491"</f>
        <v>FES1162645491</v>
      </c>
      <c r="D383" s="10" t="s">
        <v>19</v>
      </c>
      <c r="E383" s="10" t="s">
        <v>125</v>
      </c>
      <c r="F383" s="10" t="str">
        <f>"21705049 "</f>
        <v xml:space="preserve">21705049 </v>
      </c>
      <c r="G383" s="10" t="str">
        <f t="shared" si="11"/>
        <v>ON1</v>
      </c>
      <c r="H383" s="10" t="s">
        <v>21</v>
      </c>
      <c r="I383" s="10" t="s">
        <v>126</v>
      </c>
      <c r="J383" s="10" t="str">
        <f>""</f>
        <v/>
      </c>
      <c r="K383" s="10" t="str">
        <f>"PFES1162645491_0001"</f>
        <v>PFES1162645491_0001</v>
      </c>
      <c r="L383" s="10">
        <v>1</v>
      </c>
      <c r="M383" s="10">
        <v>1</v>
      </c>
    </row>
    <row r="384" spans="1:13">
      <c r="A384" s="8">
        <v>43348</v>
      </c>
      <c r="B384" s="9">
        <v>0.65416666666666667</v>
      </c>
      <c r="C384" s="10" t="str">
        <f>"FES1162645496"</f>
        <v>FES1162645496</v>
      </c>
      <c r="D384" s="10" t="s">
        <v>19</v>
      </c>
      <c r="E384" s="10" t="s">
        <v>364</v>
      </c>
      <c r="F384" s="10" t="str">
        <f>"2170650417 "</f>
        <v xml:space="preserve">2170650417 </v>
      </c>
      <c r="G384" s="10" t="str">
        <f t="shared" si="11"/>
        <v>ON1</v>
      </c>
      <c r="H384" s="10" t="s">
        <v>21</v>
      </c>
      <c r="I384" s="10" t="s">
        <v>57</v>
      </c>
      <c r="J384" s="10" t="str">
        <f>""</f>
        <v/>
      </c>
      <c r="K384" s="10" t="str">
        <f>"PFES1162645496_0001"</f>
        <v>PFES1162645496_0001</v>
      </c>
      <c r="L384" s="10">
        <v>1</v>
      </c>
      <c r="M384" s="10">
        <v>1</v>
      </c>
    </row>
    <row r="385" spans="1:13">
      <c r="A385" s="8">
        <v>43348</v>
      </c>
      <c r="B385" s="9">
        <v>0.64861111111111114</v>
      </c>
      <c r="C385" s="10" t="str">
        <f>"FES1162645432"</f>
        <v>FES1162645432</v>
      </c>
      <c r="D385" s="10" t="s">
        <v>19</v>
      </c>
      <c r="E385" s="10" t="s">
        <v>94</v>
      </c>
      <c r="F385" s="10" t="str">
        <f>"2170650341 "</f>
        <v xml:space="preserve">2170650341 </v>
      </c>
      <c r="G385" s="10" t="str">
        <f t="shared" si="11"/>
        <v>ON1</v>
      </c>
      <c r="H385" s="10" t="s">
        <v>21</v>
      </c>
      <c r="I385" s="10" t="s">
        <v>95</v>
      </c>
      <c r="J385" s="10" t="str">
        <f>""</f>
        <v/>
      </c>
      <c r="K385" s="10" t="str">
        <f>"PFES1162645432_0001"</f>
        <v>PFES1162645432_0001</v>
      </c>
      <c r="L385" s="10">
        <v>1</v>
      </c>
      <c r="M385" s="10">
        <v>8</v>
      </c>
    </row>
    <row r="386" spans="1:13">
      <c r="A386" s="8">
        <v>43348</v>
      </c>
      <c r="B386" s="9">
        <v>0.64652777777777781</v>
      </c>
      <c r="C386" s="10" t="str">
        <f>"FES1162645444"</f>
        <v>FES1162645444</v>
      </c>
      <c r="D386" s="10" t="s">
        <v>19</v>
      </c>
      <c r="E386" s="10" t="s">
        <v>365</v>
      </c>
      <c r="F386" s="10" t="str">
        <f>"2170650172 "</f>
        <v xml:space="preserve">2170650172 </v>
      </c>
      <c r="G386" s="10" t="str">
        <f t="shared" si="11"/>
        <v>ON1</v>
      </c>
      <c r="H386" s="10" t="s">
        <v>21</v>
      </c>
      <c r="I386" s="10" t="s">
        <v>366</v>
      </c>
      <c r="J386" s="10" t="str">
        <f>""</f>
        <v/>
      </c>
      <c r="K386" s="10" t="str">
        <f>"PFES1162645444_0001"</f>
        <v>PFES1162645444_0001</v>
      </c>
      <c r="L386" s="10">
        <v>2</v>
      </c>
      <c r="M386" s="10">
        <v>24</v>
      </c>
    </row>
    <row r="387" spans="1:13">
      <c r="A387" s="8">
        <v>43348</v>
      </c>
      <c r="B387" s="9">
        <v>0.64583333333333337</v>
      </c>
      <c r="C387" s="10" t="str">
        <f>"FES1162645428"</f>
        <v>FES1162645428</v>
      </c>
      <c r="D387" s="10" t="s">
        <v>19</v>
      </c>
      <c r="E387" s="10" t="s">
        <v>176</v>
      </c>
      <c r="F387" s="10" t="str">
        <f>"2170650332 "</f>
        <v xml:space="preserve">2170650332 </v>
      </c>
      <c r="G387" s="10" t="str">
        <f t="shared" si="11"/>
        <v>ON1</v>
      </c>
      <c r="H387" s="10" t="s">
        <v>21</v>
      </c>
      <c r="I387" s="10" t="s">
        <v>177</v>
      </c>
      <c r="J387" s="10" t="str">
        <f>""</f>
        <v/>
      </c>
      <c r="K387" s="10" t="str">
        <f>"PFES1162645428_0001"</f>
        <v>PFES1162645428_0001</v>
      </c>
      <c r="L387" s="10">
        <v>1</v>
      </c>
      <c r="M387" s="10">
        <v>1</v>
      </c>
    </row>
    <row r="388" spans="1:13">
      <c r="A388" s="8">
        <v>43348</v>
      </c>
      <c r="B388" s="9">
        <v>0.64583333333333337</v>
      </c>
      <c r="C388" s="10" t="str">
        <f>"FES1162645431"</f>
        <v>FES1162645431</v>
      </c>
      <c r="D388" s="10" t="s">
        <v>19</v>
      </c>
      <c r="E388" s="10" t="s">
        <v>367</v>
      </c>
      <c r="F388" s="10" t="str">
        <f>"2170650339 "</f>
        <v xml:space="preserve">2170650339 </v>
      </c>
      <c r="G388" s="10" t="str">
        <f t="shared" si="11"/>
        <v>ON1</v>
      </c>
      <c r="H388" s="10" t="s">
        <v>21</v>
      </c>
      <c r="I388" s="10" t="s">
        <v>250</v>
      </c>
      <c r="J388" s="10" t="str">
        <f>""</f>
        <v/>
      </c>
      <c r="K388" s="10" t="str">
        <f>"PFES1162645431_0001"</f>
        <v>PFES1162645431_0001</v>
      </c>
      <c r="L388" s="10">
        <v>1</v>
      </c>
      <c r="M388" s="10">
        <v>1</v>
      </c>
    </row>
    <row r="389" spans="1:13">
      <c r="A389" s="8">
        <v>43348</v>
      </c>
      <c r="B389" s="9">
        <v>0.64513888888888882</v>
      </c>
      <c r="C389" s="10" t="str">
        <f>"FES1162645492"</f>
        <v>FES1162645492</v>
      </c>
      <c r="D389" s="10" t="s">
        <v>19</v>
      </c>
      <c r="E389" s="10" t="s">
        <v>368</v>
      </c>
      <c r="F389" s="10" t="str">
        <f>"2170650411 "</f>
        <v xml:space="preserve">2170650411 </v>
      </c>
      <c r="G389" s="10" t="str">
        <f t="shared" si="11"/>
        <v>ON1</v>
      </c>
      <c r="H389" s="10" t="s">
        <v>21</v>
      </c>
      <c r="I389" s="10" t="s">
        <v>290</v>
      </c>
      <c r="J389" s="10" t="str">
        <f>""</f>
        <v/>
      </c>
      <c r="K389" s="10" t="str">
        <f>"PFES1162645492_0001"</f>
        <v>PFES1162645492_0001</v>
      </c>
      <c r="L389" s="10">
        <v>1</v>
      </c>
      <c r="M389" s="10">
        <v>2</v>
      </c>
    </row>
    <row r="390" spans="1:13">
      <c r="A390" s="8">
        <v>43348</v>
      </c>
      <c r="B390" s="9">
        <v>0.64513888888888882</v>
      </c>
      <c r="C390" s="10" t="str">
        <f>"FES1162645403"</f>
        <v>FES1162645403</v>
      </c>
      <c r="D390" s="10" t="s">
        <v>19</v>
      </c>
      <c r="E390" s="10" t="s">
        <v>369</v>
      </c>
      <c r="F390" s="10" t="str">
        <f>"2170650302 "</f>
        <v xml:space="preserve">2170650302 </v>
      </c>
      <c r="G390" s="10" t="str">
        <f t="shared" si="11"/>
        <v>ON1</v>
      </c>
      <c r="H390" s="10" t="s">
        <v>21</v>
      </c>
      <c r="I390" s="10" t="s">
        <v>370</v>
      </c>
      <c r="J390" s="10" t="str">
        <f>""</f>
        <v/>
      </c>
      <c r="K390" s="10" t="str">
        <f>"PFES1162645403_0001"</f>
        <v>PFES1162645403_0001</v>
      </c>
      <c r="L390" s="10">
        <v>1</v>
      </c>
      <c r="M390" s="10">
        <v>1</v>
      </c>
    </row>
    <row r="391" spans="1:13">
      <c r="A391" s="8">
        <v>43348</v>
      </c>
      <c r="B391" s="9">
        <v>0.64513888888888882</v>
      </c>
      <c r="C391" s="10" t="str">
        <f>"FES1162645466"</f>
        <v>FES1162645466</v>
      </c>
      <c r="D391" s="10" t="s">
        <v>19</v>
      </c>
      <c r="E391" s="10" t="s">
        <v>371</v>
      </c>
      <c r="F391" s="10" t="str">
        <f>"2170650374 "</f>
        <v xml:space="preserve">2170650374 </v>
      </c>
      <c r="G391" s="10" t="str">
        <f t="shared" si="11"/>
        <v>ON1</v>
      </c>
      <c r="H391" s="10" t="s">
        <v>21</v>
      </c>
      <c r="I391" s="10" t="s">
        <v>105</v>
      </c>
      <c r="J391" s="10" t="str">
        <f>""</f>
        <v/>
      </c>
      <c r="K391" s="10" t="str">
        <f>"PFES1162645466_0001"</f>
        <v>PFES1162645466_0001</v>
      </c>
      <c r="L391" s="10">
        <v>1</v>
      </c>
      <c r="M391" s="10">
        <v>1</v>
      </c>
    </row>
    <row r="392" spans="1:13">
      <c r="A392" s="8">
        <v>43348</v>
      </c>
      <c r="B392" s="9">
        <v>0.64513888888888882</v>
      </c>
      <c r="C392" s="10" t="str">
        <f>"FES1162645489"</f>
        <v>FES1162645489</v>
      </c>
      <c r="D392" s="10" t="s">
        <v>19</v>
      </c>
      <c r="E392" s="10" t="s">
        <v>123</v>
      </c>
      <c r="F392" s="10" t="str">
        <f>"217065046 "</f>
        <v xml:space="preserve">217065046 </v>
      </c>
      <c r="G392" s="10" t="str">
        <f t="shared" si="11"/>
        <v>ON1</v>
      </c>
      <c r="H392" s="10" t="s">
        <v>21</v>
      </c>
      <c r="I392" s="10" t="s">
        <v>124</v>
      </c>
      <c r="J392" s="10" t="str">
        <f>""</f>
        <v/>
      </c>
      <c r="K392" s="10" t="str">
        <f>"PFES1162645489_0001"</f>
        <v>PFES1162645489_0001</v>
      </c>
      <c r="L392" s="10">
        <v>1</v>
      </c>
      <c r="M392" s="10">
        <v>1</v>
      </c>
    </row>
    <row r="393" spans="1:13">
      <c r="A393" s="8">
        <v>43348</v>
      </c>
      <c r="B393" s="9">
        <v>0.64444444444444449</v>
      </c>
      <c r="C393" s="10" t="str">
        <f>"FES1162645493"</f>
        <v>FES1162645493</v>
      </c>
      <c r="D393" s="10" t="s">
        <v>19</v>
      </c>
      <c r="E393" s="10" t="s">
        <v>69</v>
      </c>
      <c r="F393" s="10" t="str">
        <f>"2170650412 "</f>
        <v xml:space="preserve">2170650412 </v>
      </c>
      <c r="G393" s="10" t="str">
        <f t="shared" si="11"/>
        <v>ON1</v>
      </c>
      <c r="H393" s="10" t="s">
        <v>21</v>
      </c>
      <c r="I393" s="10" t="s">
        <v>68</v>
      </c>
      <c r="J393" s="10" t="str">
        <f>""</f>
        <v/>
      </c>
      <c r="K393" s="10" t="str">
        <f>"PFES1162645493_0001"</f>
        <v>PFES1162645493_0001</v>
      </c>
      <c r="L393" s="10">
        <v>1</v>
      </c>
      <c r="M393" s="10">
        <v>1</v>
      </c>
    </row>
    <row r="394" spans="1:13">
      <c r="A394" s="8">
        <v>43348</v>
      </c>
      <c r="B394" s="9">
        <v>0.64444444444444449</v>
      </c>
      <c r="C394" s="10" t="str">
        <f>"FES1162645478"</f>
        <v>FES1162645478</v>
      </c>
      <c r="D394" s="10" t="s">
        <v>19</v>
      </c>
      <c r="E394" s="10" t="s">
        <v>357</v>
      </c>
      <c r="F394" s="10" t="str">
        <f>"217065093 "</f>
        <v xml:space="preserve">217065093 </v>
      </c>
      <c r="G394" s="10" t="str">
        <f t="shared" si="11"/>
        <v>ON1</v>
      </c>
      <c r="H394" s="10" t="s">
        <v>21</v>
      </c>
      <c r="I394" s="10" t="s">
        <v>283</v>
      </c>
      <c r="J394" s="10" t="str">
        <f>""</f>
        <v/>
      </c>
      <c r="K394" s="10" t="str">
        <f>"PFES1162645478_0001"</f>
        <v>PFES1162645478_0001</v>
      </c>
      <c r="L394" s="10">
        <v>1</v>
      </c>
      <c r="M394" s="10">
        <v>1</v>
      </c>
    </row>
    <row r="395" spans="1:13">
      <c r="A395" s="8">
        <v>43348</v>
      </c>
      <c r="B395" s="9">
        <v>0.64444444444444449</v>
      </c>
      <c r="C395" s="10" t="str">
        <f>"FES1162645490"</f>
        <v>FES1162645490</v>
      </c>
      <c r="D395" s="10" t="s">
        <v>19</v>
      </c>
      <c r="E395" s="10" t="s">
        <v>123</v>
      </c>
      <c r="F395" s="10" t="str">
        <f>"2170650408 "</f>
        <v xml:space="preserve">2170650408 </v>
      </c>
      <c r="G395" s="10" t="str">
        <f t="shared" si="11"/>
        <v>ON1</v>
      </c>
      <c r="H395" s="10" t="s">
        <v>21</v>
      </c>
      <c r="I395" s="10" t="s">
        <v>124</v>
      </c>
      <c r="J395" s="10" t="str">
        <f>""</f>
        <v/>
      </c>
      <c r="K395" s="10" t="str">
        <f>"PFES1162645490_0001"</f>
        <v>PFES1162645490_0001</v>
      </c>
      <c r="L395" s="10">
        <v>1</v>
      </c>
      <c r="M395" s="10">
        <v>1</v>
      </c>
    </row>
    <row r="396" spans="1:13">
      <c r="A396" s="8">
        <v>43348</v>
      </c>
      <c r="B396" s="9">
        <v>0.64374999999999993</v>
      </c>
      <c r="C396" s="10" t="str">
        <f>"FES1162645454"</f>
        <v>FES1162645454</v>
      </c>
      <c r="D396" s="10" t="s">
        <v>19</v>
      </c>
      <c r="E396" s="10" t="s">
        <v>69</v>
      </c>
      <c r="F396" s="10" t="str">
        <f>"2170650365 "</f>
        <v xml:space="preserve">2170650365 </v>
      </c>
      <c r="G396" s="10" t="str">
        <f t="shared" si="11"/>
        <v>ON1</v>
      </c>
      <c r="H396" s="10" t="s">
        <v>21</v>
      </c>
      <c r="I396" s="10" t="s">
        <v>68</v>
      </c>
      <c r="J396" s="10" t="str">
        <f>""</f>
        <v/>
      </c>
      <c r="K396" s="10" t="str">
        <f>"PFES1162645454_0001"</f>
        <v>PFES1162645454_0001</v>
      </c>
      <c r="L396" s="10">
        <v>1</v>
      </c>
      <c r="M396" s="10">
        <v>16</v>
      </c>
    </row>
    <row r="397" spans="1:13">
      <c r="A397" s="8">
        <v>43348</v>
      </c>
      <c r="B397" s="9">
        <v>0.64374999999999993</v>
      </c>
      <c r="C397" s="10" t="str">
        <f>"FES1162645483"</f>
        <v>FES1162645483</v>
      </c>
      <c r="D397" s="10" t="s">
        <v>19</v>
      </c>
      <c r="E397" s="10" t="s">
        <v>295</v>
      </c>
      <c r="F397" s="10" t="str">
        <f>"2170649392 "</f>
        <v xml:space="preserve">2170649392 </v>
      </c>
      <c r="G397" s="10" t="str">
        <f t="shared" si="11"/>
        <v>ON1</v>
      </c>
      <c r="H397" s="10" t="s">
        <v>21</v>
      </c>
      <c r="I397" s="10" t="s">
        <v>42</v>
      </c>
      <c r="J397" s="10" t="str">
        <f>""</f>
        <v/>
      </c>
      <c r="K397" s="10" t="str">
        <f>"PFES1162645483_0001"</f>
        <v>PFES1162645483_0001</v>
      </c>
      <c r="L397" s="10">
        <v>1</v>
      </c>
      <c r="M397" s="10">
        <v>1</v>
      </c>
    </row>
    <row r="398" spans="1:13">
      <c r="A398" s="8">
        <v>43348</v>
      </c>
      <c r="B398" s="9">
        <v>0.64027777777777783</v>
      </c>
      <c r="C398" s="10" t="str">
        <f>"FES1162645488"</f>
        <v>FES1162645488</v>
      </c>
      <c r="D398" s="10" t="s">
        <v>19</v>
      </c>
      <c r="E398" s="10" t="s">
        <v>125</v>
      </c>
      <c r="F398" s="10" t="str">
        <f>"2170650404 "</f>
        <v xml:space="preserve">2170650404 </v>
      </c>
      <c r="G398" s="10" t="str">
        <f t="shared" si="11"/>
        <v>ON1</v>
      </c>
      <c r="H398" s="10" t="s">
        <v>21</v>
      </c>
      <c r="I398" s="10" t="s">
        <v>126</v>
      </c>
      <c r="J398" s="10" t="str">
        <f>""</f>
        <v/>
      </c>
      <c r="K398" s="10" t="str">
        <f>"PFES1162645488_0001"</f>
        <v>PFES1162645488_0001</v>
      </c>
      <c r="L398" s="10">
        <v>1</v>
      </c>
      <c r="M398" s="10">
        <v>1</v>
      </c>
    </row>
    <row r="399" spans="1:13">
      <c r="A399" s="8">
        <v>43348</v>
      </c>
      <c r="B399" s="9">
        <v>0.63958333333333328</v>
      </c>
      <c r="C399" s="10" t="str">
        <f>"FES1162645442"</f>
        <v>FES1162645442</v>
      </c>
      <c r="D399" s="10" t="s">
        <v>19</v>
      </c>
      <c r="E399" s="10" t="s">
        <v>372</v>
      </c>
      <c r="F399" s="10" t="str">
        <f>"2170650353 "</f>
        <v xml:space="preserve">2170650353 </v>
      </c>
      <c r="G399" s="10" t="str">
        <f t="shared" si="11"/>
        <v>ON1</v>
      </c>
      <c r="H399" s="10" t="s">
        <v>21</v>
      </c>
      <c r="I399" s="10" t="s">
        <v>24</v>
      </c>
      <c r="J399" s="10" t="str">
        <f>""</f>
        <v/>
      </c>
      <c r="K399" s="10" t="str">
        <f>"PFES1162645442_0001"</f>
        <v>PFES1162645442_0001</v>
      </c>
      <c r="L399" s="10">
        <v>1</v>
      </c>
      <c r="M399" s="10">
        <v>1</v>
      </c>
    </row>
    <row r="400" spans="1:13">
      <c r="A400" s="8">
        <v>43348</v>
      </c>
      <c r="B400" s="9">
        <v>0.63958333333333328</v>
      </c>
      <c r="C400" s="10" t="str">
        <f>"FES1162645411"</f>
        <v>FES1162645411</v>
      </c>
      <c r="D400" s="10" t="s">
        <v>19</v>
      </c>
      <c r="E400" s="10" t="s">
        <v>373</v>
      </c>
      <c r="F400" s="10" t="str">
        <f>"2170650319 "</f>
        <v xml:space="preserve">2170650319 </v>
      </c>
      <c r="G400" s="10" t="str">
        <f t="shared" si="11"/>
        <v>ON1</v>
      </c>
      <c r="H400" s="10" t="s">
        <v>21</v>
      </c>
      <c r="I400" s="10" t="s">
        <v>374</v>
      </c>
      <c r="J400" s="10" t="str">
        <f>""</f>
        <v/>
      </c>
      <c r="K400" s="10" t="str">
        <f>"PFES1162645411_0001"</f>
        <v>PFES1162645411_0001</v>
      </c>
      <c r="L400" s="10">
        <v>1</v>
      </c>
      <c r="M400" s="10">
        <v>1</v>
      </c>
    </row>
    <row r="401" spans="1:13">
      <c r="A401" s="8">
        <v>43348</v>
      </c>
      <c r="B401" s="9">
        <v>0.63888888888888895</v>
      </c>
      <c r="C401" s="10" t="str">
        <f>"FES1162645487"</f>
        <v>FES1162645487</v>
      </c>
      <c r="D401" s="10" t="s">
        <v>19</v>
      </c>
      <c r="E401" s="10" t="s">
        <v>375</v>
      </c>
      <c r="F401" s="10" t="str">
        <f>"2170650401 "</f>
        <v xml:space="preserve">2170650401 </v>
      </c>
      <c r="G401" s="10" t="str">
        <f t="shared" si="11"/>
        <v>ON1</v>
      </c>
      <c r="H401" s="10" t="s">
        <v>21</v>
      </c>
      <c r="I401" s="10" t="s">
        <v>44</v>
      </c>
      <c r="J401" s="10" t="str">
        <f>""</f>
        <v/>
      </c>
      <c r="K401" s="10" t="str">
        <f>"PFES1162645487_0001"</f>
        <v>PFES1162645487_0001</v>
      </c>
      <c r="L401" s="10">
        <v>1</v>
      </c>
      <c r="M401" s="10">
        <v>1</v>
      </c>
    </row>
    <row r="402" spans="1:13">
      <c r="A402" s="8">
        <v>43348</v>
      </c>
      <c r="B402" s="9">
        <v>0.63888888888888895</v>
      </c>
      <c r="C402" s="10" t="str">
        <f>"FES1162645463"</f>
        <v>FES1162645463</v>
      </c>
      <c r="D402" s="10" t="s">
        <v>19</v>
      </c>
      <c r="E402" s="10" t="s">
        <v>376</v>
      </c>
      <c r="F402" s="10" t="str">
        <f>"2170647838 "</f>
        <v xml:space="preserve">2170647838 </v>
      </c>
      <c r="G402" s="10" t="str">
        <f t="shared" si="11"/>
        <v>ON1</v>
      </c>
      <c r="H402" s="10" t="s">
        <v>21</v>
      </c>
      <c r="I402" s="10" t="s">
        <v>225</v>
      </c>
      <c r="J402" s="10" t="str">
        <f>""</f>
        <v/>
      </c>
      <c r="K402" s="10" t="str">
        <f>"PFES1162645463_0001"</f>
        <v>PFES1162645463_0001</v>
      </c>
      <c r="L402" s="10">
        <v>1</v>
      </c>
      <c r="M402" s="10">
        <v>1</v>
      </c>
    </row>
    <row r="403" spans="1:13">
      <c r="A403" s="8">
        <v>43348</v>
      </c>
      <c r="B403" s="9">
        <v>0.6381944444444444</v>
      </c>
      <c r="C403" s="10" t="str">
        <f>"FES1162645430"</f>
        <v>FES1162645430</v>
      </c>
      <c r="D403" s="10" t="s">
        <v>19</v>
      </c>
      <c r="E403" s="10" t="s">
        <v>367</v>
      </c>
      <c r="F403" s="10" t="str">
        <f>"2170650338 "</f>
        <v xml:space="preserve">2170650338 </v>
      </c>
      <c r="G403" s="10" t="str">
        <f t="shared" si="11"/>
        <v>ON1</v>
      </c>
      <c r="H403" s="10" t="s">
        <v>21</v>
      </c>
      <c r="I403" s="10" t="s">
        <v>250</v>
      </c>
      <c r="J403" s="10" t="str">
        <f>""</f>
        <v/>
      </c>
      <c r="K403" s="10" t="str">
        <f>"PFES1162645430_0001"</f>
        <v>PFES1162645430_0001</v>
      </c>
      <c r="L403" s="10">
        <v>1</v>
      </c>
      <c r="M403" s="10">
        <v>1</v>
      </c>
    </row>
    <row r="404" spans="1:13">
      <c r="A404" s="8">
        <v>43348</v>
      </c>
      <c r="B404" s="9">
        <v>0.6381944444444444</v>
      </c>
      <c r="C404" s="10" t="str">
        <f>"FES1162645480"</f>
        <v>FES1162645480</v>
      </c>
      <c r="D404" s="10" t="s">
        <v>19</v>
      </c>
      <c r="E404" s="10" t="s">
        <v>377</v>
      </c>
      <c r="F404" s="10" t="str">
        <f>"2170650392 "</f>
        <v xml:space="preserve">2170650392 </v>
      </c>
      <c r="G404" s="10" t="str">
        <f t="shared" si="11"/>
        <v>ON1</v>
      </c>
      <c r="H404" s="10" t="s">
        <v>21</v>
      </c>
      <c r="I404" s="10" t="s">
        <v>150</v>
      </c>
      <c r="J404" s="10" t="str">
        <f>""</f>
        <v/>
      </c>
      <c r="K404" s="10" t="str">
        <f>"PFES1162645480_0001"</f>
        <v>PFES1162645480_0001</v>
      </c>
      <c r="L404" s="10">
        <v>1</v>
      </c>
      <c r="M404" s="10">
        <v>1</v>
      </c>
    </row>
    <row r="405" spans="1:13">
      <c r="A405" s="8">
        <v>43348</v>
      </c>
      <c r="B405" s="9">
        <v>0.6381944444444444</v>
      </c>
      <c r="C405" s="10" t="str">
        <f>"FES1162645482"</f>
        <v>FES1162645482</v>
      </c>
      <c r="D405" s="10" t="s">
        <v>19</v>
      </c>
      <c r="E405" s="10" t="s">
        <v>125</v>
      </c>
      <c r="F405" s="10" t="str">
        <f>"2170650397 "</f>
        <v xml:space="preserve">2170650397 </v>
      </c>
      <c r="G405" s="10" t="str">
        <f t="shared" si="11"/>
        <v>ON1</v>
      </c>
      <c r="H405" s="10" t="s">
        <v>21</v>
      </c>
      <c r="I405" s="10" t="s">
        <v>126</v>
      </c>
      <c r="J405" s="10" t="str">
        <f>""</f>
        <v/>
      </c>
      <c r="K405" s="10" t="str">
        <f>"PFES1162645482_0001"</f>
        <v>PFES1162645482_0001</v>
      </c>
      <c r="L405" s="10">
        <v>1</v>
      </c>
      <c r="M405" s="10">
        <v>1</v>
      </c>
    </row>
    <row r="406" spans="1:13">
      <c r="A406" s="8">
        <v>43348</v>
      </c>
      <c r="B406" s="9">
        <v>0.61249999999999993</v>
      </c>
      <c r="C406" s="10" t="str">
        <f>"FES1162645473"</f>
        <v>FES1162645473</v>
      </c>
      <c r="D406" s="10" t="s">
        <v>19</v>
      </c>
      <c r="E406" s="10" t="s">
        <v>378</v>
      </c>
      <c r="F406" s="10" t="str">
        <f>"2170650386 "</f>
        <v xml:space="preserve">2170650386 </v>
      </c>
      <c r="G406" s="10" t="str">
        <f t="shared" si="11"/>
        <v>ON1</v>
      </c>
      <c r="H406" s="10" t="s">
        <v>21</v>
      </c>
      <c r="I406" s="10" t="s">
        <v>379</v>
      </c>
      <c r="J406" s="10" t="str">
        <f>""</f>
        <v/>
      </c>
      <c r="K406" s="10" t="str">
        <f>"PFES1162645473_0001"</f>
        <v>PFES1162645473_0001</v>
      </c>
      <c r="L406" s="10">
        <v>1</v>
      </c>
      <c r="M406" s="10">
        <v>1</v>
      </c>
    </row>
    <row r="407" spans="1:13">
      <c r="A407" s="8">
        <v>43348</v>
      </c>
      <c r="B407" s="9">
        <v>0.6118055555555556</v>
      </c>
      <c r="C407" s="10" t="str">
        <f>"FES1162645472"</f>
        <v>FES1162645472</v>
      </c>
      <c r="D407" s="10" t="s">
        <v>19</v>
      </c>
      <c r="E407" s="10" t="s">
        <v>220</v>
      </c>
      <c r="F407" s="10" t="str">
        <f>"2170650346 "</f>
        <v xml:space="preserve">2170650346 </v>
      </c>
      <c r="G407" s="10" t="str">
        <f t="shared" si="11"/>
        <v>ON1</v>
      </c>
      <c r="H407" s="10" t="s">
        <v>21</v>
      </c>
      <c r="I407" s="10" t="s">
        <v>126</v>
      </c>
      <c r="J407" s="10" t="str">
        <f>""</f>
        <v/>
      </c>
      <c r="K407" s="10" t="str">
        <f>"PFES1162645472_0001"</f>
        <v>PFES1162645472_0001</v>
      </c>
      <c r="L407" s="10">
        <v>1</v>
      </c>
      <c r="M407" s="10">
        <v>1</v>
      </c>
    </row>
    <row r="408" spans="1:13">
      <c r="A408" s="8">
        <v>43348</v>
      </c>
      <c r="B408" s="9">
        <v>0.60486111111111118</v>
      </c>
      <c r="C408" s="10" t="str">
        <f>"FES1162645419"</f>
        <v>FES1162645419</v>
      </c>
      <c r="D408" s="10" t="s">
        <v>19</v>
      </c>
      <c r="E408" s="10" t="s">
        <v>380</v>
      </c>
      <c r="F408" s="10" t="str">
        <f>"2170650210 "</f>
        <v xml:space="preserve">2170650210 </v>
      </c>
      <c r="G408" s="10" t="str">
        <f t="shared" si="11"/>
        <v>ON1</v>
      </c>
      <c r="H408" s="10" t="s">
        <v>21</v>
      </c>
      <c r="I408" s="10" t="s">
        <v>381</v>
      </c>
      <c r="J408" s="10" t="str">
        <f>""</f>
        <v/>
      </c>
      <c r="K408" s="10" t="str">
        <f>"PFES1162645419_0001"</f>
        <v>PFES1162645419_0001</v>
      </c>
      <c r="L408" s="10">
        <v>1</v>
      </c>
      <c r="M408" s="10">
        <v>2</v>
      </c>
    </row>
    <row r="409" spans="1:13">
      <c r="A409" s="8">
        <v>43348</v>
      </c>
      <c r="B409" s="9">
        <v>0.6020833333333333</v>
      </c>
      <c r="C409" s="10" t="str">
        <f>"FES1162645467"</f>
        <v>FES1162645467</v>
      </c>
      <c r="D409" s="10" t="s">
        <v>19</v>
      </c>
      <c r="E409" s="10" t="s">
        <v>382</v>
      </c>
      <c r="F409" s="10" t="str">
        <f>"21706540377 "</f>
        <v xml:space="preserve">21706540377 </v>
      </c>
      <c r="G409" s="10" t="str">
        <f t="shared" si="11"/>
        <v>ON1</v>
      </c>
      <c r="H409" s="10" t="s">
        <v>21</v>
      </c>
      <c r="I409" s="10" t="s">
        <v>383</v>
      </c>
      <c r="J409" s="10" t="str">
        <f>""</f>
        <v/>
      </c>
      <c r="K409" s="10" t="str">
        <f>"PFES1162645467_0001"</f>
        <v>PFES1162645467_0001</v>
      </c>
      <c r="L409" s="10">
        <v>1</v>
      </c>
      <c r="M409" s="10">
        <v>1</v>
      </c>
    </row>
    <row r="410" spans="1:13">
      <c r="A410" s="8">
        <v>43348</v>
      </c>
      <c r="B410" s="9">
        <v>0.60138888888888886</v>
      </c>
      <c r="C410" s="10" t="str">
        <f>"FES1162645475"</f>
        <v>FES1162645475</v>
      </c>
      <c r="D410" s="10" t="s">
        <v>19</v>
      </c>
      <c r="E410" s="10" t="s">
        <v>384</v>
      </c>
      <c r="F410" s="10" t="str">
        <f>"2170650389 "</f>
        <v xml:space="preserve">2170650389 </v>
      </c>
      <c r="G410" s="10" t="str">
        <f t="shared" si="11"/>
        <v>ON1</v>
      </c>
      <c r="H410" s="10" t="s">
        <v>21</v>
      </c>
      <c r="I410" s="10" t="s">
        <v>385</v>
      </c>
      <c r="J410" s="10" t="str">
        <f>""</f>
        <v/>
      </c>
      <c r="K410" s="10" t="str">
        <f>"PFES1162645475_0001"</f>
        <v>PFES1162645475_0001</v>
      </c>
      <c r="L410" s="10">
        <v>1</v>
      </c>
      <c r="M410" s="10">
        <v>1</v>
      </c>
    </row>
    <row r="411" spans="1:13">
      <c r="A411" s="8">
        <v>43348</v>
      </c>
      <c r="B411" s="9">
        <v>0.60138888888888886</v>
      </c>
      <c r="C411" s="10" t="str">
        <f>"FES1162645465"</f>
        <v>FES1162645465</v>
      </c>
      <c r="D411" s="10" t="s">
        <v>19</v>
      </c>
      <c r="E411" s="10" t="s">
        <v>98</v>
      </c>
      <c r="F411" s="10" t="str">
        <f>"2170650361 "</f>
        <v xml:space="preserve">2170650361 </v>
      </c>
      <c r="G411" s="10" t="str">
        <f t="shared" si="11"/>
        <v>ON1</v>
      </c>
      <c r="H411" s="10" t="s">
        <v>21</v>
      </c>
      <c r="I411" s="10" t="s">
        <v>74</v>
      </c>
      <c r="J411" s="10" t="str">
        <f>""</f>
        <v/>
      </c>
      <c r="K411" s="10" t="str">
        <f>"PFES1162645465_0001"</f>
        <v>PFES1162645465_0001</v>
      </c>
      <c r="L411" s="10">
        <v>1</v>
      </c>
      <c r="M411" s="10">
        <v>1</v>
      </c>
    </row>
    <row r="412" spans="1:13">
      <c r="A412" s="8">
        <v>43348</v>
      </c>
      <c r="B412" s="9">
        <v>0.60138888888888886</v>
      </c>
      <c r="C412" s="10" t="str">
        <f>"FES1162645464"</f>
        <v>FES1162645464</v>
      </c>
      <c r="D412" s="10" t="s">
        <v>19</v>
      </c>
      <c r="E412" s="10" t="s">
        <v>220</v>
      </c>
      <c r="F412" s="10" t="str">
        <f>"2170650357 "</f>
        <v xml:space="preserve">2170650357 </v>
      </c>
      <c r="G412" s="10" t="str">
        <f t="shared" si="11"/>
        <v>ON1</v>
      </c>
      <c r="H412" s="10" t="s">
        <v>21</v>
      </c>
      <c r="I412" s="10" t="s">
        <v>126</v>
      </c>
      <c r="J412" s="10" t="str">
        <f>""</f>
        <v/>
      </c>
      <c r="K412" s="10" t="str">
        <f>"PFES1162645464_0001"</f>
        <v>PFES1162645464_0001</v>
      </c>
      <c r="L412" s="10">
        <v>1</v>
      </c>
      <c r="M412" s="10">
        <v>1</v>
      </c>
    </row>
    <row r="413" spans="1:13">
      <c r="A413" s="8">
        <v>43348</v>
      </c>
      <c r="B413" s="9">
        <v>0.59444444444444444</v>
      </c>
      <c r="C413" s="10" t="str">
        <f>"FES1162645458"</f>
        <v>FES1162645458</v>
      </c>
      <c r="D413" s="10" t="s">
        <v>19</v>
      </c>
      <c r="E413" s="10" t="s">
        <v>27</v>
      </c>
      <c r="F413" s="10" t="str">
        <f>"2170640369 "</f>
        <v xml:space="preserve">2170640369 </v>
      </c>
      <c r="G413" s="10" t="str">
        <f t="shared" si="11"/>
        <v>ON1</v>
      </c>
      <c r="H413" s="10" t="s">
        <v>21</v>
      </c>
      <c r="I413" s="10" t="s">
        <v>28</v>
      </c>
      <c r="J413" s="10" t="str">
        <f>""</f>
        <v/>
      </c>
      <c r="K413" s="10" t="str">
        <f>"PFES1162645458_0001"</f>
        <v>PFES1162645458_0001</v>
      </c>
      <c r="L413" s="10">
        <v>1</v>
      </c>
      <c r="M413" s="10">
        <v>1</v>
      </c>
    </row>
    <row r="414" spans="1:13">
      <c r="A414" s="8">
        <v>43348</v>
      </c>
      <c r="B414" s="9">
        <v>0.59375</v>
      </c>
      <c r="C414" s="10" t="str">
        <f>"FES1162645460"</f>
        <v>FES1162645460</v>
      </c>
      <c r="D414" s="10" t="s">
        <v>19</v>
      </c>
      <c r="E414" s="10" t="s">
        <v>137</v>
      </c>
      <c r="F414" s="10" t="str">
        <f>"2170650373 "</f>
        <v xml:space="preserve">2170650373 </v>
      </c>
      <c r="G414" s="10" t="str">
        <f t="shared" si="11"/>
        <v>ON1</v>
      </c>
      <c r="H414" s="10" t="s">
        <v>21</v>
      </c>
      <c r="I414" s="10" t="s">
        <v>138</v>
      </c>
      <c r="J414" s="10" t="str">
        <f>""</f>
        <v/>
      </c>
      <c r="K414" s="10" t="str">
        <f>"PFES1162645460_0001"</f>
        <v>PFES1162645460_0001</v>
      </c>
      <c r="L414" s="10">
        <v>1</v>
      </c>
      <c r="M414" s="10">
        <v>1</v>
      </c>
    </row>
    <row r="415" spans="1:13">
      <c r="A415" s="8">
        <v>43348</v>
      </c>
      <c r="B415" s="9">
        <v>0.59236111111111112</v>
      </c>
      <c r="C415" s="10" t="str">
        <f>"FES1162645446"</f>
        <v>FES1162645446</v>
      </c>
      <c r="D415" s="10" t="s">
        <v>19</v>
      </c>
      <c r="E415" s="10" t="s">
        <v>386</v>
      </c>
      <c r="F415" s="10" t="str">
        <f>"2170650352 "</f>
        <v xml:space="preserve">2170650352 </v>
      </c>
      <c r="G415" s="10" t="str">
        <f t="shared" si="11"/>
        <v>ON1</v>
      </c>
      <c r="H415" s="10" t="s">
        <v>21</v>
      </c>
      <c r="I415" s="10" t="s">
        <v>387</v>
      </c>
      <c r="J415" s="10" t="str">
        <f>""</f>
        <v/>
      </c>
      <c r="K415" s="10" t="str">
        <f>"PFES1162645446_0001"</f>
        <v>PFES1162645446_0001</v>
      </c>
      <c r="L415" s="10">
        <v>1</v>
      </c>
      <c r="M415" s="10">
        <v>3</v>
      </c>
    </row>
    <row r="416" spans="1:13">
      <c r="A416" s="8">
        <v>43348</v>
      </c>
      <c r="B416" s="9">
        <v>0.58958333333333335</v>
      </c>
      <c r="C416" s="10" t="str">
        <f>"FES1162645452"</f>
        <v>FES1162645452</v>
      </c>
      <c r="D416" s="10" t="s">
        <v>19</v>
      </c>
      <c r="E416" s="10" t="s">
        <v>388</v>
      </c>
      <c r="F416" s="10" t="str">
        <f>"2170650362 "</f>
        <v xml:space="preserve">2170650362 </v>
      </c>
      <c r="G416" s="10" t="str">
        <f t="shared" si="11"/>
        <v>ON1</v>
      </c>
      <c r="H416" s="10" t="s">
        <v>21</v>
      </c>
      <c r="I416" s="10" t="s">
        <v>74</v>
      </c>
      <c r="J416" s="10" t="str">
        <f>""</f>
        <v/>
      </c>
      <c r="K416" s="10" t="str">
        <f>"PFES1162645452_0001"</f>
        <v>PFES1162645452_0001</v>
      </c>
      <c r="L416" s="10">
        <v>1</v>
      </c>
      <c r="M416" s="10">
        <v>2</v>
      </c>
    </row>
    <row r="417" spans="1:13">
      <c r="A417" s="8">
        <v>43348</v>
      </c>
      <c r="B417" s="9">
        <v>0.58750000000000002</v>
      </c>
      <c r="C417" s="10" t="str">
        <f>"FES1162645398"</f>
        <v>FES1162645398</v>
      </c>
      <c r="D417" s="10" t="s">
        <v>19</v>
      </c>
      <c r="E417" s="10" t="s">
        <v>141</v>
      </c>
      <c r="F417" s="10" t="str">
        <f>"2170650290 "</f>
        <v xml:space="preserve">2170650290 </v>
      </c>
      <c r="G417" s="10" t="str">
        <f t="shared" si="11"/>
        <v>ON1</v>
      </c>
      <c r="H417" s="10" t="s">
        <v>21</v>
      </c>
      <c r="I417" s="10" t="s">
        <v>91</v>
      </c>
      <c r="J417" s="10" t="str">
        <f>""</f>
        <v/>
      </c>
      <c r="K417" s="10" t="str">
        <f>"PFES1162645398_0001"</f>
        <v>PFES1162645398_0001</v>
      </c>
      <c r="L417" s="10">
        <v>1</v>
      </c>
      <c r="M417" s="10">
        <v>3</v>
      </c>
    </row>
    <row r="418" spans="1:13">
      <c r="A418" s="8">
        <v>43348</v>
      </c>
      <c r="B418" s="9">
        <v>0.58611111111111114</v>
      </c>
      <c r="C418" s="10" t="str">
        <f>"FES1162645437"</f>
        <v>FES1162645437</v>
      </c>
      <c r="D418" s="10" t="s">
        <v>19</v>
      </c>
      <c r="E418" s="10" t="s">
        <v>389</v>
      </c>
      <c r="F418" s="10" t="str">
        <f>"2170650345 "</f>
        <v xml:space="preserve">2170650345 </v>
      </c>
      <c r="G418" s="10" t="str">
        <f t="shared" si="11"/>
        <v>ON1</v>
      </c>
      <c r="H418" s="10" t="s">
        <v>21</v>
      </c>
      <c r="I418" s="10" t="s">
        <v>150</v>
      </c>
      <c r="J418" s="10" t="str">
        <f>""</f>
        <v/>
      </c>
      <c r="K418" s="10" t="str">
        <f>"PFES1162645437_0001"</f>
        <v>PFES1162645437_0001</v>
      </c>
      <c r="L418" s="10">
        <v>1</v>
      </c>
      <c r="M418" s="10">
        <v>3</v>
      </c>
    </row>
    <row r="419" spans="1:13">
      <c r="A419" s="8">
        <v>43348</v>
      </c>
      <c r="B419" s="9">
        <v>0.58263888888888882</v>
      </c>
      <c r="C419" s="10" t="str">
        <f>"FES1162645448"</f>
        <v>FES1162645448</v>
      </c>
      <c r="D419" s="10" t="s">
        <v>19</v>
      </c>
      <c r="E419" s="10" t="s">
        <v>90</v>
      </c>
      <c r="F419" s="10" t="str">
        <f>"21706530355 "</f>
        <v xml:space="preserve">21706530355 </v>
      </c>
      <c r="G419" s="10" t="str">
        <f t="shared" si="11"/>
        <v>ON1</v>
      </c>
      <c r="H419" s="10" t="s">
        <v>21</v>
      </c>
      <c r="I419" s="10" t="s">
        <v>91</v>
      </c>
      <c r="J419" s="10" t="str">
        <f>""</f>
        <v/>
      </c>
      <c r="K419" s="10" t="str">
        <f>"PFES1162645448_0001"</f>
        <v>PFES1162645448_0001</v>
      </c>
      <c r="L419" s="10">
        <v>1</v>
      </c>
      <c r="M419" s="10">
        <v>1</v>
      </c>
    </row>
    <row r="420" spans="1:13">
      <c r="A420" s="8">
        <v>43348</v>
      </c>
      <c r="B420" s="9">
        <v>0.58263888888888882</v>
      </c>
      <c r="C420" s="10" t="str">
        <f>"FES1162645451"</f>
        <v>FES1162645451</v>
      </c>
      <c r="D420" s="10" t="s">
        <v>19</v>
      </c>
      <c r="E420" s="10" t="s">
        <v>141</v>
      </c>
      <c r="F420" s="10" t="str">
        <f>"2170650339 "</f>
        <v xml:space="preserve">2170650339 </v>
      </c>
      <c r="G420" s="10" t="str">
        <f t="shared" si="11"/>
        <v>ON1</v>
      </c>
      <c r="H420" s="10" t="s">
        <v>21</v>
      </c>
      <c r="I420" s="10" t="s">
        <v>91</v>
      </c>
      <c r="J420" s="10" t="str">
        <f>""</f>
        <v/>
      </c>
      <c r="K420" s="10" t="str">
        <f>"PFES1162645451_0001"</f>
        <v>PFES1162645451_0001</v>
      </c>
      <c r="L420" s="10">
        <v>1</v>
      </c>
      <c r="M420" s="10">
        <v>1</v>
      </c>
    </row>
    <row r="421" spans="1:13">
      <c r="A421" s="8">
        <v>43348</v>
      </c>
      <c r="B421" s="9">
        <v>0.58194444444444449</v>
      </c>
      <c r="C421" s="10" t="str">
        <f>"FES1162645441"</f>
        <v>FES1162645441</v>
      </c>
      <c r="D421" s="10" t="s">
        <v>19</v>
      </c>
      <c r="E421" s="10" t="s">
        <v>141</v>
      </c>
      <c r="F421" s="10" t="str">
        <f>"2170649955 "</f>
        <v xml:space="preserve">2170649955 </v>
      </c>
      <c r="G421" s="10" t="str">
        <f t="shared" si="11"/>
        <v>ON1</v>
      </c>
      <c r="H421" s="10" t="s">
        <v>21</v>
      </c>
      <c r="I421" s="10" t="s">
        <v>91</v>
      </c>
      <c r="J421" s="10" t="str">
        <f>""</f>
        <v/>
      </c>
      <c r="K421" s="10" t="str">
        <f>"PFES1162645441_0001"</f>
        <v>PFES1162645441_0001</v>
      </c>
      <c r="L421" s="10">
        <v>1</v>
      </c>
      <c r="M421" s="10">
        <v>1</v>
      </c>
    </row>
    <row r="422" spans="1:13">
      <c r="A422" s="8">
        <v>43348</v>
      </c>
      <c r="B422" s="9">
        <v>0.58194444444444449</v>
      </c>
      <c r="C422" s="10" t="str">
        <f>"FES1162645443"</f>
        <v>FES1162645443</v>
      </c>
      <c r="D422" s="10" t="s">
        <v>19</v>
      </c>
      <c r="E422" s="10" t="s">
        <v>81</v>
      </c>
      <c r="F422" s="10" t="str">
        <f>"2170650304 "</f>
        <v xml:space="preserve">2170650304 </v>
      </c>
      <c r="G422" s="10" t="str">
        <f t="shared" si="11"/>
        <v>ON1</v>
      </c>
      <c r="H422" s="10" t="s">
        <v>21</v>
      </c>
      <c r="I422" s="10" t="s">
        <v>28</v>
      </c>
      <c r="J422" s="10" t="str">
        <f>""</f>
        <v/>
      </c>
      <c r="K422" s="10" t="str">
        <f>"PFES1162645443_0001"</f>
        <v>PFES1162645443_0001</v>
      </c>
      <c r="L422" s="10">
        <v>1</v>
      </c>
      <c r="M422" s="10">
        <v>1</v>
      </c>
    </row>
    <row r="423" spans="1:13">
      <c r="A423" s="8">
        <v>43348</v>
      </c>
      <c r="B423" s="9">
        <v>0.56805555555555554</v>
      </c>
      <c r="C423" s="10" t="str">
        <f>"FES1162645439"</f>
        <v>FES1162645439</v>
      </c>
      <c r="D423" s="10" t="s">
        <v>19</v>
      </c>
      <c r="E423" s="10" t="s">
        <v>390</v>
      </c>
      <c r="F423" s="10" t="str">
        <f>"2170650348 "</f>
        <v xml:space="preserve">2170650348 </v>
      </c>
      <c r="G423" s="10" t="str">
        <f t="shared" si="11"/>
        <v>ON1</v>
      </c>
      <c r="H423" s="10" t="s">
        <v>21</v>
      </c>
      <c r="I423" s="10" t="s">
        <v>391</v>
      </c>
      <c r="J423" s="10" t="str">
        <f>""</f>
        <v/>
      </c>
      <c r="K423" s="10" t="str">
        <f>"PFES1162645439_0001"</f>
        <v>PFES1162645439_0001</v>
      </c>
      <c r="L423" s="10">
        <v>1</v>
      </c>
      <c r="M423" s="10">
        <v>1</v>
      </c>
    </row>
    <row r="424" spans="1:13">
      <c r="A424" s="8">
        <v>43348</v>
      </c>
      <c r="B424" s="9">
        <v>0.56736111111111109</v>
      </c>
      <c r="C424" s="10" t="str">
        <f>"FES1162645436"</f>
        <v>FES1162645436</v>
      </c>
      <c r="D424" s="10" t="s">
        <v>19</v>
      </c>
      <c r="E424" s="10" t="s">
        <v>392</v>
      </c>
      <c r="F424" s="10" t="str">
        <f>"2170650294 "</f>
        <v xml:space="preserve">2170650294 </v>
      </c>
      <c r="G424" s="10" t="str">
        <f t="shared" si="11"/>
        <v>ON1</v>
      </c>
      <c r="H424" s="10" t="s">
        <v>21</v>
      </c>
      <c r="I424" s="10" t="s">
        <v>393</v>
      </c>
      <c r="J424" s="10" t="str">
        <f>""</f>
        <v/>
      </c>
      <c r="K424" s="10" t="str">
        <f>"PFES1162645436_0001"</f>
        <v>PFES1162645436_0001</v>
      </c>
      <c r="L424" s="10">
        <v>1</v>
      </c>
      <c r="M424" s="10">
        <v>1</v>
      </c>
    </row>
    <row r="425" spans="1:13">
      <c r="A425" s="8">
        <v>43348</v>
      </c>
      <c r="B425" s="9">
        <v>0.56666666666666665</v>
      </c>
      <c r="C425" s="10" t="str">
        <f>"FES1162645440"</f>
        <v>FES1162645440</v>
      </c>
      <c r="D425" s="10" t="s">
        <v>19</v>
      </c>
      <c r="E425" s="10" t="s">
        <v>390</v>
      </c>
      <c r="F425" s="10" t="str">
        <f>"2170650349 "</f>
        <v xml:space="preserve">2170650349 </v>
      </c>
      <c r="G425" s="10" t="str">
        <f t="shared" si="11"/>
        <v>ON1</v>
      </c>
      <c r="H425" s="10" t="s">
        <v>21</v>
      </c>
      <c r="I425" s="10" t="s">
        <v>391</v>
      </c>
      <c r="J425" s="10" t="str">
        <f>""</f>
        <v/>
      </c>
      <c r="K425" s="10" t="str">
        <f>"PFES1162645440_0001"</f>
        <v>PFES1162645440_0001</v>
      </c>
      <c r="L425" s="10">
        <v>1</v>
      </c>
      <c r="M425" s="10">
        <v>1</v>
      </c>
    </row>
    <row r="426" spans="1:13">
      <c r="A426" s="8">
        <v>43348</v>
      </c>
      <c r="B426" s="9">
        <v>0.56458333333333333</v>
      </c>
      <c r="C426" s="10" t="str">
        <f>"FES1162645422"</f>
        <v>FES1162645422</v>
      </c>
      <c r="D426" s="10" t="s">
        <v>19</v>
      </c>
      <c r="E426" s="10" t="s">
        <v>336</v>
      </c>
      <c r="F426" s="10" t="str">
        <f>"2170650326 "</f>
        <v xml:space="preserve">2170650326 </v>
      </c>
      <c r="G426" s="10" t="str">
        <f t="shared" si="11"/>
        <v>ON1</v>
      </c>
      <c r="H426" s="10" t="s">
        <v>21</v>
      </c>
      <c r="I426" s="10" t="s">
        <v>117</v>
      </c>
      <c r="J426" s="10" t="str">
        <f>""</f>
        <v/>
      </c>
      <c r="K426" s="10" t="str">
        <f>"PFES1162645422_0001"</f>
        <v>PFES1162645422_0001</v>
      </c>
      <c r="L426" s="10">
        <v>1</v>
      </c>
      <c r="M426" s="10">
        <v>9</v>
      </c>
    </row>
    <row r="427" spans="1:13">
      <c r="A427" s="8">
        <v>43348</v>
      </c>
      <c r="B427" s="9">
        <v>0.55277777777777781</v>
      </c>
      <c r="C427" s="10" t="str">
        <f>"FES1162645418"</f>
        <v>FES1162645418</v>
      </c>
      <c r="D427" s="10" t="s">
        <v>19</v>
      </c>
      <c r="E427" s="10" t="s">
        <v>394</v>
      </c>
      <c r="F427" s="10" t="str">
        <f>"2170649690 "</f>
        <v xml:space="preserve">2170649690 </v>
      </c>
      <c r="G427" s="10" t="str">
        <f t="shared" si="11"/>
        <v>ON1</v>
      </c>
      <c r="H427" s="10" t="s">
        <v>21</v>
      </c>
      <c r="I427" s="10" t="s">
        <v>76</v>
      </c>
      <c r="J427" s="10" t="str">
        <f>""</f>
        <v/>
      </c>
      <c r="K427" s="10" t="str">
        <f>"PFES1162645418_0001"</f>
        <v>PFES1162645418_0001</v>
      </c>
      <c r="L427" s="10">
        <v>1</v>
      </c>
      <c r="M427" s="10">
        <v>1</v>
      </c>
    </row>
    <row r="428" spans="1:13">
      <c r="A428" s="8">
        <v>43348</v>
      </c>
      <c r="B428" s="9">
        <v>0.55138888888888882</v>
      </c>
      <c r="C428" s="10" t="str">
        <f>"FES1162645417"</f>
        <v>FES1162645417</v>
      </c>
      <c r="D428" s="10" t="s">
        <v>19</v>
      </c>
      <c r="E428" s="10" t="s">
        <v>56</v>
      </c>
      <c r="F428" s="10" t="str">
        <f>"2170650324 "</f>
        <v xml:space="preserve">2170650324 </v>
      </c>
      <c r="G428" s="10" t="str">
        <f t="shared" si="11"/>
        <v>ON1</v>
      </c>
      <c r="H428" s="10" t="s">
        <v>21</v>
      </c>
      <c r="I428" s="10" t="s">
        <v>57</v>
      </c>
      <c r="J428" s="10" t="str">
        <f>""</f>
        <v/>
      </c>
      <c r="K428" s="10" t="str">
        <f>"PFES1162645417_0001"</f>
        <v>PFES1162645417_0001</v>
      </c>
      <c r="L428" s="10">
        <v>1</v>
      </c>
      <c r="M428" s="10">
        <v>7</v>
      </c>
    </row>
    <row r="429" spans="1:13">
      <c r="A429" s="8">
        <v>43348</v>
      </c>
      <c r="B429" s="9">
        <v>0.54999999999999993</v>
      </c>
      <c r="C429" s="10" t="str">
        <f>"FES1162645410"</f>
        <v>FES1162645410</v>
      </c>
      <c r="D429" s="10" t="s">
        <v>19</v>
      </c>
      <c r="E429" s="10" t="s">
        <v>56</v>
      </c>
      <c r="F429" s="10" t="str">
        <f>"2170650318 "</f>
        <v xml:space="preserve">2170650318 </v>
      </c>
      <c r="G429" s="10" t="str">
        <f>"DBC"</f>
        <v>DBC</v>
      </c>
      <c r="H429" s="10" t="s">
        <v>21</v>
      </c>
      <c r="I429" s="10" t="s">
        <v>57</v>
      </c>
      <c r="J429" s="10" t="str">
        <f>""</f>
        <v/>
      </c>
      <c r="K429" s="10" t="str">
        <f>"PFES1162645410_0001"</f>
        <v>PFES1162645410_0001</v>
      </c>
      <c r="L429" s="10">
        <v>1</v>
      </c>
      <c r="M429" s="10">
        <v>27</v>
      </c>
    </row>
    <row r="430" spans="1:13">
      <c r="A430" s="8">
        <v>43348</v>
      </c>
      <c r="B430" s="9">
        <v>0.54513888888888895</v>
      </c>
      <c r="C430" s="10" t="str">
        <f>"FES1162645326"</f>
        <v>FES1162645326</v>
      </c>
      <c r="D430" s="10" t="s">
        <v>19</v>
      </c>
      <c r="E430" s="10" t="s">
        <v>395</v>
      </c>
      <c r="F430" s="10" t="str">
        <f>"2170650182 "</f>
        <v xml:space="preserve">2170650182 </v>
      </c>
      <c r="G430" s="10" t="str">
        <f t="shared" ref="G430:G466" si="12">"ON1"</f>
        <v>ON1</v>
      </c>
      <c r="H430" s="10" t="s">
        <v>21</v>
      </c>
      <c r="I430" s="10" t="s">
        <v>396</v>
      </c>
      <c r="J430" s="10" t="str">
        <f>""</f>
        <v/>
      </c>
      <c r="K430" s="10" t="str">
        <f>"PFES1162645326_0001"</f>
        <v>PFES1162645326_0001</v>
      </c>
      <c r="L430" s="10">
        <v>1</v>
      </c>
      <c r="M430" s="10">
        <v>6</v>
      </c>
    </row>
    <row r="431" spans="1:13">
      <c r="A431" s="8">
        <v>43348</v>
      </c>
      <c r="B431" s="9">
        <v>0.54513888888888895</v>
      </c>
      <c r="C431" s="10" t="str">
        <f>"FES1162645423"</f>
        <v>FES1162645423</v>
      </c>
      <c r="D431" s="10" t="s">
        <v>19</v>
      </c>
      <c r="E431" s="10" t="s">
        <v>397</v>
      </c>
      <c r="F431" s="10" t="str">
        <f>"2170650328 "</f>
        <v xml:space="preserve">2170650328 </v>
      </c>
      <c r="G431" s="10" t="str">
        <f t="shared" si="12"/>
        <v>ON1</v>
      </c>
      <c r="H431" s="10" t="s">
        <v>21</v>
      </c>
      <c r="I431" s="10" t="s">
        <v>89</v>
      </c>
      <c r="J431" s="10" t="str">
        <f>""</f>
        <v/>
      </c>
      <c r="K431" s="10" t="str">
        <f>"PFES1162645423_0001"</f>
        <v>PFES1162645423_0001</v>
      </c>
      <c r="L431" s="10">
        <v>1</v>
      </c>
      <c r="M431" s="10">
        <v>1</v>
      </c>
    </row>
    <row r="432" spans="1:13">
      <c r="A432" s="8">
        <v>43348</v>
      </c>
      <c r="B432" s="9">
        <v>0.5444444444444444</v>
      </c>
      <c r="C432" s="10" t="str">
        <f>"FES1162645421"</f>
        <v>FES1162645421</v>
      </c>
      <c r="D432" s="10" t="s">
        <v>19</v>
      </c>
      <c r="E432" s="10" t="s">
        <v>220</v>
      </c>
      <c r="F432" s="10" t="str">
        <f>"2170650293 "</f>
        <v xml:space="preserve">2170650293 </v>
      </c>
      <c r="G432" s="10" t="str">
        <f t="shared" si="12"/>
        <v>ON1</v>
      </c>
      <c r="H432" s="10" t="s">
        <v>21</v>
      </c>
      <c r="I432" s="10" t="s">
        <v>126</v>
      </c>
      <c r="J432" s="10" t="str">
        <f>""</f>
        <v/>
      </c>
      <c r="K432" s="10" t="str">
        <f>"PFES1162645421_0001"</f>
        <v>PFES1162645421_0001</v>
      </c>
      <c r="L432" s="10">
        <v>1</v>
      </c>
      <c r="M432" s="10">
        <v>1</v>
      </c>
    </row>
    <row r="433" spans="1:13">
      <c r="A433" s="8">
        <v>43348</v>
      </c>
      <c r="B433" s="9">
        <v>0.5444444444444444</v>
      </c>
      <c r="C433" s="10" t="str">
        <f>"FES1162645385"</f>
        <v>FES1162645385</v>
      </c>
      <c r="D433" s="10" t="s">
        <v>19</v>
      </c>
      <c r="E433" s="10" t="s">
        <v>41</v>
      </c>
      <c r="F433" s="10" t="str">
        <f>"2170650082 "</f>
        <v xml:space="preserve">2170650082 </v>
      </c>
      <c r="G433" s="10" t="str">
        <f t="shared" si="12"/>
        <v>ON1</v>
      </c>
      <c r="H433" s="10" t="s">
        <v>21</v>
      </c>
      <c r="I433" s="10" t="s">
        <v>42</v>
      </c>
      <c r="J433" s="10" t="str">
        <f>""</f>
        <v/>
      </c>
      <c r="K433" s="10" t="str">
        <f>"PFES1162645385_0001"</f>
        <v>PFES1162645385_0001</v>
      </c>
      <c r="L433" s="10">
        <v>1</v>
      </c>
      <c r="M433" s="10">
        <v>1</v>
      </c>
    </row>
    <row r="434" spans="1:13">
      <c r="A434" s="8">
        <v>43348</v>
      </c>
      <c r="B434" s="9">
        <v>0.5444444444444444</v>
      </c>
      <c r="C434" s="10" t="str">
        <f>"FES1162645429"</f>
        <v>FES1162645429</v>
      </c>
      <c r="D434" s="10" t="s">
        <v>19</v>
      </c>
      <c r="E434" s="10" t="s">
        <v>81</v>
      </c>
      <c r="F434" s="10" t="str">
        <f>"2170650334 "</f>
        <v xml:space="preserve">2170650334 </v>
      </c>
      <c r="G434" s="10" t="str">
        <f t="shared" si="12"/>
        <v>ON1</v>
      </c>
      <c r="H434" s="10" t="s">
        <v>21</v>
      </c>
      <c r="I434" s="10" t="s">
        <v>28</v>
      </c>
      <c r="J434" s="10" t="str">
        <f>""</f>
        <v/>
      </c>
      <c r="K434" s="10" t="str">
        <f>"PFES1162645429_0001"</f>
        <v>PFES1162645429_0001</v>
      </c>
      <c r="L434" s="10">
        <v>1</v>
      </c>
      <c r="M434" s="10">
        <v>1</v>
      </c>
    </row>
    <row r="435" spans="1:13">
      <c r="A435" s="8">
        <v>43348</v>
      </c>
      <c r="B435" s="9">
        <v>0.54375000000000007</v>
      </c>
      <c r="C435" s="10" t="str">
        <f>"FES1162645334"</f>
        <v>FES1162645334</v>
      </c>
      <c r="D435" s="10" t="s">
        <v>19</v>
      </c>
      <c r="E435" s="10" t="s">
        <v>359</v>
      </c>
      <c r="F435" s="10" t="str">
        <f>"2170650202 "</f>
        <v xml:space="preserve">2170650202 </v>
      </c>
      <c r="G435" s="10" t="str">
        <f t="shared" si="12"/>
        <v>ON1</v>
      </c>
      <c r="H435" s="10" t="s">
        <v>21</v>
      </c>
      <c r="I435" s="10" t="s">
        <v>87</v>
      </c>
      <c r="J435" s="10" t="str">
        <f>""</f>
        <v/>
      </c>
      <c r="K435" s="10" t="str">
        <f>"PFES1162645334_0001"</f>
        <v>PFES1162645334_0001</v>
      </c>
      <c r="L435" s="10">
        <v>1</v>
      </c>
      <c r="M435" s="10">
        <v>12</v>
      </c>
    </row>
    <row r="436" spans="1:13">
      <c r="A436" s="8">
        <v>43348</v>
      </c>
      <c r="B436" s="9">
        <v>0.54236111111111118</v>
      </c>
      <c r="C436" s="10" t="str">
        <f>"FES1162645377"</f>
        <v>FES1162645377</v>
      </c>
      <c r="D436" s="10" t="s">
        <v>19</v>
      </c>
      <c r="E436" s="10" t="s">
        <v>398</v>
      </c>
      <c r="F436" s="10" t="str">
        <f>"2170650266 "</f>
        <v xml:space="preserve">2170650266 </v>
      </c>
      <c r="G436" s="10" t="str">
        <f t="shared" si="12"/>
        <v>ON1</v>
      </c>
      <c r="H436" s="10" t="s">
        <v>21</v>
      </c>
      <c r="I436" s="10" t="s">
        <v>89</v>
      </c>
      <c r="J436" s="10" t="str">
        <f>""</f>
        <v/>
      </c>
      <c r="K436" s="10" t="str">
        <f>"PFES1162645377_0001"</f>
        <v>PFES1162645377_0001</v>
      </c>
      <c r="L436" s="10">
        <v>1</v>
      </c>
      <c r="M436" s="10">
        <v>8</v>
      </c>
    </row>
    <row r="437" spans="1:13">
      <c r="A437" s="8">
        <v>43348</v>
      </c>
      <c r="B437" s="9">
        <v>0.54166666666666663</v>
      </c>
      <c r="C437" s="10" t="str">
        <f>"FES1162645342"</f>
        <v>FES1162645342</v>
      </c>
      <c r="D437" s="10" t="s">
        <v>19</v>
      </c>
      <c r="E437" s="10" t="s">
        <v>399</v>
      </c>
      <c r="F437" s="10" t="str">
        <f>"2170650214 "</f>
        <v xml:space="preserve">2170650214 </v>
      </c>
      <c r="G437" s="10" t="str">
        <f t="shared" si="12"/>
        <v>ON1</v>
      </c>
      <c r="H437" s="10" t="s">
        <v>21</v>
      </c>
      <c r="I437" s="10" t="s">
        <v>400</v>
      </c>
      <c r="J437" s="10" t="str">
        <f>""</f>
        <v/>
      </c>
      <c r="K437" s="10" t="str">
        <f>"PFES1162645342_0001"</f>
        <v>PFES1162645342_0001</v>
      </c>
      <c r="L437" s="10">
        <v>1</v>
      </c>
      <c r="M437" s="10">
        <v>3</v>
      </c>
    </row>
    <row r="438" spans="1:13">
      <c r="A438" s="8">
        <v>43348</v>
      </c>
      <c r="B438" s="9">
        <v>0.54027777777777775</v>
      </c>
      <c r="C438" s="10" t="str">
        <f>"FES1162645337"</f>
        <v>FES1162645337</v>
      </c>
      <c r="D438" s="10" t="s">
        <v>19</v>
      </c>
      <c r="E438" s="10" t="s">
        <v>39</v>
      </c>
      <c r="F438" s="10" t="str">
        <f>"2170650207 "</f>
        <v xml:space="preserve">2170650207 </v>
      </c>
      <c r="G438" s="10" t="str">
        <f t="shared" si="12"/>
        <v>ON1</v>
      </c>
      <c r="H438" s="10" t="s">
        <v>21</v>
      </c>
      <c r="I438" s="10" t="s">
        <v>40</v>
      </c>
      <c r="J438" s="10" t="str">
        <f>""</f>
        <v/>
      </c>
      <c r="K438" s="10" t="str">
        <f>"PFES1162645337_0001"</f>
        <v>PFES1162645337_0001</v>
      </c>
      <c r="L438" s="10">
        <v>1</v>
      </c>
      <c r="M438" s="10">
        <v>3</v>
      </c>
    </row>
    <row r="439" spans="1:13">
      <c r="A439" s="8">
        <v>43348</v>
      </c>
      <c r="B439" s="9">
        <v>0.53749999999999998</v>
      </c>
      <c r="C439" s="10" t="str">
        <f>"FES1162645313"</f>
        <v>FES1162645313</v>
      </c>
      <c r="D439" s="10" t="s">
        <v>19</v>
      </c>
      <c r="E439" s="10" t="s">
        <v>401</v>
      </c>
      <c r="F439" s="10" t="str">
        <f>"2170649419 "</f>
        <v xml:space="preserve">2170649419 </v>
      </c>
      <c r="G439" s="10" t="str">
        <f t="shared" si="12"/>
        <v>ON1</v>
      </c>
      <c r="H439" s="10" t="s">
        <v>21</v>
      </c>
      <c r="I439" s="10" t="s">
        <v>402</v>
      </c>
      <c r="J439" s="10" t="str">
        <f>""</f>
        <v/>
      </c>
      <c r="K439" s="10" t="str">
        <f>"PFES1162645313_0001"</f>
        <v>PFES1162645313_0001</v>
      </c>
      <c r="L439" s="10">
        <v>2</v>
      </c>
      <c r="M439" s="10">
        <v>5</v>
      </c>
    </row>
    <row r="440" spans="1:13">
      <c r="A440" s="8">
        <v>43348</v>
      </c>
      <c r="B440" s="9">
        <v>0.53680555555555554</v>
      </c>
      <c r="C440" s="10" t="str">
        <f>"FES1162645402"</f>
        <v>FES1162645402</v>
      </c>
      <c r="D440" s="10" t="s">
        <v>19</v>
      </c>
      <c r="E440" s="10" t="s">
        <v>403</v>
      </c>
      <c r="F440" s="10" t="str">
        <f>"2170650300 "</f>
        <v xml:space="preserve">2170650300 </v>
      </c>
      <c r="G440" s="10" t="str">
        <f t="shared" si="12"/>
        <v>ON1</v>
      </c>
      <c r="H440" s="10" t="s">
        <v>21</v>
      </c>
      <c r="I440" s="10" t="s">
        <v>24</v>
      </c>
      <c r="J440" s="10" t="str">
        <f>""</f>
        <v/>
      </c>
      <c r="K440" s="10" t="str">
        <f>"PFES1162645402_0001"</f>
        <v>PFES1162645402_0001</v>
      </c>
      <c r="L440" s="10">
        <v>1</v>
      </c>
      <c r="M440" s="10">
        <v>5</v>
      </c>
    </row>
    <row r="441" spans="1:13">
      <c r="A441" s="8">
        <v>43348</v>
      </c>
      <c r="B441" s="9">
        <v>0.53333333333333333</v>
      </c>
      <c r="C441" s="10" t="str">
        <f>"FES1162645364"</f>
        <v>FES1162645364</v>
      </c>
      <c r="D441" s="10" t="s">
        <v>19</v>
      </c>
      <c r="E441" s="10" t="s">
        <v>404</v>
      </c>
      <c r="F441" s="10" t="str">
        <f>"2170650244 "</f>
        <v xml:space="preserve">2170650244 </v>
      </c>
      <c r="G441" s="10" t="str">
        <f t="shared" si="12"/>
        <v>ON1</v>
      </c>
      <c r="H441" s="10" t="s">
        <v>21</v>
      </c>
      <c r="I441" s="10" t="s">
        <v>405</v>
      </c>
      <c r="J441" s="10" t="str">
        <f>""</f>
        <v/>
      </c>
      <c r="K441" s="10" t="str">
        <f>"PFES1162645364_0001"</f>
        <v>PFES1162645364_0001</v>
      </c>
      <c r="L441" s="10">
        <v>1</v>
      </c>
      <c r="M441" s="10">
        <v>7</v>
      </c>
    </row>
    <row r="442" spans="1:13">
      <c r="A442" s="8">
        <v>43348</v>
      </c>
      <c r="B442" s="9">
        <v>0.53194444444444444</v>
      </c>
      <c r="C442" s="10" t="str">
        <f>"FES1162645381"</f>
        <v>FES1162645381</v>
      </c>
      <c r="D442" s="10" t="s">
        <v>19</v>
      </c>
      <c r="E442" s="10" t="s">
        <v>69</v>
      </c>
      <c r="F442" s="10" t="str">
        <f>"2170650270 "</f>
        <v xml:space="preserve">2170650270 </v>
      </c>
      <c r="G442" s="10" t="str">
        <f t="shared" si="12"/>
        <v>ON1</v>
      </c>
      <c r="H442" s="10" t="s">
        <v>21</v>
      </c>
      <c r="I442" s="10" t="s">
        <v>68</v>
      </c>
      <c r="J442" s="10" t="str">
        <f>""</f>
        <v/>
      </c>
      <c r="K442" s="10" t="str">
        <f>"PFES1162645381_0001"</f>
        <v>PFES1162645381_0001</v>
      </c>
      <c r="L442" s="10">
        <v>1</v>
      </c>
      <c r="M442" s="10">
        <v>5</v>
      </c>
    </row>
    <row r="443" spans="1:13">
      <c r="A443" s="8">
        <v>43348</v>
      </c>
      <c r="B443" s="9">
        <v>0.52430555555555558</v>
      </c>
      <c r="C443" s="10" t="str">
        <f>"FES1162645349"</f>
        <v>FES1162645349</v>
      </c>
      <c r="D443" s="10" t="s">
        <v>19</v>
      </c>
      <c r="E443" s="10" t="s">
        <v>39</v>
      </c>
      <c r="F443" s="10" t="str">
        <f>"2170650223 "</f>
        <v xml:space="preserve">2170650223 </v>
      </c>
      <c r="G443" s="10" t="str">
        <f t="shared" si="12"/>
        <v>ON1</v>
      </c>
      <c r="H443" s="10" t="s">
        <v>21</v>
      </c>
      <c r="I443" s="10" t="s">
        <v>40</v>
      </c>
      <c r="J443" s="10" t="str">
        <f>""</f>
        <v/>
      </c>
      <c r="K443" s="10" t="str">
        <f>"PFES1162645349_0001"</f>
        <v>PFES1162645349_0001</v>
      </c>
      <c r="L443" s="10">
        <v>1</v>
      </c>
      <c r="M443" s="10">
        <v>4</v>
      </c>
    </row>
    <row r="444" spans="1:13">
      <c r="A444" s="8">
        <v>43348</v>
      </c>
      <c r="B444" s="9">
        <v>0.5229166666666667</v>
      </c>
      <c r="C444" s="10" t="str">
        <f>"FES1162645333"</f>
        <v>FES1162645333</v>
      </c>
      <c r="D444" s="10" t="s">
        <v>19</v>
      </c>
      <c r="E444" s="10" t="s">
        <v>406</v>
      </c>
      <c r="F444" s="10" t="str">
        <f>"2170650201 "</f>
        <v xml:space="preserve">2170650201 </v>
      </c>
      <c r="G444" s="10" t="str">
        <f t="shared" si="12"/>
        <v>ON1</v>
      </c>
      <c r="H444" s="10" t="s">
        <v>21</v>
      </c>
      <c r="I444" s="10" t="s">
        <v>250</v>
      </c>
      <c r="J444" s="10" t="str">
        <f>""</f>
        <v/>
      </c>
      <c r="K444" s="10" t="str">
        <f>"PFES1162645333_0001"</f>
        <v>PFES1162645333_0001</v>
      </c>
      <c r="L444" s="10">
        <v>1</v>
      </c>
      <c r="M444" s="10">
        <v>3</v>
      </c>
    </row>
    <row r="445" spans="1:13">
      <c r="A445" s="8">
        <v>43348</v>
      </c>
      <c r="B445" s="9">
        <v>0.52013888888888882</v>
      </c>
      <c r="C445" s="10" t="str">
        <f>"FES1162645386"</f>
        <v>FES1162645386</v>
      </c>
      <c r="D445" s="10" t="s">
        <v>19</v>
      </c>
      <c r="E445" s="10" t="s">
        <v>141</v>
      </c>
      <c r="F445" s="10" t="str">
        <f>"2170650104 "</f>
        <v xml:space="preserve">2170650104 </v>
      </c>
      <c r="G445" s="10" t="str">
        <f t="shared" si="12"/>
        <v>ON1</v>
      </c>
      <c r="H445" s="10" t="s">
        <v>21</v>
      </c>
      <c r="I445" s="10" t="s">
        <v>91</v>
      </c>
      <c r="J445" s="10" t="str">
        <f>""</f>
        <v/>
      </c>
      <c r="K445" s="10" t="str">
        <f>"PFES1162645386_0001"</f>
        <v>PFES1162645386_0001</v>
      </c>
      <c r="L445" s="10">
        <v>1</v>
      </c>
      <c r="M445" s="10">
        <v>2</v>
      </c>
    </row>
    <row r="446" spans="1:13">
      <c r="A446" s="8">
        <v>43348</v>
      </c>
      <c r="B446" s="9">
        <v>0.51874999999999993</v>
      </c>
      <c r="C446" s="10" t="str">
        <f>"FES1162645280"</f>
        <v>FES1162645280</v>
      </c>
      <c r="D446" s="10" t="s">
        <v>19</v>
      </c>
      <c r="E446" s="10" t="s">
        <v>174</v>
      </c>
      <c r="F446" s="10" t="str">
        <f>"2170643990 "</f>
        <v xml:space="preserve">2170643990 </v>
      </c>
      <c r="G446" s="10" t="str">
        <f t="shared" si="12"/>
        <v>ON1</v>
      </c>
      <c r="H446" s="10" t="s">
        <v>21</v>
      </c>
      <c r="I446" s="10" t="s">
        <v>175</v>
      </c>
      <c r="J446" s="10" t="str">
        <f>""</f>
        <v/>
      </c>
      <c r="K446" s="10" t="str">
        <f>"PFES1162645280_0001"</f>
        <v>PFES1162645280_0001</v>
      </c>
      <c r="L446" s="10">
        <v>1</v>
      </c>
      <c r="M446" s="10">
        <v>7</v>
      </c>
    </row>
    <row r="447" spans="1:13">
      <c r="A447" s="8">
        <v>43348</v>
      </c>
      <c r="B447" s="9">
        <v>0.5131944444444444</v>
      </c>
      <c r="C447" s="10" t="str">
        <f>"FES1162645404"</f>
        <v>FES1162645404</v>
      </c>
      <c r="D447" s="10" t="s">
        <v>19</v>
      </c>
      <c r="E447" s="10" t="s">
        <v>111</v>
      </c>
      <c r="F447" s="10" t="str">
        <f>"2170650305 "</f>
        <v xml:space="preserve">2170650305 </v>
      </c>
      <c r="G447" s="10" t="str">
        <f t="shared" si="12"/>
        <v>ON1</v>
      </c>
      <c r="H447" s="10" t="s">
        <v>21</v>
      </c>
      <c r="I447" s="10" t="s">
        <v>407</v>
      </c>
      <c r="J447" s="10" t="str">
        <f>""</f>
        <v/>
      </c>
      <c r="K447" s="10" t="str">
        <f>"PFES1162645404_0001"</f>
        <v>PFES1162645404_0001</v>
      </c>
      <c r="L447" s="10">
        <v>1</v>
      </c>
      <c r="M447" s="10">
        <v>1</v>
      </c>
    </row>
    <row r="448" spans="1:13">
      <c r="A448" s="8">
        <v>43348</v>
      </c>
      <c r="B448" s="9">
        <v>0.5131944444444444</v>
      </c>
      <c r="C448" s="10" t="str">
        <f>"FES1162645412"</f>
        <v>FES1162645412</v>
      </c>
      <c r="D448" s="10" t="s">
        <v>19</v>
      </c>
      <c r="E448" s="10" t="s">
        <v>408</v>
      </c>
      <c r="F448" s="10" t="str">
        <f>"21706503203 "</f>
        <v xml:space="preserve">21706503203 </v>
      </c>
      <c r="G448" s="10" t="str">
        <f t="shared" si="12"/>
        <v>ON1</v>
      </c>
      <c r="H448" s="10" t="s">
        <v>21</v>
      </c>
      <c r="I448" s="10" t="s">
        <v>409</v>
      </c>
      <c r="J448" s="10" t="str">
        <f>""</f>
        <v/>
      </c>
      <c r="K448" s="10" t="str">
        <f>"PFES1162645412_0001"</f>
        <v>PFES1162645412_0001</v>
      </c>
      <c r="L448" s="10">
        <v>1</v>
      </c>
      <c r="M448" s="10">
        <v>1</v>
      </c>
    </row>
    <row r="449" spans="1:13">
      <c r="A449" s="8">
        <v>43348</v>
      </c>
      <c r="B449" s="9">
        <v>0.51250000000000007</v>
      </c>
      <c r="C449" s="10" t="str">
        <f>"FES1162645406"</f>
        <v>FES1162645406</v>
      </c>
      <c r="D449" s="10" t="s">
        <v>19</v>
      </c>
      <c r="E449" s="10" t="s">
        <v>228</v>
      </c>
      <c r="F449" s="10" t="str">
        <f>"2170650311 "</f>
        <v xml:space="preserve">2170650311 </v>
      </c>
      <c r="G449" s="10" t="str">
        <f t="shared" si="12"/>
        <v>ON1</v>
      </c>
      <c r="H449" s="10" t="s">
        <v>21</v>
      </c>
      <c r="I449" s="10" t="s">
        <v>229</v>
      </c>
      <c r="J449" s="10" t="str">
        <f>""</f>
        <v/>
      </c>
      <c r="K449" s="10" t="str">
        <f>"PFES1162645406_0001"</f>
        <v>PFES1162645406_0001</v>
      </c>
      <c r="L449" s="10">
        <v>1</v>
      </c>
      <c r="M449" s="10">
        <v>1</v>
      </c>
    </row>
    <row r="450" spans="1:13">
      <c r="A450" s="8">
        <v>43348</v>
      </c>
      <c r="B450" s="9">
        <v>0.51250000000000007</v>
      </c>
      <c r="C450" s="10" t="str">
        <f>"FES1162645391"</f>
        <v>FES1162645391</v>
      </c>
      <c r="D450" s="10" t="s">
        <v>19</v>
      </c>
      <c r="E450" s="10" t="s">
        <v>111</v>
      </c>
      <c r="F450" s="10" t="str">
        <f>"2170650280 "</f>
        <v xml:space="preserve">2170650280 </v>
      </c>
      <c r="G450" s="10" t="str">
        <f t="shared" si="12"/>
        <v>ON1</v>
      </c>
      <c r="H450" s="10" t="s">
        <v>21</v>
      </c>
      <c r="I450" s="10" t="s">
        <v>410</v>
      </c>
      <c r="J450" s="10" t="str">
        <f>""</f>
        <v/>
      </c>
      <c r="K450" s="10" t="str">
        <f>"PFES1162645391_0001"</f>
        <v>PFES1162645391_0001</v>
      </c>
      <c r="L450" s="10">
        <v>1</v>
      </c>
      <c r="M450" s="10">
        <v>1</v>
      </c>
    </row>
    <row r="451" spans="1:13">
      <c r="A451" s="8">
        <v>43348</v>
      </c>
      <c r="B451" s="9">
        <v>0.51250000000000007</v>
      </c>
      <c r="C451" s="10" t="str">
        <f>"FES1162645393"</f>
        <v>FES1162645393</v>
      </c>
      <c r="D451" s="10" t="s">
        <v>19</v>
      </c>
      <c r="E451" s="10" t="s">
        <v>141</v>
      </c>
      <c r="F451" s="10" t="str">
        <f>"2170650102 "</f>
        <v xml:space="preserve">2170650102 </v>
      </c>
      <c r="G451" s="10" t="str">
        <f t="shared" si="12"/>
        <v>ON1</v>
      </c>
      <c r="H451" s="10" t="s">
        <v>21</v>
      </c>
      <c r="I451" s="10" t="s">
        <v>91</v>
      </c>
      <c r="J451" s="10" t="str">
        <f>""</f>
        <v/>
      </c>
      <c r="K451" s="10" t="str">
        <f>"PFES1162645393_0001"</f>
        <v>PFES1162645393_0001</v>
      </c>
      <c r="L451" s="10">
        <v>1</v>
      </c>
      <c r="M451" s="10">
        <v>1</v>
      </c>
    </row>
    <row r="452" spans="1:13">
      <c r="A452" s="8">
        <v>43348</v>
      </c>
      <c r="B452" s="9">
        <v>0.51180555555555551</v>
      </c>
      <c r="C452" s="10" t="str">
        <f>"FES1162645400"</f>
        <v>FES1162645400</v>
      </c>
      <c r="D452" s="10" t="s">
        <v>19</v>
      </c>
      <c r="E452" s="10" t="s">
        <v>411</v>
      </c>
      <c r="F452" s="10" t="str">
        <f>"21706450295 "</f>
        <v xml:space="preserve">21706450295 </v>
      </c>
      <c r="G452" s="10" t="str">
        <f t="shared" si="12"/>
        <v>ON1</v>
      </c>
      <c r="H452" s="10" t="s">
        <v>21</v>
      </c>
      <c r="I452" s="10" t="s">
        <v>83</v>
      </c>
      <c r="J452" s="10" t="str">
        <f>""</f>
        <v/>
      </c>
      <c r="K452" s="10" t="str">
        <f>"PFES1162645400_0001"</f>
        <v>PFES1162645400_0001</v>
      </c>
      <c r="L452" s="10">
        <v>1</v>
      </c>
      <c r="M452" s="10">
        <v>1</v>
      </c>
    </row>
    <row r="453" spans="1:13">
      <c r="A453" s="8">
        <v>43348</v>
      </c>
      <c r="B453" s="9">
        <v>0.51111111111111118</v>
      </c>
      <c r="C453" s="10" t="str">
        <f>"FES1162645297"</f>
        <v>FES1162645297</v>
      </c>
      <c r="D453" s="10" t="s">
        <v>19</v>
      </c>
      <c r="E453" s="10" t="s">
        <v>174</v>
      </c>
      <c r="F453" s="10" t="str">
        <f>"2170643549 "</f>
        <v xml:space="preserve">2170643549 </v>
      </c>
      <c r="G453" s="10" t="str">
        <f t="shared" si="12"/>
        <v>ON1</v>
      </c>
      <c r="H453" s="10" t="s">
        <v>21</v>
      </c>
      <c r="I453" s="10" t="s">
        <v>175</v>
      </c>
      <c r="J453" s="10" t="str">
        <f>""</f>
        <v/>
      </c>
      <c r="K453" s="10" t="str">
        <f>"PFES1162645297_0001"</f>
        <v>PFES1162645297_0001</v>
      </c>
      <c r="L453" s="10">
        <v>1</v>
      </c>
      <c r="M453" s="10">
        <v>2</v>
      </c>
    </row>
    <row r="454" spans="1:13">
      <c r="A454" s="8">
        <v>43348</v>
      </c>
      <c r="B454" s="9">
        <v>0.51041666666666663</v>
      </c>
      <c r="C454" s="10" t="str">
        <f>"FES1162645409"</f>
        <v>FES1162645409</v>
      </c>
      <c r="D454" s="10" t="s">
        <v>19</v>
      </c>
      <c r="E454" s="10" t="s">
        <v>65</v>
      </c>
      <c r="F454" s="10" t="str">
        <f>"2170650317 "</f>
        <v xml:space="preserve">2170650317 </v>
      </c>
      <c r="G454" s="10" t="str">
        <f t="shared" si="12"/>
        <v>ON1</v>
      </c>
      <c r="H454" s="10" t="s">
        <v>21</v>
      </c>
      <c r="I454" s="10" t="s">
        <v>66</v>
      </c>
      <c r="J454" s="10" t="str">
        <f>""</f>
        <v/>
      </c>
      <c r="K454" s="10" t="str">
        <f>"PFES1162645409_0001"</f>
        <v>PFES1162645409_0001</v>
      </c>
      <c r="L454" s="10">
        <v>1</v>
      </c>
      <c r="M454" s="10">
        <v>1</v>
      </c>
    </row>
    <row r="455" spans="1:13">
      <c r="A455" s="8">
        <v>43348</v>
      </c>
      <c r="B455" s="9">
        <v>0.51041666666666663</v>
      </c>
      <c r="C455" s="10" t="str">
        <f>"FES1162645298"</f>
        <v>FES1162645298</v>
      </c>
      <c r="D455" s="10" t="s">
        <v>19</v>
      </c>
      <c r="E455" s="10" t="s">
        <v>174</v>
      </c>
      <c r="F455" s="10" t="str">
        <f>"2170643642 "</f>
        <v xml:space="preserve">2170643642 </v>
      </c>
      <c r="G455" s="10" t="str">
        <f t="shared" si="12"/>
        <v>ON1</v>
      </c>
      <c r="H455" s="10" t="s">
        <v>21</v>
      </c>
      <c r="I455" s="10" t="s">
        <v>175</v>
      </c>
      <c r="J455" s="10" t="str">
        <f>""</f>
        <v/>
      </c>
      <c r="K455" s="10" t="str">
        <f>"PFES1162645298_0001"</f>
        <v>PFES1162645298_0001</v>
      </c>
      <c r="L455" s="10">
        <v>1</v>
      </c>
      <c r="M455" s="10">
        <v>3</v>
      </c>
    </row>
    <row r="456" spans="1:13">
      <c r="A456" s="8">
        <v>43348</v>
      </c>
      <c r="B456" s="9">
        <v>0.51041666666666663</v>
      </c>
      <c r="C456" s="10" t="str">
        <f>"FES1162645416"</f>
        <v>FES1162645416</v>
      </c>
      <c r="D456" s="10" t="s">
        <v>19</v>
      </c>
      <c r="E456" s="10" t="s">
        <v>65</v>
      </c>
      <c r="F456" s="10" t="str">
        <f>"2170650323 "</f>
        <v xml:space="preserve">2170650323 </v>
      </c>
      <c r="G456" s="10" t="str">
        <f t="shared" si="12"/>
        <v>ON1</v>
      </c>
      <c r="H456" s="10" t="s">
        <v>21</v>
      </c>
      <c r="I456" s="10" t="s">
        <v>66</v>
      </c>
      <c r="J456" s="10" t="str">
        <f>""</f>
        <v/>
      </c>
      <c r="K456" s="10" t="str">
        <f>"PFES1162645416_0001"</f>
        <v>PFES1162645416_0001</v>
      </c>
      <c r="L456" s="10">
        <v>1</v>
      </c>
      <c r="M456" s="10">
        <v>1</v>
      </c>
    </row>
    <row r="457" spans="1:13">
      <c r="A457" s="8">
        <v>43348</v>
      </c>
      <c r="B457" s="9">
        <v>0.49513888888888885</v>
      </c>
      <c r="C457" s="10" t="str">
        <f>"FES1162645390"</f>
        <v>FES1162645390</v>
      </c>
      <c r="D457" s="10" t="s">
        <v>19</v>
      </c>
      <c r="E457" s="10" t="s">
        <v>412</v>
      </c>
      <c r="F457" s="10" t="str">
        <f>"2170650279 "</f>
        <v xml:space="preserve">2170650279 </v>
      </c>
      <c r="G457" s="10" t="str">
        <f t="shared" si="12"/>
        <v>ON1</v>
      </c>
      <c r="H457" s="10" t="s">
        <v>21</v>
      </c>
      <c r="I457" s="10" t="s">
        <v>204</v>
      </c>
      <c r="J457" s="10" t="str">
        <f>""</f>
        <v/>
      </c>
      <c r="K457" s="10" t="str">
        <f>"PFES1162645390_0001"</f>
        <v>PFES1162645390_0001</v>
      </c>
      <c r="L457" s="10">
        <v>1</v>
      </c>
      <c r="M457" s="10">
        <v>1</v>
      </c>
    </row>
    <row r="458" spans="1:13">
      <c r="A458" s="8">
        <v>43348</v>
      </c>
      <c r="B458" s="9">
        <v>0.49444444444444446</v>
      </c>
      <c r="C458" s="10" t="str">
        <f>"FES1162645372"</f>
        <v>FES1162645372</v>
      </c>
      <c r="D458" s="10" t="s">
        <v>19</v>
      </c>
      <c r="E458" s="10" t="s">
        <v>35</v>
      </c>
      <c r="F458" s="10" t="str">
        <f>"2170650229 "</f>
        <v xml:space="preserve">2170650229 </v>
      </c>
      <c r="G458" s="10" t="str">
        <f t="shared" si="12"/>
        <v>ON1</v>
      </c>
      <c r="H458" s="10" t="s">
        <v>21</v>
      </c>
      <c r="I458" s="10" t="s">
        <v>36</v>
      </c>
      <c r="J458" s="10" t="str">
        <f>""</f>
        <v/>
      </c>
      <c r="K458" s="10" t="str">
        <f>"PFES1162645372_0001"</f>
        <v>PFES1162645372_0001</v>
      </c>
      <c r="L458" s="10">
        <v>1</v>
      </c>
      <c r="M458" s="10">
        <v>1</v>
      </c>
    </row>
    <row r="459" spans="1:13">
      <c r="A459" s="8">
        <v>43348</v>
      </c>
      <c r="B459" s="9">
        <v>0.49444444444444446</v>
      </c>
      <c r="C459" s="10" t="str">
        <f>"FES1162645374"</f>
        <v>FES1162645374</v>
      </c>
      <c r="D459" s="10" t="s">
        <v>19</v>
      </c>
      <c r="E459" s="10" t="s">
        <v>251</v>
      </c>
      <c r="F459" s="10" t="str">
        <f>"2170650263 "</f>
        <v xml:space="preserve">2170650263 </v>
      </c>
      <c r="G459" s="10" t="str">
        <f t="shared" si="12"/>
        <v>ON1</v>
      </c>
      <c r="H459" s="10" t="s">
        <v>21</v>
      </c>
      <c r="I459" s="10" t="s">
        <v>252</v>
      </c>
      <c r="J459" s="10" t="str">
        <f>""</f>
        <v/>
      </c>
      <c r="K459" s="10" t="str">
        <f>"PFES1162645374_0001"</f>
        <v>PFES1162645374_0001</v>
      </c>
      <c r="L459" s="10">
        <v>1</v>
      </c>
      <c r="M459" s="10">
        <v>1</v>
      </c>
    </row>
    <row r="460" spans="1:13">
      <c r="A460" s="8">
        <v>43348</v>
      </c>
      <c r="B460" s="9">
        <v>0.49374999999999997</v>
      </c>
      <c r="C460" s="10" t="str">
        <f>"FES1162645383"</f>
        <v>FES1162645383</v>
      </c>
      <c r="D460" s="10" t="s">
        <v>19</v>
      </c>
      <c r="E460" s="10" t="s">
        <v>368</v>
      </c>
      <c r="F460" s="10" t="str">
        <f>"2170650274 "</f>
        <v xml:space="preserve">2170650274 </v>
      </c>
      <c r="G460" s="10" t="str">
        <f t="shared" si="12"/>
        <v>ON1</v>
      </c>
      <c r="H460" s="10" t="s">
        <v>21</v>
      </c>
      <c r="I460" s="10" t="s">
        <v>290</v>
      </c>
      <c r="J460" s="10" t="str">
        <f>""</f>
        <v/>
      </c>
      <c r="K460" s="10" t="str">
        <f>"PFES1162645383_0001"</f>
        <v>PFES1162645383_0001</v>
      </c>
      <c r="L460" s="10">
        <v>1</v>
      </c>
      <c r="M460" s="10">
        <v>1</v>
      </c>
    </row>
    <row r="461" spans="1:13">
      <c r="A461" s="8">
        <v>43348</v>
      </c>
      <c r="B461" s="9">
        <v>0.49374999999999997</v>
      </c>
      <c r="C461" s="10" t="str">
        <f>"FES1162645380"</f>
        <v>FES1162645380</v>
      </c>
      <c r="D461" s="10" t="s">
        <v>19</v>
      </c>
      <c r="E461" s="10" t="s">
        <v>413</v>
      </c>
      <c r="F461" s="10" t="str">
        <f>"2170650068 "</f>
        <v xml:space="preserve">2170650068 </v>
      </c>
      <c r="G461" s="10" t="str">
        <f t="shared" si="12"/>
        <v>ON1</v>
      </c>
      <c r="H461" s="10" t="s">
        <v>21</v>
      </c>
      <c r="I461" s="10" t="s">
        <v>414</v>
      </c>
      <c r="J461" s="10" t="str">
        <f>""</f>
        <v/>
      </c>
      <c r="K461" s="10" t="str">
        <f>"PFES1162645380_0001"</f>
        <v>PFES1162645380_0001</v>
      </c>
      <c r="L461" s="10">
        <v>1</v>
      </c>
      <c r="M461" s="10">
        <v>1</v>
      </c>
    </row>
    <row r="462" spans="1:13">
      <c r="A462" s="8">
        <v>43348</v>
      </c>
      <c r="B462" s="9">
        <v>0.49305555555555558</v>
      </c>
      <c r="C462" s="10" t="str">
        <f>"FES1162645373"</f>
        <v>FES1162645373</v>
      </c>
      <c r="D462" s="10" t="s">
        <v>19</v>
      </c>
      <c r="E462" s="10" t="s">
        <v>368</v>
      </c>
      <c r="F462" s="10" t="str">
        <f>"2170650260 "</f>
        <v xml:space="preserve">2170650260 </v>
      </c>
      <c r="G462" s="10" t="str">
        <f t="shared" si="12"/>
        <v>ON1</v>
      </c>
      <c r="H462" s="10" t="s">
        <v>21</v>
      </c>
      <c r="I462" s="10" t="s">
        <v>290</v>
      </c>
      <c r="J462" s="10" t="str">
        <f>""</f>
        <v/>
      </c>
      <c r="K462" s="10" t="str">
        <f>"PFES1162645373_0001"</f>
        <v>PFES1162645373_0001</v>
      </c>
      <c r="L462" s="10">
        <v>1</v>
      </c>
      <c r="M462" s="10">
        <v>1</v>
      </c>
    </row>
    <row r="463" spans="1:13">
      <c r="A463" s="8">
        <v>43348</v>
      </c>
      <c r="B463" s="9">
        <v>0.49305555555555558</v>
      </c>
      <c r="C463" s="10" t="str">
        <f>"FES1162645366"</f>
        <v>FES1162645366</v>
      </c>
      <c r="D463" s="10" t="s">
        <v>19</v>
      </c>
      <c r="E463" s="10" t="s">
        <v>39</v>
      </c>
      <c r="F463" s="10" t="str">
        <f>"21720650252 "</f>
        <v xml:space="preserve">21720650252 </v>
      </c>
      <c r="G463" s="10" t="str">
        <f t="shared" si="12"/>
        <v>ON1</v>
      </c>
      <c r="H463" s="10" t="s">
        <v>21</v>
      </c>
      <c r="I463" s="10" t="s">
        <v>40</v>
      </c>
      <c r="J463" s="10" t="str">
        <f>""</f>
        <v/>
      </c>
      <c r="K463" s="10" t="str">
        <f>"PFES1162645366_0001"</f>
        <v>PFES1162645366_0001</v>
      </c>
      <c r="L463" s="10">
        <v>1</v>
      </c>
      <c r="M463" s="10">
        <v>1</v>
      </c>
    </row>
    <row r="464" spans="1:13">
      <c r="A464" s="8">
        <v>43348</v>
      </c>
      <c r="B464" s="9">
        <v>0.49236111111111108</v>
      </c>
      <c r="C464" s="10" t="str">
        <f>"FES1162645396"</f>
        <v>FES1162645396</v>
      </c>
      <c r="D464" s="10" t="s">
        <v>19</v>
      </c>
      <c r="E464" s="10" t="s">
        <v>39</v>
      </c>
      <c r="F464" s="10" t="str">
        <f>"2170650287 "</f>
        <v xml:space="preserve">2170650287 </v>
      </c>
      <c r="G464" s="10" t="str">
        <f t="shared" si="12"/>
        <v>ON1</v>
      </c>
      <c r="H464" s="10" t="s">
        <v>21</v>
      </c>
      <c r="I464" s="10" t="s">
        <v>40</v>
      </c>
      <c r="J464" s="10" t="str">
        <f>""</f>
        <v/>
      </c>
      <c r="K464" s="10" t="str">
        <f>"PFES1162645396_0001"</f>
        <v>PFES1162645396_0001</v>
      </c>
      <c r="L464" s="10">
        <v>1</v>
      </c>
      <c r="M464" s="10">
        <v>1</v>
      </c>
    </row>
    <row r="465" spans="1:13">
      <c r="A465" s="8">
        <v>43348</v>
      </c>
      <c r="B465" s="9">
        <v>0.4909722222222222</v>
      </c>
      <c r="C465" s="10" t="str">
        <f>"FES1162645365"</f>
        <v>FES1162645365</v>
      </c>
      <c r="D465" s="10" t="s">
        <v>19</v>
      </c>
      <c r="E465" s="10" t="s">
        <v>415</v>
      </c>
      <c r="F465" s="10" t="str">
        <f>"2170650245 "</f>
        <v xml:space="preserve">2170650245 </v>
      </c>
      <c r="G465" s="10" t="str">
        <f t="shared" si="12"/>
        <v>ON1</v>
      </c>
      <c r="H465" s="10" t="s">
        <v>21</v>
      </c>
      <c r="I465" s="10" t="s">
        <v>416</v>
      </c>
      <c r="J465" s="10" t="str">
        <f>""</f>
        <v/>
      </c>
      <c r="K465" s="10" t="str">
        <f>"PFES1162645365_0001"</f>
        <v>PFES1162645365_0001</v>
      </c>
      <c r="L465" s="10">
        <v>1</v>
      </c>
      <c r="M465" s="10">
        <v>1</v>
      </c>
    </row>
    <row r="466" spans="1:13">
      <c r="A466" s="8">
        <v>43348</v>
      </c>
      <c r="B466" s="9">
        <v>0.48958333333333331</v>
      </c>
      <c r="C466" s="10" t="str">
        <f>"FES1162645311"</f>
        <v>FES1162645311</v>
      </c>
      <c r="D466" s="10" t="s">
        <v>19</v>
      </c>
      <c r="E466" s="10" t="s">
        <v>417</v>
      </c>
      <c r="F466" s="10" t="str">
        <f>"2170648944 "</f>
        <v xml:space="preserve">2170648944 </v>
      </c>
      <c r="G466" s="10" t="str">
        <f t="shared" si="12"/>
        <v>ON1</v>
      </c>
      <c r="H466" s="10" t="s">
        <v>21</v>
      </c>
      <c r="I466" s="10" t="s">
        <v>418</v>
      </c>
      <c r="J466" s="10" t="str">
        <f>""</f>
        <v/>
      </c>
      <c r="K466" s="10" t="str">
        <f>"PFES1162645311_0001"</f>
        <v>PFES1162645311_0001</v>
      </c>
      <c r="L466" s="10">
        <v>1</v>
      </c>
      <c r="M466" s="10">
        <v>1</v>
      </c>
    </row>
    <row r="467" spans="1:13">
      <c r="A467" s="8">
        <v>43348</v>
      </c>
      <c r="B467" s="9">
        <v>0.46180555555555558</v>
      </c>
      <c r="C467" s="10" t="str">
        <f>"FES1162645309"</f>
        <v>FES1162645309</v>
      </c>
      <c r="D467" s="10" t="s">
        <v>19</v>
      </c>
      <c r="E467" s="10" t="s">
        <v>419</v>
      </c>
      <c r="F467" s="10" t="str">
        <f>"2170648777 "</f>
        <v xml:space="preserve">2170648777 </v>
      </c>
      <c r="G467" s="10" t="str">
        <f>"DBC"</f>
        <v>DBC</v>
      </c>
      <c r="H467" s="10" t="s">
        <v>21</v>
      </c>
      <c r="I467" s="10" t="s">
        <v>420</v>
      </c>
      <c r="J467" s="10" t="str">
        <f>""</f>
        <v/>
      </c>
      <c r="K467" s="10" t="str">
        <f>"PFES1162645309_0001"</f>
        <v>PFES1162645309_0001</v>
      </c>
      <c r="L467" s="10">
        <v>1</v>
      </c>
      <c r="M467" s="10">
        <v>27</v>
      </c>
    </row>
    <row r="468" spans="1:13">
      <c r="A468" s="8">
        <v>43348</v>
      </c>
      <c r="B468" s="9">
        <v>0.4604166666666667</v>
      </c>
      <c r="C468" s="10" t="str">
        <f>"FES1162645323"</f>
        <v>FES1162645323</v>
      </c>
      <c r="D468" s="10" t="s">
        <v>19</v>
      </c>
      <c r="E468" s="10" t="s">
        <v>397</v>
      </c>
      <c r="F468" s="10" t="str">
        <f>"2170650128 "</f>
        <v xml:space="preserve">2170650128 </v>
      </c>
      <c r="G468" s="10" t="str">
        <f t="shared" ref="G468:G485" si="13">"ON1"</f>
        <v>ON1</v>
      </c>
      <c r="H468" s="10" t="s">
        <v>21</v>
      </c>
      <c r="I468" s="10" t="s">
        <v>89</v>
      </c>
      <c r="J468" s="10" t="str">
        <f>""</f>
        <v/>
      </c>
      <c r="K468" s="10" t="str">
        <f>"PFES1162645323_0001"</f>
        <v>PFES1162645323_0001</v>
      </c>
      <c r="L468" s="10">
        <v>1</v>
      </c>
      <c r="M468" s="10">
        <v>13</v>
      </c>
    </row>
    <row r="469" spans="1:13">
      <c r="A469" s="8">
        <v>43348</v>
      </c>
      <c r="B469" s="9">
        <v>0.4597222222222222</v>
      </c>
      <c r="C469" s="10" t="str">
        <f>"FES1162645352"</f>
        <v>FES1162645352</v>
      </c>
      <c r="D469" s="10" t="s">
        <v>19</v>
      </c>
      <c r="E469" s="10" t="s">
        <v>421</v>
      </c>
      <c r="F469" s="10" t="str">
        <f>"2170650226 "</f>
        <v xml:space="preserve">2170650226 </v>
      </c>
      <c r="G469" s="10" t="str">
        <f t="shared" si="13"/>
        <v>ON1</v>
      </c>
      <c r="H469" s="10" t="s">
        <v>21</v>
      </c>
      <c r="I469" s="10" t="s">
        <v>206</v>
      </c>
      <c r="J469" s="10" t="str">
        <f>""</f>
        <v/>
      </c>
      <c r="K469" s="10" t="str">
        <f>"PFES1162645352_0001"</f>
        <v>PFES1162645352_0001</v>
      </c>
      <c r="L469" s="10">
        <v>1</v>
      </c>
      <c r="M469" s="10">
        <v>2</v>
      </c>
    </row>
    <row r="470" spans="1:13">
      <c r="A470" s="8">
        <v>43348</v>
      </c>
      <c r="B470" s="9">
        <v>0.45833333333333331</v>
      </c>
      <c r="C470" s="10" t="str">
        <f>"FES1162645306"</f>
        <v>FES1162645306</v>
      </c>
      <c r="D470" s="10" t="s">
        <v>19</v>
      </c>
      <c r="E470" s="10" t="s">
        <v>103</v>
      </c>
      <c r="F470" s="10" t="str">
        <f>"2170648356 "</f>
        <v xml:space="preserve">2170648356 </v>
      </c>
      <c r="G470" s="10" t="str">
        <f t="shared" si="13"/>
        <v>ON1</v>
      </c>
      <c r="H470" s="10" t="s">
        <v>21</v>
      </c>
      <c r="I470" s="10" t="s">
        <v>24</v>
      </c>
      <c r="J470" s="10" t="str">
        <f>""</f>
        <v/>
      </c>
      <c r="K470" s="10" t="str">
        <f>"PFES1162645306_0001"</f>
        <v>PFES1162645306_0001</v>
      </c>
      <c r="L470" s="10">
        <v>1</v>
      </c>
      <c r="M470" s="10">
        <v>6</v>
      </c>
    </row>
    <row r="471" spans="1:13">
      <c r="A471" s="8">
        <v>43348</v>
      </c>
      <c r="B471" s="9">
        <v>0.45763888888888887</v>
      </c>
      <c r="C471" s="10" t="str">
        <f>"FES1162645304"</f>
        <v>FES1162645304</v>
      </c>
      <c r="D471" s="10" t="s">
        <v>19</v>
      </c>
      <c r="E471" s="10" t="s">
        <v>422</v>
      </c>
      <c r="F471" s="10" t="str">
        <f>"2170647852 "</f>
        <v xml:space="preserve">2170647852 </v>
      </c>
      <c r="G471" s="10" t="str">
        <f t="shared" si="13"/>
        <v>ON1</v>
      </c>
      <c r="H471" s="10" t="s">
        <v>21</v>
      </c>
      <c r="I471" s="10" t="s">
        <v>42</v>
      </c>
      <c r="J471" s="10" t="str">
        <f>""</f>
        <v/>
      </c>
      <c r="K471" s="10" t="str">
        <f>"PFES1162645304_0001"</f>
        <v>PFES1162645304_0001</v>
      </c>
      <c r="L471" s="10">
        <v>1</v>
      </c>
      <c r="M471" s="10">
        <v>5</v>
      </c>
    </row>
    <row r="472" spans="1:13">
      <c r="A472" s="8">
        <v>43348</v>
      </c>
      <c r="B472" s="9">
        <v>0.45</v>
      </c>
      <c r="C472" s="10" t="str">
        <f>"FES1162645355"</f>
        <v>FES1162645355</v>
      </c>
      <c r="D472" s="10" t="s">
        <v>19</v>
      </c>
      <c r="E472" s="10" t="s">
        <v>423</v>
      </c>
      <c r="F472" s="10" t="str">
        <f>"2170650230 "</f>
        <v xml:space="preserve">2170650230 </v>
      </c>
      <c r="G472" s="10" t="str">
        <f t="shared" si="13"/>
        <v>ON1</v>
      </c>
      <c r="H472" s="10" t="s">
        <v>21</v>
      </c>
      <c r="I472" s="10" t="s">
        <v>159</v>
      </c>
      <c r="J472" s="10" t="str">
        <f>""</f>
        <v/>
      </c>
      <c r="K472" s="10" t="str">
        <f>"PFES1162645355_0001"</f>
        <v>PFES1162645355_0001</v>
      </c>
      <c r="L472" s="10">
        <v>1</v>
      </c>
      <c r="M472" s="10">
        <v>7</v>
      </c>
    </row>
    <row r="473" spans="1:13">
      <c r="A473" s="8">
        <v>43348</v>
      </c>
      <c r="B473" s="9">
        <v>0.4465277777777778</v>
      </c>
      <c r="C473" s="10" t="str">
        <f>"FES1162645315"</f>
        <v>FES1162645315</v>
      </c>
      <c r="D473" s="10" t="s">
        <v>19</v>
      </c>
      <c r="E473" s="10" t="s">
        <v>424</v>
      </c>
      <c r="F473" s="10" t="str">
        <f>"2170649654 "</f>
        <v xml:space="preserve">2170649654 </v>
      </c>
      <c r="G473" s="10" t="str">
        <f t="shared" si="13"/>
        <v>ON1</v>
      </c>
      <c r="H473" s="10" t="s">
        <v>21</v>
      </c>
      <c r="I473" s="10" t="s">
        <v>97</v>
      </c>
      <c r="J473" s="10" t="str">
        <f>""</f>
        <v/>
      </c>
      <c r="K473" s="10" t="str">
        <f>"PFES1162645315_0001"</f>
        <v>PFES1162645315_0001</v>
      </c>
      <c r="L473" s="10">
        <v>1</v>
      </c>
      <c r="M473" s="10">
        <v>3</v>
      </c>
    </row>
    <row r="474" spans="1:13">
      <c r="A474" s="8">
        <v>43348</v>
      </c>
      <c r="B474" s="9">
        <v>0.4458333333333333</v>
      </c>
      <c r="C474" s="10" t="str">
        <f>"FES1162645376"</f>
        <v>FES1162645376</v>
      </c>
      <c r="D474" s="10" t="s">
        <v>19</v>
      </c>
      <c r="E474" s="10" t="s">
        <v>351</v>
      </c>
      <c r="F474" s="10" t="str">
        <f>"2170650265 "</f>
        <v xml:space="preserve">2170650265 </v>
      </c>
      <c r="G474" s="10" t="str">
        <f t="shared" si="13"/>
        <v>ON1</v>
      </c>
      <c r="H474" s="10" t="s">
        <v>21</v>
      </c>
      <c r="I474" s="10" t="s">
        <v>308</v>
      </c>
      <c r="J474" s="10" t="str">
        <f>""</f>
        <v/>
      </c>
      <c r="K474" s="10" t="str">
        <f>"PFES1162645376_0001"</f>
        <v>PFES1162645376_0001</v>
      </c>
      <c r="L474" s="10">
        <v>1</v>
      </c>
      <c r="M474" s="10">
        <v>1</v>
      </c>
    </row>
    <row r="475" spans="1:13">
      <c r="A475" s="8">
        <v>43348</v>
      </c>
      <c r="B475" s="9">
        <v>0.44513888888888892</v>
      </c>
      <c r="C475" s="10" t="str">
        <f>"FES1162645336"</f>
        <v>FES1162645336</v>
      </c>
      <c r="D475" s="10" t="s">
        <v>19</v>
      </c>
      <c r="E475" s="10" t="s">
        <v>425</v>
      </c>
      <c r="F475" s="10" t="str">
        <f>"2170650205 "</f>
        <v xml:space="preserve">2170650205 </v>
      </c>
      <c r="G475" s="10" t="str">
        <f t="shared" si="13"/>
        <v>ON1</v>
      </c>
      <c r="H475" s="10" t="s">
        <v>21</v>
      </c>
      <c r="I475" s="10" t="s">
        <v>252</v>
      </c>
      <c r="J475" s="10" t="str">
        <f>""</f>
        <v/>
      </c>
      <c r="K475" s="10" t="str">
        <f>"PFES1162645336_0001"</f>
        <v>PFES1162645336_0001</v>
      </c>
      <c r="L475" s="10">
        <v>1</v>
      </c>
      <c r="M475" s="10">
        <v>1</v>
      </c>
    </row>
    <row r="476" spans="1:13">
      <c r="A476" s="8">
        <v>43348</v>
      </c>
      <c r="B476" s="9">
        <v>0.44513888888888892</v>
      </c>
      <c r="C476" s="10" t="str">
        <f>"FES1162645375"</f>
        <v>FES1162645375</v>
      </c>
      <c r="D476" s="10" t="s">
        <v>19</v>
      </c>
      <c r="E476" s="10" t="s">
        <v>426</v>
      </c>
      <c r="F476" s="10" t="str">
        <f>"2170+6450264 "</f>
        <v xml:space="preserve">2170+6450264 </v>
      </c>
      <c r="G476" s="10" t="str">
        <f t="shared" si="13"/>
        <v>ON1</v>
      </c>
      <c r="H476" s="10" t="s">
        <v>21</v>
      </c>
      <c r="I476" s="10" t="s">
        <v>150</v>
      </c>
      <c r="J476" s="10" t="str">
        <f>""</f>
        <v/>
      </c>
      <c r="K476" s="10" t="str">
        <f>"PFES1162645375_0001"</f>
        <v>PFES1162645375_0001</v>
      </c>
      <c r="L476" s="10">
        <v>1</v>
      </c>
      <c r="M476" s="10">
        <v>1</v>
      </c>
    </row>
    <row r="477" spans="1:13">
      <c r="A477" s="8">
        <v>43348</v>
      </c>
      <c r="B477" s="9">
        <v>0.44444444444444442</v>
      </c>
      <c r="C477" s="10" t="str">
        <f>"FES1162645329"</f>
        <v>FES1162645329</v>
      </c>
      <c r="D477" s="10" t="s">
        <v>19</v>
      </c>
      <c r="E477" s="10" t="s">
        <v>174</v>
      </c>
      <c r="F477" s="10" t="str">
        <f>"2170650194 "</f>
        <v xml:space="preserve">2170650194 </v>
      </c>
      <c r="G477" s="10" t="str">
        <f t="shared" si="13"/>
        <v>ON1</v>
      </c>
      <c r="H477" s="10" t="s">
        <v>21</v>
      </c>
      <c r="I477" s="10" t="s">
        <v>175</v>
      </c>
      <c r="J477" s="10" t="str">
        <f>""</f>
        <v/>
      </c>
      <c r="K477" s="10" t="str">
        <f>"PFES1162645329_0001"</f>
        <v>PFES1162645329_0001</v>
      </c>
      <c r="L477" s="10">
        <v>1</v>
      </c>
      <c r="M477" s="10">
        <v>1</v>
      </c>
    </row>
    <row r="478" spans="1:13">
      <c r="A478" s="8">
        <v>43348</v>
      </c>
      <c r="B478" s="9">
        <v>0.44444444444444442</v>
      </c>
      <c r="C478" s="10" t="str">
        <f>"FES1162645307"</f>
        <v>FES1162645307</v>
      </c>
      <c r="D478" s="10" t="s">
        <v>19</v>
      </c>
      <c r="E478" s="10" t="s">
        <v>162</v>
      </c>
      <c r="F478" s="10" t="str">
        <f>"2170648548 "</f>
        <v xml:space="preserve">2170648548 </v>
      </c>
      <c r="G478" s="10" t="str">
        <f t="shared" si="13"/>
        <v>ON1</v>
      </c>
      <c r="H478" s="10" t="s">
        <v>21</v>
      </c>
      <c r="I478" s="10" t="s">
        <v>30</v>
      </c>
      <c r="J478" s="10" t="str">
        <f>""</f>
        <v/>
      </c>
      <c r="K478" s="10" t="str">
        <f>"PFES1162645307_0001"</f>
        <v>PFES1162645307_0001</v>
      </c>
      <c r="L478" s="10">
        <v>1</v>
      </c>
      <c r="M478" s="10">
        <v>2</v>
      </c>
    </row>
    <row r="479" spans="1:13">
      <c r="A479" s="8">
        <v>43348</v>
      </c>
      <c r="B479" s="9">
        <v>0.44444444444444442</v>
      </c>
      <c r="C479" s="10" t="str">
        <f>"FES1162645302"</f>
        <v>FES1162645302</v>
      </c>
      <c r="D479" s="10" t="s">
        <v>19</v>
      </c>
      <c r="E479" s="10" t="s">
        <v>422</v>
      </c>
      <c r="F479" s="10" t="str">
        <f>"2170647568 "</f>
        <v xml:space="preserve">2170647568 </v>
      </c>
      <c r="G479" s="10" t="str">
        <f t="shared" si="13"/>
        <v>ON1</v>
      </c>
      <c r="H479" s="10" t="s">
        <v>21</v>
      </c>
      <c r="I479" s="10" t="s">
        <v>42</v>
      </c>
      <c r="J479" s="10" t="str">
        <f>""</f>
        <v/>
      </c>
      <c r="K479" s="10" t="str">
        <f>"PFES1162645302_0001"</f>
        <v>PFES1162645302_0001</v>
      </c>
      <c r="L479" s="10">
        <v>1</v>
      </c>
      <c r="M479" s="10">
        <v>1</v>
      </c>
    </row>
    <row r="480" spans="1:13">
      <c r="A480" s="8">
        <v>43348</v>
      </c>
      <c r="B480" s="9">
        <v>0.44444444444444442</v>
      </c>
      <c r="C480" s="10" t="str">
        <f>"FES1162645367"</f>
        <v>FES1162645367</v>
      </c>
      <c r="D480" s="10" t="s">
        <v>19</v>
      </c>
      <c r="E480" s="10" t="s">
        <v>251</v>
      </c>
      <c r="F480" s="10" t="str">
        <f>"2170650253 "</f>
        <v xml:space="preserve">2170650253 </v>
      </c>
      <c r="G480" s="10" t="str">
        <f t="shared" si="13"/>
        <v>ON1</v>
      </c>
      <c r="H480" s="10" t="s">
        <v>21</v>
      </c>
      <c r="I480" s="10" t="s">
        <v>252</v>
      </c>
      <c r="J480" s="10" t="str">
        <f>""</f>
        <v/>
      </c>
      <c r="K480" s="10" t="str">
        <f>"PFES1162645367_0001"</f>
        <v>PFES1162645367_0001</v>
      </c>
      <c r="L480" s="10">
        <v>1</v>
      </c>
      <c r="M480" s="10">
        <v>1</v>
      </c>
    </row>
    <row r="481" spans="1:13">
      <c r="A481" s="8">
        <v>43348</v>
      </c>
      <c r="B481" s="9">
        <v>0.44375000000000003</v>
      </c>
      <c r="C481" s="10" t="str">
        <f>"FES1162645301"</f>
        <v>FES1162645301</v>
      </c>
      <c r="D481" s="10" t="s">
        <v>19</v>
      </c>
      <c r="E481" s="10" t="s">
        <v>174</v>
      </c>
      <c r="F481" s="10" t="str">
        <f>"2170646765 "</f>
        <v xml:space="preserve">2170646765 </v>
      </c>
      <c r="G481" s="10" t="str">
        <f t="shared" si="13"/>
        <v>ON1</v>
      </c>
      <c r="H481" s="10" t="s">
        <v>21</v>
      </c>
      <c r="I481" s="10" t="s">
        <v>175</v>
      </c>
      <c r="J481" s="10" t="str">
        <f>""</f>
        <v/>
      </c>
      <c r="K481" s="10" t="str">
        <f>"PFES1162645301_0001"</f>
        <v>PFES1162645301_0001</v>
      </c>
      <c r="L481" s="10">
        <v>1</v>
      </c>
      <c r="M481" s="10">
        <v>1</v>
      </c>
    </row>
    <row r="482" spans="1:13">
      <c r="A482" s="8">
        <v>43348</v>
      </c>
      <c r="B482" s="9">
        <v>0.44375000000000003</v>
      </c>
      <c r="C482" s="10" t="str">
        <f>"FES1162645303"</f>
        <v>FES1162645303</v>
      </c>
      <c r="D482" s="10" t="s">
        <v>19</v>
      </c>
      <c r="E482" s="10" t="s">
        <v>422</v>
      </c>
      <c r="F482" s="10" t="str">
        <f>"2170647850 "</f>
        <v xml:space="preserve">2170647850 </v>
      </c>
      <c r="G482" s="10" t="str">
        <f t="shared" si="13"/>
        <v>ON1</v>
      </c>
      <c r="H482" s="10" t="s">
        <v>21</v>
      </c>
      <c r="I482" s="10" t="s">
        <v>42</v>
      </c>
      <c r="J482" s="10" t="str">
        <f>""</f>
        <v/>
      </c>
      <c r="K482" s="10" t="str">
        <f>"PFES1162645303_0001"</f>
        <v>PFES1162645303_0001</v>
      </c>
      <c r="L482" s="10">
        <v>1</v>
      </c>
      <c r="M482" s="10">
        <v>1</v>
      </c>
    </row>
    <row r="483" spans="1:13">
      <c r="A483" s="8">
        <v>43348</v>
      </c>
      <c r="B483" s="9">
        <v>0.44305555555555554</v>
      </c>
      <c r="C483" s="10" t="str">
        <f>"FES1162645370"</f>
        <v>FES1162645370</v>
      </c>
      <c r="D483" s="10" t="s">
        <v>19</v>
      </c>
      <c r="E483" s="10" t="s">
        <v>113</v>
      </c>
      <c r="F483" s="10" t="str">
        <f>"2170650257 "</f>
        <v xml:space="preserve">2170650257 </v>
      </c>
      <c r="G483" s="10" t="str">
        <f t="shared" si="13"/>
        <v>ON1</v>
      </c>
      <c r="H483" s="10" t="s">
        <v>21</v>
      </c>
      <c r="I483" s="10" t="s">
        <v>114</v>
      </c>
      <c r="J483" s="10" t="str">
        <f>""</f>
        <v/>
      </c>
      <c r="K483" s="10" t="str">
        <f>"PFES1162645370_0001"</f>
        <v>PFES1162645370_0001</v>
      </c>
      <c r="L483" s="10">
        <v>1</v>
      </c>
      <c r="M483" s="10">
        <v>1</v>
      </c>
    </row>
    <row r="484" spans="1:13">
      <c r="A484" s="8">
        <v>43348</v>
      </c>
      <c r="B484" s="9">
        <v>0.44305555555555554</v>
      </c>
      <c r="C484" s="10" t="str">
        <f>"FES1162645318"</f>
        <v>FES1162645318</v>
      </c>
      <c r="D484" s="10" t="s">
        <v>19</v>
      </c>
      <c r="E484" s="10" t="s">
        <v>162</v>
      </c>
      <c r="F484" s="10" t="str">
        <f>"2170649824 "</f>
        <v xml:space="preserve">2170649824 </v>
      </c>
      <c r="G484" s="10" t="str">
        <f t="shared" si="13"/>
        <v>ON1</v>
      </c>
      <c r="H484" s="10" t="s">
        <v>21</v>
      </c>
      <c r="I484" s="10" t="s">
        <v>30</v>
      </c>
      <c r="J484" s="10" t="str">
        <f>""</f>
        <v/>
      </c>
      <c r="K484" s="10" t="str">
        <f>"PFES1162645318_0001"</f>
        <v>PFES1162645318_0001</v>
      </c>
      <c r="L484" s="10">
        <v>1</v>
      </c>
      <c r="M484" s="10">
        <v>2</v>
      </c>
    </row>
    <row r="485" spans="1:13">
      <c r="A485" s="8">
        <v>43348</v>
      </c>
      <c r="B485" s="9">
        <v>0.44305555555555554</v>
      </c>
      <c r="C485" s="10" t="str">
        <f>"FES1162645363"</f>
        <v>FES1162645363</v>
      </c>
      <c r="D485" s="10" t="s">
        <v>19</v>
      </c>
      <c r="E485" s="10" t="s">
        <v>94</v>
      </c>
      <c r="F485" s="10" t="str">
        <f>"2170650243 "</f>
        <v xml:space="preserve">2170650243 </v>
      </c>
      <c r="G485" s="10" t="str">
        <f t="shared" si="13"/>
        <v>ON1</v>
      </c>
      <c r="H485" s="10" t="s">
        <v>21</v>
      </c>
      <c r="I485" s="10" t="s">
        <v>95</v>
      </c>
      <c r="J485" s="10" t="str">
        <f>""</f>
        <v/>
      </c>
      <c r="K485" s="10" t="str">
        <f>"PFES1162645363_0001"</f>
        <v>PFES1162645363_0001</v>
      </c>
      <c r="L485" s="10">
        <v>1</v>
      </c>
      <c r="M485" s="10">
        <v>1</v>
      </c>
    </row>
    <row r="486" spans="1:13">
      <c r="A486" s="8">
        <v>43348</v>
      </c>
      <c r="B486" s="9">
        <v>0.44097222222222227</v>
      </c>
      <c r="C486" s="10" t="str">
        <f>"FES1162645356"</f>
        <v>FES1162645356</v>
      </c>
      <c r="D486" s="10" t="s">
        <v>19</v>
      </c>
      <c r="E486" s="10" t="s">
        <v>411</v>
      </c>
      <c r="F486" s="10" t="str">
        <f>"2170650231 "</f>
        <v xml:space="preserve">2170650231 </v>
      </c>
      <c r="G486" s="10" t="str">
        <f>"DBC"</f>
        <v>DBC</v>
      </c>
      <c r="H486" s="10" t="s">
        <v>21</v>
      </c>
      <c r="I486" s="10" t="s">
        <v>83</v>
      </c>
      <c r="J486" s="10" t="str">
        <f>"FRAGILE OIL"</f>
        <v>FRAGILE OIL</v>
      </c>
      <c r="K486" s="10" t="str">
        <f>"PFES1162645356_0001"</f>
        <v>PFES1162645356_0001</v>
      </c>
      <c r="L486" s="10">
        <v>1</v>
      </c>
      <c r="M486" s="10">
        <v>4</v>
      </c>
    </row>
    <row r="487" spans="1:13">
      <c r="A487" s="8">
        <v>43348</v>
      </c>
      <c r="B487" s="9">
        <v>0.43888888888888888</v>
      </c>
      <c r="C487" s="10" t="str">
        <f>"FES1162645292"</f>
        <v>FES1162645292</v>
      </c>
      <c r="D487" s="10" t="s">
        <v>19</v>
      </c>
      <c r="E487" s="10" t="s">
        <v>427</v>
      </c>
      <c r="F487" s="10" t="str">
        <f>"2170647823 "</f>
        <v xml:space="preserve">2170647823 </v>
      </c>
      <c r="G487" s="10" t="str">
        <f t="shared" ref="G487:G550" si="14">"ON1"</f>
        <v>ON1</v>
      </c>
      <c r="H487" s="10" t="s">
        <v>21</v>
      </c>
      <c r="I487" s="10" t="s">
        <v>26</v>
      </c>
      <c r="J487" s="10" t="str">
        <f>""</f>
        <v/>
      </c>
      <c r="K487" s="10" t="str">
        <f>"PFES1162645292_0001"</f>
        <v>PFES1162645292_0001</v>
      </c>
      <c r="L487" s="10">
        <v>1</v>
      </c>
      <c r="M487" s="10">
        <v>3</v>
      </c>
    </row>
    <row r="488" spans="1:13">
      <c r="A488" s="8">
        <v>43348</v>
      </c>
      <c r="B488" s="9">
        <v>0.4368055555555555</v>
      </c>
      <c r="C488" s="10" t="str">
        <f>"FES1162645346"</f>
        <v>FES1162645346</v>
      </c>
      <c r="D488" s="10" t="s">
        <v>19</v>
      </c>
      <c r="E488" s="10" t="s">
        <v>192</v>
      </c>
      <c r="F488" s="10" t="str">
        <f>"2170650219 "</f>
        <v xml:space="preserve">2170650219 </v>
      </c>
      <c r="G488" s="10" t="str">
        <f t="shared" si="14"/>
        <v>ON1</v>
      </c>
      <c r="H488" s="10" t="s">
        <v>21</v>
      </c>
      <c r="I488" s="10" t="s">
        <v>193</v>
      </c>
      <c r="J488" s="10" t="str">
        <f>""</f>
        <v/>
      </c>
      <c r="K488" s="10" t="str">
        <f>"PFES1162645346_0001"</f>
        <v>PFES1162645346_0001</v>
      </c>
      <c r="L488" s="10">
        <v>1</v>
      </c>
      <c r="M488" s="10">
        <v>2</v>
      </c>
    </row>
    <row r="489" spans="1:13">
      <c r="A489" s="8">
        <v>43348</v>
      </c>
      <c r="B489" s="9">
        <v>0.42777777777777781</v>
      </c>
      <c r="C489" s="10" t="str">
        <f>"FES1162645369"</f>
        <v>FES1162645369</v>
      </c>
      <c r="D489" s="10" t="s">
        <v>19</v>
      </c>
      <c r="E489" s="10" t="s">
        <v>428</v>
      </c>
      <c r="F489" s="10" t="str">
        <f>"2170650256 "</f>
        <v xml:space="preserve">2170650256 </v>
      </c>
      <c r="G489" s="10" t="str">
        <f t="shared" si="14"/>
        <v>ON1</v>
      </c>
      <c r="H489" s="10" t="s">
        <v>21</v>
      </c>
      <c r="I489" s="10" t="s">
        <v>429</v>
      </c>
      <c r="J489" s="10" t="str">
        <f>""</f>
        <v/>
      </c>
      <c r="K489" s="10" t="str">
        <f>"PFES1162645369_0001"</f>
        <v>PFES1162645369_0001</v>
      </c>
      <c r="L489" s="10">
        <v>1</v>
      </c>
      <c r="M489" s="10">
        <v>1</v>
      </c>
    </row>
    <row r="490" spans="1:13">
      <c r="A490" s="8">
        <v>43348</v>
      </c>
      <c r="B490" s="9">
        <v>0.42708333333333331</v>
      </c>
      <c r="C490" s="10" t="str">
        <f>"FES1162645305"</f>
        <v>FES1162645305</v>
      </c>
      <c r="D490" s="10" t="s">
        <v>19</v>
      </c>
      <c r="E490" s="10" t="s">
        <v>422</v>
      </c>
      <c r="F490" s="10" t="str">
        <f>"2170647853 "</f>
        <v xml:space="preserve">2170647853 </v>
      </c>
      <c r="G490" s="10" t="str">
        <f t="shared" si="14"/>
        <v>ON1</v>
      </c>
      <c r="H490" s="10" t="s">
        <v>21</v>
      </c>
      <c r="I490" s="10" t="s">
        <v>42</v>
      </c>
      <c r="J490" s="10" t="str">
        <f>""</f>
        <v/>
      </c>
      <c r="K490" s="10" t="str">
        <f>"PFES1162645305_0001"</f>
        <v>PFES1162645305_0001</v>
      </c>
      <c r="L490" s="10">
        <v>1</v>
      </c>
      <c r="M490" s="10">
        <v>1</v>
      </c>
    </row>
    <row r="491" spans="1:13">
      <c r="A491" s="8">
        <v>43348</v>
      </c>
      <c r="B491" s="9">
        <v>0.42708333333333331</v>
      </c>
      <c r="C491" s="10" t="str">
        <f>"FES1162645322"</f>
        <v>FES1162645322</v>
      </c>
      <c r="D491" s="10" t="s">
        <v>19</v>
      </c>
      <c r="E491" s="10" t="s">
        <v>292</v>
      </c>
      <c r="F491" s="10" t="str">
        <f>"2170650063 "</f>
        <v xml:space="preserve">2170650063 </v>
      </c>
      <c r="G491" s="10" t="str">
        <f t="shared" si="14"/>
        <v>ON1</v>
      </c>
      <c r="H491" s="10" t="s">
        <v>21</v>
      </c>
      <c r="I491" s="10" t="s">
        <v>147</v>
      </c>
      <c r="J491" s="10" t="str">
        <f>""</f>
        <v/>
      </c>
      <c r="K491" s="10" t="str">
        <f>"PFES1162645322_0001"</f>
        <v>PFES1162645322_0001</v>
      </c>
      <c r="L491" s="10">
        <v>1</v>
      </c>
      <c r="M491" s="10">
        <v>1</v>
      </c>
    </row>
    <row r="492" spans="1:13">
      <c r="A492" s="8">
        <v>43348</v>
      </c>
      <c r="B492" s="9">
        <v>0.42638888888888887</v>
      </c>
      <c r="C492" s="10" t="str">
        <f>"FES1162645314"</f>
        <v>FES1162645314</v>
      </c>
      <c r="D492" s="10" t="s">
        <v>19</v>
      </c>
      <c r="E492" s="10" t="s">
        <v>430</v>
      </c>
      <c r="F492" s="10" t="str">
        <f>"2170649469 "</f>
        <v xml:space="preserve">2170649469 </v>
      </c>
      <c r="G492" s="10" t="str">
        <f t="shared" si="14"/>
        <v>ON1</v>
      </c>
      <c r="H492" s="10" t="s">
        <v>21</v>
      </c>
      <c r="I492" s="10" t="s">
        <v>431</v>
      </c>
      <c r="J492" s="10" t="str">
        <f>""</f>
        <v/>
      </c>
      <c r="K492" s="10" t="str">
        <f>"PFES1162645314_0001"</f>
        <v>PFES1162645314_0001</v>
      </c>
      <c r="L492" s="10">
        <v>1</v>
      </c>
      <c r="M492" s="10">
        <v>1</v>
      </c>
    </row>
    <row r="493" spans="1:13">
      <c r="A493" s="8">
        <v>43348</v>
      </c>
      <c r="B493" s="9">
        <v>0.42638888888888887</v>
      </c>
      <c r="C493" s="10" t="str">
        <f>"FES1162645332"</f>
        <v>FES1162645332</v>
      </c>
      <c r="D493" s="10" t="s">
        <v>19</v>
      </c>
      <c r="E493" s="10" t="s">
        <v>37</v>
      </c>
      <c r="F493" s="10" t="str">
        <f>"2170650198 "</f>
        <v xml:space="preserve">2170650198 </v>
      </c>
      <c r="G493" s="10" t="str">
        <f t="shared" si="14"/>
        <v>ON1</v>
      </c>
      <c r="H493" s="10" t="s">
        <v>21</v>
      </c>
      <c r="I493" s="10" t="s">
        <v>26</v>
      </c>
      <c r="J493" s="10" t="str">
        <f>""</f>
        <v/>
      </c>
      <c r="K493" s="10" t="str">
        <f>"PFES1162645332_0001"</f>
        <v>PFES1162645332_0001</v>
      </c>
      <c r="L493" s="10">
        <v>1</v>
      </c>
      <c r="M493" s="10">
        <v>1</v>
      </c>
    </row>
    <row r="494" spans="1:13">
      <c r="A494" s="8">
        <v>43348</v>
      </c>
      <c r="B494" s="9">
        <v>0.42638888888888887</v>
      </c>
      <c r="C494" s="10" t="str">
        <f>"FES1162645368"</f>
        <v>FES1162645368</v>
      </c>
      <c r="D494" s="10" t="s">
        <v>19</v>
      </c>
      <c r="E494" s="10" t="s">
        <v>37</v>
      </c>
      <c r="F494" s="10" t="str">
        <f>"2170650255 "</f>
        <v xml:space="preserve">2170650255 </v>
      </c>
      <c r="G494" s="10" t="str">
        <f t="shared" si="14"/>
        <v>ON1</v>
      </c>
      <c r="H494" s="10" t="s">
        <v>21</v>
      </c>
      <c r="I494" s="10" t="s">
        <v>26</v>
      </c>
      <c r="J494" s="10" t="str">
        <f>""</f>
        <v/>
      </c>
      <c r="K494" s="10" t="str">
        <f>"PFES1162645368_0001"</f>
        <v>PFES1162645368_0001</v>
      </c>
      <c r="L494" s="10">
        <v>1</v>
      </c>
      <c r="M494" s="10">
        <v>1</v>
      </c>
    </row>
    <row r="495" spans="1:13">
      <c r="A495" s="8">
        <v>43348</v>
      </c>
      <c r="B495" s="9">
        <v>0.42569444444444443</v>
      </c>
      <c r="C495" s="10" t="str">
        <f>"FES1162645361"</f>
        <v>FES1162645361</v>
      </c>
      <c r="D495" s="10" t="s">
        <v>19</v>
      </c>
      <c r="E495" s="10" t="s">
        <v>411</v>
      </c>
      <c r="F495" s="10" t="str">
        <f>"21706502403 "</f>
        <v xml:space="preserve">21706502403 </v>
      </c>
      <c r="G495" s="10" t="str">
        <f t="shared" si="14"/>
        <v>ON1</v>
      </c>
      <c r="H495" s="10" t="s">
        <v>21</v>
      </c>
      <c r="I495" s="10" t="s">
        <v>83</v>
      </c>
      <c r="J495" s="10" t="str">
        <f>""</f>
        <v/>
      </c>
      <c r="K495" s="10" t="str">
        <f>"PFES1162645361_0001"</f>
        <v>PFES1162645361_0001</v>
      </c>
      <c r="L495" s="10">
        <v>1</v>
      </c>
      <c r="M495" s="10">
        <v>1</v>
      </c>
    </row>
    <row r="496" spans="1:13">
      <c r="A496" s="8">
        <v>43348</v>
      </c>
      <c r="B496" s="9">
        <v>0.42569444444444443</v>
      </c>
      <c r="C496" s="10" t="str">
        <f>"FES1162645347"</f>
        <v>FES1162645347</v>
      </c>
      <c r="D496" s="10" t="s">
        <v>19</v>
      </c>
      <c r="E496" s="10" t="s">
        <v>432</v>
      </c>
      <c r="F496" s="10" t="str">
        <f>"2170650220 "</f>
        <v xml:space="preserve">2170650220 </v>
      </c>
      <c r="G496" s="10" t="str">
        <f t="shared" si="14"/>
        <v>ON1</v>
      </c>
      <c r="H496" s="10" t="s">
        <v>21</v>
      </c>
      <c r="I496" s="10" t="s">
        <v>118</v>
      </c>
      <c r="J496" s="10" t="str">
        <f>""</f>
        <v/>
      </c>
      <c r="K496" s="10" t="str">
        <f>"PFES1162645347_0001"</f>
        <v>PFES1162645347_0001</v>
      </c>
      <c r="L496" s="10">
        <v>1</v>
      </c>
      <c r="M496" s="10">
        <v>1</v>
      </c>
    </row>
    <row r="497" spans="1:13">
      <c r="A497" s="8">
        <v>43348</v>
      </c>
      <c r="B497" s="9">
        <v>0.42499999999999999</v>
      </c>
      <c r="C497" s="10" t="str">
        <f>"FES1162645321"</f>
        <v>FES1162645321</v>
      </c>
      <c r="D497" s="10" t="s">
        <v>19</v>
      </c>
      <c r="E497" s="10" t="s">
        <v>103</v>
      </c>
      <c r="F497" s="10" t="str">
        <f>"2170650062 "</f>
        <v xml:space="preserve">2170650062 </v>
      </c>
      <c r="G497" s="10" t="str">
        <f t="shared" si="14"/>
        <v>ON1</v>
      </c>
      <c r="H497" s="10" t="s">
        <v>21</v>
      </c>
      <c r="I497" s="10" t="s">
        <v>433</v>
      </c>
      <c r="J497" s="10" t="str">
        <f>""</f>
        <v/>
      </c>
      <c r="K497" s="10" t="str">
        <f>"PFES1162645321_0001"</f>
        <v>PFES1162645321_0001</v>
      </c>
      <c r="L497" s="10">
        <v>1</v>
      </c>
      <c r="M497" s="10">
        <v>1</v>
      </c>
    </row>
    <row r="498" spans="1:13">
      <c r="A498" s="8">
        <v>43348</v>
      </c>
      <c r="B498" s="9">
        <v>0.42499999999999999</v>
      </c>
      <c r="C498" s="10" t="str">
        <f>"FES1162645308"</f>
        <v>FES1162645308</v>
      </c>
      <c r="D498" s="10" t="s">
        <v>19</v>
      </c>
      <c r="E498" s="10" t="s">
        <v>434</v>
      </c>
      <c r="F498" s="10" t="str">
        <f>"2170648692 "</f>
        <v xml:space="preserve">2170648692 </v>
      </c>
      <c r="G498" s="10" t="str">
        <f t="shared" si="14"/>
        <v>ON1</v>
      </c>
      <c r="H498" s="10" t="s">
        <v>21</v>
      </c>
      <c r="I498" s="10" t="s">
        <v>30</v>
      </c>
      <c r="J498" s="10" t="str">
        <f>""</f>
        <v/>
      </c>
      <c r="K498" s="10" t="str">
        <f>"PFES1162645308_0001"</f>
        <v>PFES1162645308_0001</v>
      </c>
      <c r="L498" s="10">
        <v>1</v>
      </c>
      <c r="M498" s="10">
        <v>1</v>
      </c>
    </row>
    <row r="499" spans="1:13">
      <c r="A499" s="8">
        <v>43348</v>
      </c>
      <c r="B499" s="9">
        <v>0.42430555555555555</v>
      </c>
      <c r="C499" s="10" t="str">
        <f>"FES1162645362"</f>
        <v>FES1162645362</v>
      </c>
      <c r="D499" s="10" t="s">
        <v>19</v>
      </c>
      <c r="E499" s="10" t="s">
        <v>141</v>
      </c>
      <c r="F499" s="10" t="str">
        <f>"2170650241 "</f>
        <v xml:space="preserve">2170650241 </v>
      </c>
      <c r="G499" s="10" t="str">
        <f t="shared" si="14"/>
        <v>ON1</v>
      </c>
      <c r="H499" s="10" t="s">
        <v>21</v>
      </c>
      <c r="I499" s="10" t="s">
        <v>91</v>
      </c>
      <c r="J499" s="10" t="str">
        <f>""</f>
        <v/>
      </c>
      <c r="K499" s="10" t="str">
        <f>"PFES1162645362_0001"</f>
        <v>PFES1162645362_0001</v>
      </c>
      <c r="L499" s="10">
        <v>1</v>
      </c>
      <c r="M499" s="10">
        <v>1</v>
      </c>
    </row>
    <row r="500" spans="1:13">
      <c r="A500" s="8">
        <v>43348</v>
      </c>
      <c r="B500" s="9">
        <v>0.42430555555555555</v>
      </c>
      <c r="C500" s="10" t="str">
        <f>"FES1162645312"</f>
        <v>FES1162645312</v>
      </c>
      <c r="D500" s="10" t="s">
        <v>19</v>
      </c>
      <c r="E500" s="10" t="s">
        <v>305</v>
      </c>
      <c r="F500" s="10" t="str">
        <f>"2170649170 "</f>
        <v xml:space="preserve">2170649170 </v>
      </c>
      <c r="G500" s="10" t="str">
        <f t="shared" si="14"/>
        <v>ON1</v>
      </c>
      <c r="H500" s="10" t="s">
        <v>21</v>
      </c>
      <c r="I500" s="10" t="s">
        <v>306</v>
      </c>
      <c r="J500" s="10" t="str">
        <f>""</f>
        <v/>
      </c>
      <c r="K500" s="10" t="str">
        <f>"PFES1162645312_0001"</f>
        <v>PFES1162645312_0001</v>
      </c>
      <c r="L500" s="10">
        <v>1</v>
      </c>
      <c r="M500" s="10">
        <v>1</v>
      </c>
    </row>
    <row r="501" spans="1:13">
      <c r="A501" s="8">
        <v>43348</v>
      </c>
      <c r="B501" s="9">
        <v>0.42430555555555555</v>
      </c>
      <c r="C501" s="10" t="str">
        <f>"FES1162645345"</f>
        <v>FES1162645345</v>
      </c>
      <c r="D501" s="10" t="s">
        <v>19</v>
      </c>
      <c r="E501" s="10" t="s">
        <v>435</v>
      </c>
      <c r="F501" s="10" t="str">
        <f>"2170650218 "</f>
        <v xml:space="preserve">2170650218 </v>
      </c>
      <c r="G501" s="10" t="str">
        <f t="shared" si="14"/>
        <v>ON1</v>
      </c>
      <c r="H501" s="10" t="s">
        <v>21</v>
      </c>
      <c r="I501" s="10" t="s">
        <v>217</v>
      </c>
      <c r="J501" s="10" t="str">
        <f>""</f>
        <v/>
      </c>
      <c r="K501" s="10" t="str">
        <f>"PFES1162645345_0001"</f>
        <v>PFES1162645345_0001</v>
      </c>
      <c r="L501" s="10">
        <v>1</v>
      </c>
      <c r="M501" s="10">
        <v>1</v>
      </c>
    </row>
    <row r="502" spans="1:13">
      <c r="A502" s="8">
        <v>43348</v>
      </c>
      <c r="B502" s="9">
        <v>0.4236111111111111</v>
      </c>
      <c r="C502" s="10" t="str">
        <f>"FES1162645316"</f>
        <v>FES1162645316</v>
      </c>
      <c r="D502" s="10" t="s">
        <v>19</v>
      </c>
      <c r="E502" s="10" t="s">
        <v>436</v>
      </c>
      <c r="F502" s="10" t="str">
        <f>"2170649799 "</f>
        <v xml:space="preserve">2170649799 </v>
      </c>
      <c r="G502" s="10" t="str">
        <f t="shared" si="14"/>
        <v>ON1</v>
      </c>
      <c r="H502" s="10" t="s">
        <v>21</v>
      </c>
      <c r="I502" s="10" t="s">
        <v>24</v>
      </c>
      <c r="J502" s="10" t="str">
        <f>""</f>
        <v/>
      </c>
      <c r="K502" s="10" t="str">
        <f>"PFES1162645316_0001"</f>
        <v>PFES1162645316_0001</v>
      </c>
      <c r="L502" s="10">
        <v>1</v>
      </c>
      <c r="M502" s="10">
        <v>1</v>
      </c>
    </row>
    <row r="503" spans="1:13">
      <c r="A503" s="8">
        <v>43348</v>
      </c>
      <c r="B503" s="9">
        <v>0.42291666666666666</v>
      </c>
      <c r="C503" s="10" t="str">
        <f>"FES1162645344"</f>
        <v>FES1162645344</v>
      </c>
      <c r="D503" s="10" t="s">
        <v>19</v>
      </c>
      <c r="E503" s="10" t="s">
        <v>136</v>
      </c>
      <c r="F503" s="10" t="str">
        <f>"21706450217 "</f>
        <v xml:space="preserve">21706450217 </v>
      </c>
      <c r="G503" s="10" t="str">
        <f t="shared" si="14"/>
        <v>ON1</v>
      </c>
      <c r="H503" s="10" t="s">
        <v>21</v>
      </c>
      <c r="I503" s="10" t="s">
        <v>24</v>
      </c>
      <c r="J503" s="10" t="str">
        <f>""</f>
        <v/>
      </c>
      <c r="K503" s="10" t="str">
        <f>"PFES1162645344_0001"</f>
        <v>PFES1162645344_0001</v>
      </c>
      <c r="L503" s="10">
        <v>1</v>
      </c>
      <c r="M503" s="10">
        <v>1</v>
      </c>
    </row>
    <row r="504" spans="1:13">
      <c r="A504" s="8">
        <v>43348</v>
      </c>
      <c r="B504" s="9">
        <v>0.42291666666666666</v>
      </c>
      <c r="C504" s="10" t="str">
        <f>"FES1162645328"</f>
        <v>FES1162645328</v>
      </c>
      <c r="D504" s="10" t="s">
        <v>19</v>
      </c>
      <c r="E504" s="10" t="s">
        <v>437</v>
      </c>
      <c r="F504" s="10" t="str">
        <f>"21706450193 "</f>
        <v xml:space="preserve">21706450193 </v>
      </c>
      <c r="G504" s="10" t="str">
        <f t="shared" si="14"/>
        <v>ON1</v>
      </c>
      <c r="H504" s="10" t="s">
        <v>21</v>
      </c>
      <c r="I504" s="10" t="s">
        <v>254</v>
      </c>
      <c r="J504" s="10" t="str">
        <f>""</f>
        <v/>
      </c>
      <c r="K504" s="10" t="str">
        <f>"PFES1162645328_0001"</f>
        <v>PFES1162645328_0001</v>
      </c>
      <c r="L504" s="10">
        <v>1</v>
      </c>
      <c r="M504" s="10">
        <v>1</v>
      </c>
    </row>
    <row r="505" spans="1:13">
      <c r="A505" s="8">
        <v>43348</v>
      </c>
      <c r="B505" s="9">
        <v>0.42291666666666666</v>
      </c>
      <c r="C505" s="10" t="str">
        <f>"FES1162645335"</f>
        <v>FES1162645335</v>
      </c>
      <c r="D505" s="10" t="s">
        <v>19</v>
      </c>
      <c r="E505" s="10" t="s">
        <v>403</v>
      </c>
      <c r="F505" s="10" t="str">
        <f>"2170640203 "</f>
        <v xml:space="preserve">2170640203 </v>
      </c>
      <c r="G505" s="10" t="str">
        <f t="shared" si="14"/>
        <v>ON1</v>
      </c>
      <c r="H505" s="10" t="s">
        <v>21</v>
      </c>
      <c r="I505" s="10" t="s">
        <v>24</v>
      </c>
      <c r="J505" s="10" t="str">
        <f>""</f>
        <v/>
      </c>
      <c r="K505" s="10" t="str">
        <f>"PFES1162645335_0001"</f>
        <v>PFES1162645335_0001</v>
      </c>
      <c r="L505" s="10">
        <v>1</v>
      </c>
      <c r="M505" s="10">
        <v>1</v>
      </c>
    </row>
    <row r="506" spans="1:13">
      <c r="A506" s="8">
        <v>43348</v>
      </c>
      <c r="B506" s="9">
        <v>0.42222222222222222</v>
      </c>
      <c r="C506" s="10" t="str">
        <f>"FES1162645299"</f>
        <v>FES1162645299</v>
      </c>
      <c r="D506" s="10" t="s">
        <v>19</v>
      </c>
      <c r="E506" s="10" t="s">
        <v>174</v>
      </c>
      <c r="F506" s="10" t="str">
        <f>"2170644454 "</f>
        <v xml:space="preserve">2170644454 </v>
      </c>
      <c r="G506" s="10" t="str">
        <f t="shared" si="14"/>
        <v>ON1</v>
      </c>
      <c r="H506" s="10" t="s">
        <v>21</v>
      </c>
      <c r="I506" s="10" t="s">
        <v>175</v>
      </c>
      <c r="J506" s="10" t="str">
        <f>""</f>
        <v/>
      </c>
      <c r="K506" s="10" t="str">
        <f>"PFES1162645299_0001"</f>
        <v>PFES1162645299_0001</v>
      </c>
      <c r="L506" s="10">
        <v>1</v>
      </c>
      <c r="M506" s="10">
        <v>1</v>
      </c>
    </row>
    <row r="507" spans="1:13">
      <c r="A507" s="8">
        <v>43348</v>
      </c>
      <c r="B507" s="9">
        <v>0.42222222222222222</v>
      </c>
      <c r="C507" s="10" t="str">
        <f>"FES1162645330"</f>
        <v>FES1162645330</v>
      </c>
      <c r="D507" s="10" t="s">
        <v>19</v>
      </c>
      <c r="E507" s="10" t="s">
        <v>70</v>
      </c>
      <c r="F507" s="10" t="str">
        <f>"2170650195 "</f>
        <v xml:space="preserve">2170650195 </v>
      </c>
      <c r="G507" s="10" t="str">
        <f t="shared" si="14"/>
        <v>ON1</v>
      </c>
      <c r="H507" s="10" t="s">
        <v>21</v>
      </c>
      <c r="I507" s="10" t="s">
        <v>57</v>
      </c>
      <c r="J507" s="10" t="str">
        <f>""</f>
        <v/>
      </c>
      <c r="K507" s="10" t="str">
        <f>"PFES1162645330_0001"</f>
        <v>PFES1162645330_0001</v>
      </c>
      <c r="L507" s="10">
        <v>1</v>
      </c>
      <c r="M507" s="10">
        <v>1</v>
      </c>
    </row>
    <row r="508" spans="1:13">
      <c r="A508" s="8">
        <v>43348</v>
      </c>
      <c r="B508" s="9">
        <v>0.42152777777777778</v>
      </c>
      <c r="C508" s="10" t="str">
        <f>"FES1162645310"</f>
        <v>FES1162645310</v>
      </c>
      <c r="D508" s="10" t="s">
        <v>19</v>
      </c>
      <c r="E508" s="10" t="s">
        <v>295</v>
      </c>
      <c r="F508" s="10" t="str">
        <f>"2170648924 "</f>
        <v xml:space="preserve">2170648924 </v>
      </c>
      <c r="G508" s="10" t="str">
        <f t="shared" si="14"/>
        <v>ON1</v>
      </c>
      <c r="H508" s="10" t="s">
        <v>21</v>
      </c>
      <c r="I508" s="10" t="s">
        <v>42</v>
      </c>
      <c r="J508" s="10" t="str">
        <f>""</f>
        <v/>
      </c>
      <c r="K508" s="10" t="str">
        <f>"PFES1162645310_0001"</f>
        <v>PFES1162645310_0001</v>
      </c>
      <c r="L508" s="10">
        <v>1</v>
      </c>
      <c r="M508" s="10">
        <v>1</v>
      </c>
    </row>
    <row r="509" spans="1:13">
      <c r="A509" s="8">
        <v>43348</v>
      </c>
      <c r="B509" s="9">
        <v>0.42152777777777778</v>
      </c>
      <c r="C509" s="10" t="str">
        <f>"FES1162645339"</f>
        <v>FES1162645339</v>
      </c>
      <c r="D509" s="10" t="s">
        <v>19</v>
      </c>
      <c r="E509" s="10" t="s">
        <v>129</v>
      </c>
      <c r="F509" s="10" t="str">
        <f>"2170650212 "</f>
        <v xml:space="preserve">2170650212 </v>
      </c>
      <c r="G509" s="10" t="str">
        <f t="shared" si="14"/>
        <v>ON1</v>
      </c>
      <c r="H509" s="10" t="s">
        <v>21</v>
      </c>
      <c r="I509" s="10" t="s">
        <v>76</v>
      </c>
      <c r="J509" s="10" t="str">
        <f>""</f>
        <v/>
      </c>
      <c r="K509" s="10" t="str">
        <f>"PFES1162645339_0001"</f>
        <v>PFES1162645339_0001</v>
      </c>
      <c r="L509" s="10">
        <v>1</v>
      </c>
      <c r="M509" s="10">
        <v>1</v>
      </c>
    </row>
    <row r="510" spans="1:13">
      <c r="A510" s="8">
        <v>43348</v>
      </c>
      <c r="B510" s="9">
        <v>0.42083333333333334</v>
      </c>
      <c r="C510" s="10" t="str">
        <f>"FES1162645338"</f>
        <v>FES1162645338</v>
      </c>
      <c r="D510" s="10" t="s">
        <v>19</v>
      </c>
      <c r="E510" s="10" t="s">
        <v>438</v>
      </c>
      <c r="F510" s="10" t="str">
        <f>"2170650211 "</f>
        <v xml:space="preserve">2170650211 </v>
      </c>
      <c r="G510" s="10" t="str">
        <f t="shared" si="14"/>
        <v>ON1</v>
      </c>
      <c r="H510" s="10" t="s">
        <v>21</v>
      </c>
      <c r="I510" s="10" t="s">
        <v>439</v>
      </c>
      <c r="J510" s="10" t="str">
        <f>""</f>
        <v/>
      </c>
      <c r="K510" s="10" t="str">
        <f>"PFES1162645338_0001"</f>
        <v>PFES1162645338_0001</v>
      </c>
      <c r="L510" s="10">
        <v>1</v>
      </c>
      <c r="M510" s="10">
        <v>1</v>
      </c>
    </row>
    <row r="511" spans="1:13">
      <c r="A511" s="8">
        <v>43348</v>
      </c>
      <c r="B511" s="9">
        <v>0.42083333333333334</v>
      </c>
      <c r="C511" s="10" t="str">
        <f>"FES1162645324"</f>
        <v>FES1162645324</v>
      </c>
      <c r="D511" s="10" t="s">
        <v>19</v>
      </c>
      <c r="E511" s="10" t="s">
        <v>440</v>
      </c>
      <c r="F511" s="10" t="str">
        <f>"2170650173 "</f>
        <v xml:space="preserve">2170650173 </v>
      </c>
      <c r="G511" s="10" t="str">
        <f t="shared" si="14"/>
        <v>ON1</v>
      </c>
      <c r="H511" s="10" t="s">
        <v>21</v>
      </c>
      <c r="I511" s="10" t="s">
        <v>76</v>
      </c>
      <c r="J511" s="10" t="str">
        <f>""</f>
        <v/>
      </c>
      <c r="K511" s="10" t="str">
        <f>"PFES1162645324_0001"</f>
        <v>PFES1162645324_0001</v>
      </c>
      <c r="L511" s="10">
        <v>1</v>
      </c>
      <c r="M511" s="10">
        <v>1</v>
      </c>
    </row>
    <row r="512" spans="1:13">
      <c r="A512" s="8">
        <v>43348</v>
      </c>
      <c r="B512" s="9">
        <v>0.42083333333333334</v>
      </c>
      <c r="C512" s="10" t="str">
        <f>"FES1162645327"</f>
        <v>FES1162645327</v>
      </c>
      <c r="D512" s="10" t="s">
        <v>19</v>
      </c>
      <c r="E512" s="10" t="s">
        <v>441</v>
      </c>
      <c r="F512" s="10" t="str">
        <f>"21706450185 "</f>
        <v xml:space="preserve">21706450185 </v>
      </c>
      <c r="G512" s="10" t="str">
        <f t="shared" si="14"/>
        <v>ON1</v>
      </c>
      <c r="H512" s="10" t="s">
        <v>21</v>
      </c>
      <c r="I512" s="10" t="s">
        <v>348</v>
      </c>
      <c r="J512" s="10" t="str">
        <f>""</f>
        <v/>
      </c>
      <c r="K512" s="10" t="str">
        <f>"PFES1162645327_0001"</f>
        <v>PFES1162645327_0001</v>
      </c>
      <c r="L512" s="10">
        <v>1</v>
      </c>
      <c r="M512" s="10">
        <v>1</v>
      </c>
    </row>
    <row r="513" spans="1:13">
      <c r="A513" s="8">
        <v>43348</v>
      </c>
      <c r="B513" s="9">
        <v>0.4201388888888889</v>
      </c>
      <c r="C513" s="10" t="str">
        <f>"FES1162645331"</f>
        <v>FES1162645331</v>
      </c>
      <c r="D513" s="10" t="s">
        <v>19</v>
      </c>
      <c r="E513" s="10" t="s">
        <v>130</v>
      </c>
      <c r="F513" s="10" t="str">
        <f>"2170650196 "</f>
        <v xml:space="preserve">2170650196 </v>
      </c>
      <c r="G513" s="10" t="str">
        <f t="shared" si="14"/>
        <v>ON1</v>
      </c>
      <c r="H513" s="10" t="s">
        <v>21</v>
      </c>
      <c r="I513" s="10" t="s">
        <v>131</v>
      </c>
      <c r="J513" s="10" t="str">
        <f>""</f>
        <v/>
      </c>
      <c r="K513" s="10" t="str">
        <f>"PFES1162645331_0001"</f>
        <v>PFES1162645331_0001</v>
      </c>
      <c r="L513" s="10">
        <v>1</v>
      </c>
      <c r="M513" s="10">
        <v>1</v>
      </c>
    </row>
    <row r="514" spans="1:13">
      <c r="A514" s="8">
        <v>43348</v>
      </c>
      <c r="B514" s="9">
        <v>0.4201388888888889</v>
      </c>
      <c r="C514" s="10" t="str">
        <f>"FES1162645296"</f>
        <v>FES1162645296</v>
      </c>
      <c r="D514" s="10" t="s">
        <v>19</v>
      </c>
      <c r="E514" s="10" t="s">
        <v>174</v>
      </c>
      <c r="F514" s="10" t="str">
        <f>"2170642297 "</f>
        <v xml:space="preserve">2170642297 </v>
      </c>
      <c r="G514" s="10" t="str">
        <f t="shared" si="14"/>
        <v>ON1</v>
      </c>
      <c r="H514" s="10" t="s">
        <v>21</v>
      </c>
      <c r="I514" s="10" t="s">
        <v>175</v>
      </c>
      <c r="J514" s="10" t="str">
        <f>""</f>
        <v/>
      </c>
      <c r="K514" s="10" t="str">
        <f>"PFES1162645296_0001"</f>
        <v>PFES1162645296_0001</v>
      </c>
      <c r="L514" s="10">
        <v>1</v>
      </c>
      <c r="M514" s="10">
        <v>1</v>
      </c>
    </row>
    <row r="515" spans="1:13">
      <c r="A515" s="8">
        <v>43348</v>
      </c>
      <c r="B515" s="9">
        <v>0.41944444444444445</v>
      </c>
      <c r="C515" s="10" t="str">
        <f>"FES1162645300"</f>
        <v>FES1162645300</v>
      </c>
      <c r="D515" s="10" t="s">
        <v>19</v>
      </c>
      <c r="E515" s="10" t="s">
        <v>174</v>
      </c>
      <c r="F515" s="10" t="str">
        <f>"2170644571 "</f>
        <v xml:space="preserve">2170644571 </v>
      </c>
      <c r="G515" s="10" t="str">
        <f t="shared" si="14"/>
        <v>ON1</v>
      </c>
      <c r="H515" s="10" t="s">
        <v>21</v>
      </c>
      <c r="I515" s="10" t="s">
        <v>175</v>
      </c>
      <c r="J515" s="10" t="str">
        <f>""</f>
        <v/>
      </c>
      <c r="K515" s="10" t="str">
        <f>"PFES1162645300_0001"</f>
        <v>PFES1162645300_0001</v>
      </c>
      <c r="L515" s="10">
        <v>1</v>
      </c>
      <c r="M515" s="10">
        <v>1</v>
      </c>
    </row>
    <row r="516" spans="1:13">
      <c r="A516" s="8">
        <v>43348</v>
      </c>
      <c r="B516" s="9">
        <v>0.41875000000000001</v>
      </c>
      <c r="C516" s="10" t="str">
        <f>"FES1162645359"</f>
        <v>FES1162645359</v>
      </c>
      <c r="D516" s="10" t="s">
        <v>19</v>
      </c>
      <c r="E516" s="10" t="s">
        <v>411</v>
      </c>
      <c r="F516" s="10" t="str">
        <f>"2170650236 "</f>
        <v xml:space="preserve">2170650236 </v>
      </c>
      <c r="G516" s="10" t="str">
        <f t="shared" si="14"/>
        <v>ON1</v>
      </c>
      <c r="H516" s="10" t="s">
        <v>21</v>
      </c>
      <c r="I516" s="10" t="s">
        <v>83</v>
      </c>
      <c r="J516" s="10" t="str">
        <f>""</f>
        <v/>
      </c>
      <c r="K516" s="10" t="str">
        <f>"PFES1162645359_0001"</f>
        <v>PFES1162645359_0001</v>
      </c>
      <c r="L516" s="10">
        <v>1</v>
      </c>
      <c r="M516" s="10">
        <v>1</v>
      </c>
    </row>
    <row r="517" spans="1:13">
      <c r="A517" s="8">
        <v>43348</v>
      </c>
      <c r="B517" s="9">
        <v>0.41805555555555557</v>
      </c>
      <c r="C517" s="10" t="str">
        <f>"FES1162645319"</f>
        <v>FES1162645319</v>
      </c>
      <c r="D517" s="10" t="s">
        <v>19</v>
      </c>
      <c r="E517" s="10" t="s">
        <v>136</v>
      </c>
      <c r="F517" s="10" t="str">
        <f>"2170649842 "</f>
        <v xml:space="preserve">2170649842 </v>
      </c>
      <c r="G517" s="10" t="str">
        <f t="shared" si="14"/>
        <v>ON1</v>
      </c>
      <c r="H517" s="10" t="s">
        <v>21</v>
      </c>
      <c r="I517" s="10" t="s">
        <v>24</v>
      </c>
      <c r="J517" s="10" t="str">
        <f>""</f>
        <v/>
      </c>
      <c r="K517" s="10" t="str">
        <f>"PFES1162645319_0001"</f>
        <v>PFES1162645319_0001</v>
      </c>
      <c r="L517" s="10">
        <v>1</v>
      </c>
      <c r="M517" s="10">
        <v>1</v>
      </c>
    </row>
    <row r="518" spans="1:13">
      <c r="A518" s="8">
        <v>43348</v>
      </c>
      <c r="B518" s="9">
        <v>0.41736111111111113</v>
      </c>
      <c r="C518" s="10" t="str">
        <f>"FES1162645317"</f>
        <v>FES1162645317</v>
      </c>
      <c r="D518" s="10" t="s">
        <v>19</v>
      </c>
      <c r="E518" s="10" t="s">
        <v>332</v>
      </c>
      <c r="F518" s="10" t="str">
        <f>"2170649816 "</f>
        <v xml:space="preserve">2170649816 </v>
      </c>
      <c r="G518" s="10" t="str">
        <f t="shared" si="14"/>
        <v>ON1</v>
      </c>
      <c r="H518" s="10" t="s">
        <v>21</v>
      </c>
      <c r="I518" s="10" t="s">
        <v>333</v>
      </c>
      <c r="J518" s="10" t="str">
        <f>""</f>
        <v/>
      </c>
      <c r="K518" s="10" t="str">
        <f>"PFES1162645317_0001"</f>
        <v>PFES1162645317_0001</v>
      </c>
      <c r="L518" s="10">
        <v>1</v>
      </c>
      <c r="M518" s="10">
        <v>1</v>
      </c>
    </row>
    <row r="519" spans="1:13">
      <c r="A519" s="8">
        <v>43348</v>
      </c>
      <c r="B519" s="9">
        <v>0.41666666666666669</v>
      </c>
      <c r="C519" s="10" t="str">
        <f>"FES1162645353"</f>
        <v>FES1162645353</v>
      </c>
      <c r="D519" s="10" t="s">
        <v>19</v>
      </c>
      <c r="E519" s="10" t="s">
        <v>421</v>
      </c>
      <c r="F519" s="10" t="str">
        <f>"21706500227 "</f>
        <v xml:space="preserve">21706500227 </v>
      </c>
      <c r="G519" s="10" t="str">
        <f t="shared" si="14"/>
        <v>ON1</v>
      </c>
      <c r="H519" s="10" t="s">
        <v>21</v>
      </c>
      <c r="I519" s="10" t="s">
        <v>206</v>
      </c>
      <c r="J519" s="10" t="str">
        <f>""</f>
        <v/>
      </c>
      <c r="K519" s="10" t="str">
        <f>"PFES1162645353_0001"</f>
        <v>PFES1162645353_0001</v>
      </c>
      <c r="L519" s="10">
        <v>1</v>
      </c>
      <c r="M519" s="10">
        <v>1</v>
      </c>
    </row>
    <row r="520" spans="1:13">
      <c r="A520" s="8">
        <v>43348</v>
      </c>
      <c r="B520" s="9">
        <v>0.41597222222222219</v>
      </c>
      <c r="C520" s="10" t="str">
        <f>"FES1162645320"</f>
        <v>FES1162645320</v>
      </c>
      <c r="D520" s="10" t="s">
        <v>19</v>
      </c>
      <c r="E520" s="10" t="s">
        <v>332</v>
      </c>
      <c r="F520" s="10" t="str">
        <f>"2170649910 "</f>
        <v xml:space="preserve">2170649910 </v>
      </c>
      <c r="G520" s="10" t="str">
        <f t="shared" si="14"/>
        <v>ON1</v>
      </c>
      <c r="H520" s="10" t="s">
        <v>21</v>
      </c>
      <c r="I520" s="10" t="s">
        <v>333</v>
      </c>
      <c r="J520" s="10" t="str">
        <f>""</f>
        <v/>
      </c>
      <c r="K520" s="10" t="str">
        <f>"PFES1162645320_0001"</f>
        <v>PFES1162645320_0001</v>
      </c>
      <c r="L520" s="10">
        <v>1</v>
      </c>
      <c r="M520" s="10">
        <v>1</v>
      </c>
    </row>
    <row r="521" spans="1:13">
      <c r="A521" s="8">
        <v>43349</v>
      </c>
      <c r="B521" s="9">
        <v>0.59166666666666667</v>
      </c>
      <c r="C521" s="10" t="str">
        <f>"FES1162645541"</f>
        <v>FES1162645541</v>
      </c>
      <c r="D521" s="10" t="s">
        <v>19</v>
      </c>
      <c r="E521" s="10" t="s">
        <v>149</v>
      </c>
      <c r="F521" s="10" t="str">
        <f>"2170650459 "</f>
        <v xml:space="preserve">2170650459 </v>
      </c>
      <c r="G521" s="10" t="str">
        <f t="shared" si="14"/>
        <v>ON1</v>
      </c>
      <c r="H521" s="10" t="s">
        <v>21</v>
      </c>
      <c r="I521" s="10" t="s">
        <v>150</v>
      </c>
      <c r="J521" s="10" t="str">
        <f>""</f>
        <v/>
      </c>
      <c r="K521" s="10" t="str">
        <f>"PFES1162645541_0001"</f>
        <v>PFES1162645541_0001</v>
      </c>
      <c r="L521" s="10">
        <v>1</v>
      </c>
      <c r="M521" s="10">
        <v>1</v>
      </c>
    </row>
    <row r="522" spans="1:13">
      <c r="A522" s="8">
        <v>43349</v>
      </c>
      <c r="B522" s="9">
        <v>0.59166666666666667</v>
      </c>
      <c r="C522" s="10" t="str">
        <f>"FES1162645703"</f>
        <v>FES1162645703</v>
      </c>
      <c r="D522" s="10" t="s">
        <v>19</v>
      </c>
      <c r="E522" s="10" t="s">
        <v>442</v>
      </c>
      <c r="F522" s="10" t="str">
        <f>"2170650559 "</f>
        <v xml:space="preserve">2170650559 </v>
      </c>
      <c r="G522" s="10" t="str">
        <f t="shared" si="14"/>
        <v>ON1</v>
      </c>
      <c r="H522" s="10" t="s">
        <v>21</v>
      </c>
      <c r="I522" s="10" t="s">
        <v>89</v>
      </c>
      <c r="J522" s="10" t="str">
        <f>""</f>
        <v/>
      </c>
      <c r="K522" s="10" t="str">
        <f>"PFES1162645703_0001"</f>
        <v>PFES1162645703_0001</v>
      </c>
      <c r="L522" s="10">
        <v>1</v>
      </c>
      <c r="M522" s="10">
        <v>1</v>
      </c>
    </row>
    <row r="523" spans="1:13">
      <c r="A523" s="8">
        <v>43349</v>
      </c>
      <c r="B523" s="9">
        <v>0.59166666666666667</v>
      </c>
      <c r="C523" s="10" t="str">
        <f>"FES1162645705"</f>
        <v>FES1162645705</v>
      </c>
      <c r="D523" s="10" t="s">
        <v>19</v>
      </c>
      <c r="E523" s="10" t="s">
        <v>442</v>
      </c>
      <c r="F523" s="10" t="str">
        <f>"2170650561 "</f>
        <v xml:space="preserve">2170650561 </v>
      </c>
      <c r="G523" s="10" t="str">
        <f t="shared" si="14"/>
        <v>ON1</v>
      </c>
      <c r="H523" s="10" t="s">
        <v>21</v>
      </c>
      <c r="I523" s="10" t="s">
        <v>89</v>
      </c>
      <c r="J523" s="10" t="str">
        <f>""</f>
        <v/>
      </c>
      <c r="K523" s="10" t="str">
        <f>"PFES1162645705_0001"</f>
        <v>PFES1162645705_0001</v>
      </c>
      <c r="L523" s="10">
        <v>1</v>
      </c>
      <c r="M523" s="10">
        <v>1</v>
      </c>
    </row>
    <row r="524" spans="1:13">
      <c r="A524" s="8">
        <v>43349</v>
      </c>
      <c r="B524" s="9">
        <v>0.59097222222222223</v>
      </c>
      <c r="C524" s="10" t="str">
        <f>"FES1162645540"</f>
        <v>FES1162645540</v>
      </c>
      <c r="D524" s="10" t="s">
        <v>19</v>
      </c>
      <c r="E524" s="10" t="s">
        <v>443</v>
      </c>
      <c r="F524" s="10" t="str">
        <f>"2170650458 "</f>
        <v xml:space="preserve">2170650458 </v>
      </c>
      <c r="G524" s="10" t="str">
        <f t="shared" si="14"/>
        <v>ON1</v>
      </c>
      <c r="H524" s="10" t="s">
        <v>21</v>
      </c>
      <c r="I524" s="10" t="s">
        <v>74</v>
      </c>
      <c r="J524" s="10" t="str">
        <f>""</f>
        <v/>
      </c>
      <c r="K524" s="10" t="str">
        <f>"PFES1162645540_0001"</f>
        <v>PFES1162645540_0001</v>
      </c>
      <c r="L524" s="10">
        <v>1</v>
      </c>
      <c r="M524" s="10">
        <v>1</v>
      </c>
    </row>
    <row r="525" spans="1:13">
      <c r="A525" s="8">
        <v>43349</v>
      </c>
      <c r="B525" s="9">
        <v>0.59097222222222223</v>
      </c>
      <c r="C525" s="10" t="str">
        <f>"FES1162645650"</f>
        <v>FES1162645650</v>
      </c>
      <c r="D525" s="10" t="s">
        <v>19</v>
      </c>
      <c r="E525" s="10" t="s">
        <v>56</v>
      </c>
      <c r="F525" s="10" t="str">
        <f>"2170650318 "</f>
        <v xml:space="preserve">2170650318 </v>
      </c>
      <c r="G525" s="10" t="str">
        <f t="shared" si="14"/>
        <v>ON1</v>
      </c>
      <c r="H525" s="10" t="s">
        <v>21</v>
      </c>
      <c r="I525" s="10" t="s">
        <v>57</v>
      </c>
      <c r="J525" s="10" t="str">
        <f>""</f>
        <v/>
      </c>
      <c r="K525" s="10" t="str">
        <f>"PFES1162645650_0001"</f>
        <v>PFES1162645650_0001</v>
      </c>
      <c r="L525" s="10">
        <v>1</v>
      </c>
      <c r="M525" s="10">
        <v>1</v>
      </c>
    </row>
    <row r="526" spans="1:13">
      <c r="A526" s="8">
        <v>43349</v>
      </c>
      <c r="B526" s="9">
        <v>0.59027777777777779</v>
      </c>
      <c r="C526" s="10" t="str">
        <f>"FES1162645651"</f>
        <v>FES1162645651</v>
      </c>
      <c r="D526" s="10" t="s">
        <v>19</v>
      </c>
      <c r="E526" s="10" t="s">
        <v>412</v>
      </c>
      <c r="F526" s="10" t="str">
        <f>"2170650528 "</f>
        <v xml:space="preserve">2170650528 </v>
      </c>
      <c r="G526" s="10" t="str">
        <f t="shared" si="14"/>
        <v>ON1</v>
      </c>
      <c r="H526" s="10" t="s">
        <v>21</v>
      </c>
      <c r="I526" s="10" t="s">
        <v>204</v>
      </c>
      <c r="J526" s="10" t="str">
        <f>""</f>
        <v/>
      </c>
      <c r="K526" s="10" t="str">
        <f>"PFES1162645651_0001"</f>
        <v>PFES1162645651_0001</v>
      </c>
      <c r="L526" s="10">
        <v>1</v>
      </c>
      <c r="M526" s="10">
        <v>1</v>
      </c>
    </row>
    <row r="527" spans="1:13">
      <c r="A527" s="8">
        <v>43349</v>
      </c>
      <c r="B527" s="9">
        <v>0.59027777777777779</v>
      </c>
      <c r="C527" s="10" t="str">
        <f>"FES1162645624"</f>
        <v>FES1162645624</v>
      </c>
      <c r="D527" s="10" t="s">
        <v>19</v>
      </c>
      <c r="E527" s="10" t="s">
        <v>444</v>
      </c>
      <c r="F527" s="10" t="str">
        <f>"2170650522 "</f>
        <v xml:space="preserve">2170650522 </v>
      </c>
      <c r="G527" s="10" t="str">
        <f t="shared" si="14"/>
        <v>ON1</v>
      </c>
      <c r="H527" s="10" t="s">
        <v>21</v>
      </c>
      <c r="I527" s="10" t="s">
        <v>57</v>
      </c>
      <c r="J527" s="10" t="str">
        <f>""</f>
        <v/>
      </c>
      <c r="K527" s="10" t="str">
        <f>"PFES1162645624_0001"</f>
        <v>PFES1162645624_0001</v>
      </c>
      <c r="L527" s="10">
        <v>1</v>
      </c>
      <c r="M527" s="10">
        <v>1</v>
      </c>
    </row>
    <row r="528" spans="1:13">
      <c r="A528" s="8">
        <v>43349</v>
      </c>
      <c r="B528" s="9">
        <v>0.58958333333333335</v>
      </c>
      <c r="C528" s="10" t="str">
        <f>"FES1162645637"</f>
        <v>FES1162645637</v>
      </c>
      <c r="D528" s="10" t="s">
        <v>19</v>
      </c>
      <c r="E528" s="10" t="s">
        <v>315</v>
      </c>
      <c r="F528" s="10" t="str">
        <f>"2170648617 "</f>
        <v xml:space="preserve">2170648617 </v>
      </c>
      <c r="G528" s="10" t="str">
        <f t="shared" si="14"/>
        <v>ON1</v>
      </c>
      <c r="H528" s="10" t="s">
        <v>21</v>
      </c>
      <c r="I528" s="10" t="s">
        <v>277</v>
      </c>
      <c r="J528" s="10" t="str">
        <f>""</f>
        <v/>
      </c>
      <c r="K528" s="10" t="str">
        <f>"PFES1162645637_0001"</f>
        <v>PFES1162645637_0001</v>
      </c>
      <c r="L528" s="10">
        <v>1</v>
      </c>
      <c r="M528" s="10">
        <v>1</v>
      </c>
    </row>
    <row r="529" spans="1:13">
      <c r="A529" s="8">
        <v>43349</v>
      </c>
      <c r="B529" s="9">
        <v>0.58958333333333335</v>
      </c>
      <c r="C529" s="10" t="str">
        <f>"FES1162645626"</f>
        <v>FES1162645626</v>
      </c>
      <c r="D529" s="10" t="s">
        <v>19</v>
      </c>
      <c r="E529" s="10" t="s">
        <v>326</v>
      </c>
      <c r="F529" s="10" t="str">
        <f>"217065026 "</f>
        <v xml:space="preserve">217065026 </v>
      </c>
      <c r="G529" s="10" t="str">
        <f t="shared" si="14"/>
        <v>ON1</v>
      </c>
      <c r="H529" s="10" t="s">
        <v>21</v>
      </c>
      <c r="I529" s="10" t="s">
        <v>277</v>
      </c>
      <c r="J529" s="10" t="str">
        <f>""</f>
        <v/>
      </c>
      <c r="K529" s="10" t="str">
        <f>"PFES1162645626_0001"</f>
        <v>PFES1162645626_0001</v>
      </c>
      <c r="L529" s="10">
        <v>1</v>
      </c>
      <c r="M529" s="10">
        <v>1</v>
      </c>
    </row>
    <row r="530" spans="1:13">
      <c r="A530" s="8">
        <v>43349</v>
      </c>
      <c r="B530" s="9">
        <v>0.58888888888888891</v>
      </c>
      <c r="C530" s="10" t="str">
        <f>"FES1162645714"</f>
        <v>FES1162645714</v>
      </c>
      <c r="D530" s="10" t="s">
        <v>19</v>
      </c>
      <c r="E530" s="10" t="s">
        <v>445</v>
      </c>
      <c r="F530" s="10" t="str">
        <f>"2170650574 "</f>
        <v xml:space="preserve">2170650574 </v>
      </c>
      <c r="G530" s="10" t="str">
        <f t="shared" si="14"/>
        <v>ON1</v>
      </c>
      <c r="H530" s="10" t="s">
        <v>21</v>
      </c>
      <c r="I530" s="10" t="s">
        <v>206</v>
      </c>
      <c r="J530" s="10" t="str">
        <f>""</f>
        <v/>
      </c>
      <c r="K530" s="10" t="str">
        <f>"PFES1162645714_0001"</f>
        <v>PFES1162645714_0001</v>
      </c>
      <c r="L530" s="10">
        <v>1</v>
      </c>
      <c r="M530" s="10">
        <v>1</v>
      </c>
    </row>
    <row r="531" spans="1:13">
      <c r="A531" s="8">
        <v>43349</v>
      </c>
      <c r="B531" s="9">
        <v>0.58888888888888891</v>
      </c>
      <c r="C531" s="10" t="str">
        <f>"FES1162645613"</f>
        <v>FES1162645613</v>
      </c>
      <c r="D531" s="10" t="s">
        <v>19</v>
      </c>
      <c r="E531" s="10" t="s">
        <v>232</v>
      </c>
      <c r="F531" s="10" t="str">
        <f>"2170650506 "</f>
        <v xml:space="preserve">2170650506 </v>
      </c>
      <c r="G531" s="10" t="str">
        <f t="shared" si="14"/>
        <v>ON1</v>
      </c>
      <c r="H531" s="10" t="s">
        <v>21</v>
      </c>
      <c r="I531" s="10" t="s">
        <v>233</v>
      </c>
      <c r="J531" s="10" t="str">
        <f>""</f>
        <v/>
      </c>
      <c r="K531" s="10" t="str">
        <f>"PFES1162645613_0001"</f>
        <v>PFES1162645613_0001</v>
      </c>
      <c r="L531" s="10">
        <v>1</v>
      </c>
      <c r="M531" s="10">
        <v>1</v>
      </c>
    </row>
    <row r="532" spans="1:13">
      <c r="A532" s="8">
        <v>43349</v>
      </c>
      <c r="B532" s="9">
        <v>0.58888888888888891</v>
      </c>
      <c r="C532" s="10" t="str">
        <f>"FES1162645587"</f>
        <v>FES1162645587</v>
      </c>
      <c r="D532" s="10" t="s">
        <v>19</v>
      </c>
      <c r="E532" s="10" t="s">
        <v>315</v>
      </c>
      <c r="F532" s="10" t="str">
        <f>"2170648617 "</f>
        <v xml:space="preserve">2170648617 </v>
      </c>
      <c r="G532" s="10" t="str">
        <f t="shared" si="14"/>
        <v>ON1</v>
      </c>
      <c r="H532" s="10" t="s">
        <v>21</v>
      </c>
      <c r="I532" s="10" t="s">
        <v>277</v>
      </c>
      <c r="J532" s="10" t="str">
        <f>""</f>
        <v/>
      </c>
      <c r="K532" s="10" t="str">
        <f>"PFES1162645587_0001"</f>
        <v>PFES1162645587_0001</v>
      </c>
      <c r="L532" s="10">
        <v>1</v>
      </c>
      <c r="M532" s="10">
        <v>1</v>
      </c>
    </row>
    <row r="533" spans="1:13">
      <c r="A533" s="8">
        <v>43349</v>
      </c>
      <c r="B533" s="9">
        <v>0.58819444444444446</v>
      </c>
      <c r="C533" s="10" t="str">
        <f>"FES1162645585"</f>
        <v>FES1162645585</v>
      </c>
      <c r="D533" s="10" t="s">
        <v>19</v>
      </c>
      <c r="E533" s="10" t="s">
        <v>446</v>
      </c>
      <c r="F533" s="10" t="str">
        <f>"2170648584 "</f>
        <v xml:space="preserve">2170648584 </v>
      </c>
      <c r="G533" s="10" t="str">
        <f t="shared" si="14"/>
        <v>ON1</v>
      </c>
      <c r="H533" s="10" t="s">
        <v>21</v>
      </c>
      <c r="I533" s="10" t="s">
        <v>201</v>
      </c>
      <c r="J533" s="10" t="str">
        <f>""</f>
        <v/>
      </c>
      <c r="K533" s="10" t="str">
        <f>"PFES1162645585_0001"</f>
        <v>PFES1162645585_0001</v>
      </c>
      <c r="L533" s="10">
        <v>1</v>
      </c>
      <c r="M533" s="10">
        <v>1</v>
      </c>
    </row>
    <row r="534" spans="1:13">
      <c r="A534" s="8">
        <v>43349</v>
      </c>
      <c r="B534" s="9">
        <v>0.58819444444444446</v>
      </c>
      <c r="C534" s="10" t="str">
        <f>"FES1162645592"</f>
        <v>FES1162645592</v>
      </c>
      <c r="D534" s="10" t="s">
        <v>19</v>
      </c>
      <c r="E534" s="10" t="s">
        <v>90</v>
      </c>
      <c r="F534" s="10" t="str">
        <f>"2170648710 "</f>
        <v xml:space="preserve">2170648710 </v>
      </c>
      <c r="G534" s="10" t="str">
        <f t="shared" si="14"/>
        <v>ON1</v>
      </c>
      <c r="H534" s="10" t="s">
        <v>21</v>
      </c>
      <c r="I534" s="10" t="s">
        <v>91</v>
      </c>
      <c r="J534" s="10" t="str">
        <f>""</f>
        <v/>
      </c>
      <c r="K534" s="10" t="str">
        <f>"PFES1162645592_0001"</f>
        <v>PFES1162645592_0001</v>
      </c>
      <c r="L534" s="10">
        <v>1</v>
      </c>
      <c r="M534" s="10">
        <v>1</v>
      </c>
    </row>
    <row r="535" spans="1:13">
      <c r="A535" s="8">
        <v>43349</v>
      </c>
      <c r="B535" s="9">
        <v>0.58819444444444446</v>
      </c>
      <c r="C535" s="10" t="str">
        <f>"FES1162645530"</f>
        <v>FES1162645530</v>
      </c>
      <c r="D535" s="10" t="s">
        <v>19</v>
      </c>
      <c r="E535" s="10" t="s">
        <v>220</v>
      </c>
      <c r="F535" s="10" t="str">
        <f>"2170650442 "</f>
        <v xml:space="preserve">2170650442 </v>
      </c>
      <c r="G535" s="10" t="str">
        <f t="shared" si="14"/>
        <v>ON1</v>
      </c>
      <c r="H535" s="10" t="s">
        <v>21</v>
      </c>
      <c r="I535" s="10" t="s">
        <v>126</v>
      </c>
      <c r="J535" s="10" t="str">
        <f>""</f>
        <v/>
      </c>
      <c r="K535" s="10" t="str">
        <f>"PFES1162645530_0001"</f>
        <v>PFES1162645530_0001</v>
      </c>
      <c r="L535" s="10">
        <v>1</v>
      </c>
      <c r="M535" s="10">
        <v>1</v>
      </c>
    </row>
    <row r="536" spans="1:13">
      <c r="A536" s="8">
        <v>43349</v>
      </c>
      <c r="B536" s="9">
        <v>0.58750000000000002</v>
      </c>
      <c r="C536" s="10" t="str">
        <f>"FES1162645709"</f>
        <v>FES1162645709</v>
      </c>
      <c r="D536" s="10" t="s">
        <v>19</v>
      </c>
      <c r="E536" s="10" t="s">
        <v>445</v>
      </c>
      <c r="F536" s="10" t="str">
        <f>"2170650564 "</f>
        <v xml:space="preserve">2170650564 </v>
      </c>
      <c r="G536" s="10" t="str">
        <f t="shared" si="14"/>
        <v>ON1</v>
      </c>
      <c r="H536" s="10" t="s">
        <v>21</v>
      </c>
      <c r="I536" s="10" t="s">
        <v>206</v>
      </c>
      <c r="J536" s="10" t="str">
        <f>""</f>
        <v/>
      </c>
      <c r="K536" s="10" t="str">
        <f>"PFES1162645709_0001"</f>
        <v>PFES1162645709_0001</v>
      </c>
      <c r="L536" s="10">
        <v>1</v>
      </c>
      <c r="M536" s="10">
        <v>1</v>
      </c>
    </row>
    <row r="537" spans="1:13">
      <c r="A537" s="8">
        <v>43349</v>
      </c>
      <c r="B537" s="9">
        <v>0.58750000000000002</v>
      </c>
      <c r="C537" s="10" t="str">
        <f>"FES1162645573"</f>
        <v>FES1162645573</v>
      </c>
      <c r="D537" s="10" t="s">
        <v>19</v>
      </c>
      <c r="E537" s="10" t="s">
        <v>162</v>
      </c>
      <c r="F537" s="10" t="str">
        <f>"2170648687 "</f>
        <v xml:space="preserve">2170648687 </v>
      </c>
      <c r="G537" s="10" t="str">
        <f t="shared" si="14"/>
        <v>ON1</v>
      </c>
      <c r="H537" s="10" t="s">
        <v>21</v>
      </c>
      <c r="I537" s="10" t="s">
        <v>30</v>
      </c>
      <c r="J537" s="10" t="str">
        <f>""</f>
        <v/>
      </c>
      <c r="K537" s="10" t="str">
        <f>"PFES1162645573_0001"</f>
        <v>PFES1162645573_0001</v>
      </c>
      <c r="L537" s="10">
        <v>1</v>
      </c>
      <c r="M537" s="10">
        <v>1</v>
      </c>
    </row>
    <row r="538" spans="1:13">
      <c r="A538" s="8">
        <v>43349</v>
      </c>
      <c r="B538" s="9">
        <v>0.58680555555555558</v>
      </c>
      <c r="C538" s="10" t="str">
        <f>"FES1162645636"</f>
        <v>FES1162645636</v>
      </c>
      <c r="D538" s="10" t="s">
        <v>19</v>
      </c>
      <c r="E538" s="10" t="s">
        <v>137</v>
      </c>
      <c r="F538" s="10" t="str">
        <f>"2170648560 "</f>
        <v xml:space="preserve">2170648560 </v>
      </c>
      <c r="G538" s="10" t="str">
        <f t="shared" si="14"/>
        <v>ON1</v>
      </c>
      <c r="H538" s="10" t="s">
        <v>21</v>
      </c>
      <c r="I538" s="10" t="s">
        <v>138</v>
      </c>
      <c r="J538" s="10" t="str">
        <f>""</f>
        <v/>
      </c>
      <c r="K538" s="10" t="str">
        <f>"PFES1162645636_0001"</f>
        <v>PFES1162645636_0001</v>
      </c>
      <c r="L538" s="10">
        <v>1</v>
      </c>
      <c r="M538" s="10">
        <v>1</v>
      </c>
    </row>
    <row r="539" spans="1:13">
      <c r="A539" s="8">
        <v>43349</v>
      </c>
      <c r="B539" s="9">
        <v>0.58680555555555558</v>
      </c>
      <c r="C539" s="10" t="str">
        <f>"FES1162645603"</f>
        <v>FES1162645603</v>
      </c>
      <c r="D539" s="10" t="s">
        <v>19</v>
      </c>
      <c r="E539" s="10" t="s">
        <v>228</v>
      </c>
      <c r="F539" s="10" t="str">
        <f>"2170648962 "</f>
        <v xml:space="preserve">2170648962 </v>
      </c>
      <c r="G539" s="10" t="str">
        <f t="shared" si="14"/>
        <v>ON1</v>
      </c>
      <c r="H539" s="10" t="s">
        <v>21</v>
      </c>
      <c r="I539" s="10" t="s">
        <v>229</v>
      </c>
      <c r="J539" s="10" t="str">
        <f>""</f>
        <v/>
      </c>
      <c r="K539" s="10" t="str">
        <f>"PFES1162645603_0001"</f>
        <v>PFES1162645603_0001</v>
      </c>
      <c r="L539" s="10">
        <v>1</v>
      </c>
      <c r="M539" s="10">
        <v>1</v>
      </c>
    </row>
    <row r="540" spans="1:13">
      <c r="A540" s="8">
        <v>43349</v>
      </c>
      <c r="B540" s="9">
        <v>0.58680555555555558</v>
      </c>
      <c r="C540" s="10" t="str">
        <f>"FES1162645518"</f>
        <v>FES1162645518</v>
      </c>
      <c r="D540" s="10" t="s">
        <v>19</v>
      </c>
      <c r="E540" s="10" t="s">
        <v>347</v>
      </c>
      <c r="F540" s="10" t="str">
        <f>"217064176 "</f>
        <v xml:space="preserve">217064176 </v>
      </c>
      <c r="G540" s="10" t="str">
        <f t="shared" si="14"/>
        <v>ON1</v>
      </c>
      <c r="H540" s="10" t="s">
        <v>21</v>
      </c>
      <c r="I540" s="10" t="s">
        <v>348</v>
      </c>
      <c r="J540" s="10" t="str">
        <f>""</f>
        <v/>
      </c>
      <c r="K540" s="10" t="str">
        <f>"PFES1162645518_0001"</f>
        <v>PFES1162645518_0001</v>
      </c>
      <c r="L540" s="10">
        <v>1</v>
      </c>
      <c r="M540" s="10">
        <v>1</v>
      </c>
    </row>
    <row r="541" spans="1:13">
      <c r="A541" s="8">
        <v>43349</v>
      </c>
      <c r="B541" s="9">
        <v>0.58611111111111114</v>
      </c>
      <c r="C541" s="10" t="str">
        <f>"FES1162645528"</f>
        <v>FES1162645528</v>
      </c>
      <c r="D541" s="10" t="s">
        <v>19</v>
      </c>
      <c r="E541" s="10" t="s">
        <v>220</v>
      </c>
      <c r="F541" s="10" t="str">
        <f>"2170650436 "</f>
        <v xml:space="preserve">2170650436 </v>
      </c>
      <c r="G541" s="10" t="str">
        <f t="shared" si="14"/>
        <v>ON1</v>
      </c>
      <c r="H541" s="10" t="s">
        <v>21</v>
      </c>
      <c r="I541" s="10" t="s">
        <v>126</v>
      </c>
      <c r="J541" s="10" t="str">
        <f>""</f>
        <v/>
      </c>
      <c r="K541" s="10" t="str">
        <f>"PFES1162645528_0001"</f>
        <v>PFES1162645528_0001</v>
      </c>
      <c r="L541" s="10">
        <v>1</v>
      </c>
      <c r="M541" s="10">
        <v>2</v>
      </c>
    </row>
    <row r="542" spans="1:13">
      <c r="A542" s="8">
        <v>43349</v>
      </c>
      <c r="B542" s="9">
        <v>0.5854166666666667</v>
      </c>
      <c r="C542" s="10" t="str">
        <f>"FES1162645534"</f>
        <v>FES1162645534</v>
      </c>
      <c r="D542" s="10" t="s">
        <v>19</v>
      </c>
      <c r="E542" s="10" t="s">
        <v>125</v>
      </c>
      <c r="F542" s="10" t="str">
        <f>"2170650448 "</f>
        <v xml:space="preserve">2170650448 </v>
      </c>
      <c r="G542" s="10" t="str">
        <f t="shared" si="14"/>
        <v>ON1</v>
      </c>
      <c r="H542" s="10" t="s">
        <v>21</v>
      </c>
      <c r="I542" s="10" t="s">
        <v>126</v>
      </c>
      <c r="J542" s="10" t="str">
        <f>""</f>
        <v/>
      </c>
      <c r="K542" s="10" t="str">
        <f>"PFES1162645534_0001"</f>
        <v>PFES1162645534_0001</v>
      </c>
      <c r="L542" s="10">
        <v>1</v>
      </c>
      <c r="M542" s="10">
        <v>4</v>
      </c>
    </row>
    <row r="543" spans="1:13">
      <c r="A543" s="8">
        <v>43349</v>
      </c>
      <c r="B543" s="9">
        <v>0.58472222222222225</v>
      </c>
      <c r="C543" s="10" t="str">
        <f>"FES1162645575"</f>
        <v>FES1162645575</v>
      </c>
      <c r="D543" s="10" t="s">
        <v>19</v>
      </c>
      <c r="E543" s="10" t="s">
        <v>447</v>
      </c>
      <c r="F543" s="10" t="str">
        <f>"2170648405 "</f>
        <v xml:space="preserve">2170648405 </v>
      </c>
      <c r="G543" s="10" t="str">
        <f t="shared" si="14"/>
        <v>ON1</v>
      </c>
      <c r="H543" s="10" t="s">
        <v>21</v>
      </c>
      <c r="I543" s="10" t="s">
        <v>448</v>
      </c>
      <c r="J543" s="10" t="str">
        <f>""</f>
        <v/>
      </c>
      <c r="K543" s="10" t="str">
        <f>"PFES1162645575_0001"</f>
        <v>PFES1162645575_0001</v>
      </c>
      <c r="L543" s="10">
        <v>1</v>
      </c>
      <c r="M543" s="10">
        <v>4</v>
      </c>
    </row>
    <row r="544" spans="1:13">
      <c r="A544" s="8">
        <v>43349</v>
      </c>
      <c r="B544" s="9">
        <v>0.58333333333333337</v>
      </c>
      <c r="C544" s="10" t="str">
        <f>"FES1162645676"</f>
        <v>FES1162645676</v>
      </c>
      <c r="D544" s="10" t="s">
        <v>19</v>
      </c>
      <c r="E544" s="10" t="s">
        <v>449</v>
      </c>
      <c r="F544" s="10" t="str">
        <f>"2170648965 "</f>
        <v xml:space="preserve">2170648965 </v>
      </c>
      <c r="G544" s="10" t="str">
        <f t="shared" si="14"/>
        <v>ON1</v>
      </c>
      <c r="H544" s="10" t="s">
        <v>21</v>
      </c>
      <c r="I544" s="10" t="s">
        <v>290</v>
      </c>
      <c r="J544" s="10" t="str">
        <f>""</f>
        <v/>
      </c>
      <c r="K544" s="10" t="str">
        <f>"PFES1162645676_0001"</f>
        <v>PFES1162645676_0001</v>
      </c>
      <c r="L544" s="10">
        <v>1</v>
      </c>
      <c r="M544" s="10">
        <v>3</v>
      </c>
    </row>
    <row r="545" spans="1:13">
      <c r="A545" s="8">
        <v>43349</v>
      </c>
      <c r="B545" s="9">
        <v>0.58263888888888882</v>
      </c>
      <c r="C545" s="10" t="str">
        <f>"FES1162645590"</f>
        <v>FES1162645590</v>
      </c>
      <c r="D545" s="10" t="s">
        <v>19</v>
      </c>
      <c r="E545" s="10" t="s">
        <v>450</v>
      </c>
      <c r="F545" s="10" t="str">
        <f>"2170648671 "</f>
        <v xml:space="preserve">2170648671 </v>
      </c>
      <c r="G545" s="10" t="str">
        <f t="shared" si="14"/>
        <v>ON1</v>
      </c>
      <c r="H545" s="10" t="s">
        <v>21</v>
      </c>
      <c r="I545" s="10" t="s">
        <v>189</v>
      </c>
      <c r="J545" s="10" t="str">
        <f>""</f>
        <v/>
      </c>
      <c r="K545" s="10" t="str">
        <f>"PFES1162645590_0001"</f>
        <v>PFES1162645590_0001</v>
      </c>
      <c r="L545" s="10">
        <v>1</v>
      </c>
      <c r="M545" s="10">
        <v>3</v>
      </c>
    </row>
    <row r="546" spans="1:13">
      <c r="A546" s="8">
        <v>43349</v>
      </c>
      <c r="B546" s="9">
        <v>0.58124999999999993</v>
      </c>
      <c r="C546" s="10" t="str">
        <f>"FES1162645593"</f>
        <v>FES1162645593</v>
      </c>
      <c r="D546" s="10" t="s">
        <v>19</v>
      </c>
      <c r="E546" s="10" t="s">
        <v>451</v>
      </c>
      <c r="F546" s="10" t="str">
        <f>"2170648712 "</f>
        <v xml:space="preserve">2170648712 </v>
      </c>
      <c r="G546" s="10" t="str">
        <f t="shared" si="14"/>
        <v>ON1</v>
      </c>
      <c r="H546" s="10" t="s">
        <v>21</v>
      </c>
      <c r="I546" s="10" t="s">
        <v>225</v>
      </c>
      <c r="J546" s="10" t="str">
        <f>""</f>
        <v/>
      </c>
      <c r="K546" s="10" t="str">
        <f>"PFES1162645593_0001"</f>
        <v>PFES1162645593_0001</v>
      </c>
      <c r="L546" s="10">
        <v>1</v>
      </c>
      <c r="M546" s="10">
        <v>2</v>
      </c>
    </row>
    <row r="547" spans="1:13">
      <c r="A547" s="8">
        <v>43349</v>
      </c>
      <c r="B547" s="9">
        <v>0.5805555555555556</v>
      </c>
      <c r="C547" s="10" t="str">
        <f>"FES1162645629"</f>
        <v>FES1162645629</v>
      </c>
      <c r="D547" s="10" t="s">
        <v>19</v>
      </c>
      <c r="E547" s="10" t="s">
        <v>268</v>
      </c>
      <c r="F547" s="10" t="str">
        <f>"2170641265 "</f>
        <v xml:space="preserve">2170641265 </v>
      </c>
      <c r="G547" s="10" t="str">
        <f t="shared" si="14"/>
        <v>ON1</v>
      </c>
      <c r="H547" s="10" t="s">
        <v>21</v>
      </c>
      <c r="I547" s="10" t="s">
        <v>269</v>
      </c>
      <c r="J547" s="10" t="str">
        <f>""</f>
        <v/>
      </c>
      <c r="K547" s="10" t="str">
        <f>"PFES1162645629_0001"</f>
        <v>PFES1162645629_0001</v>
      </c>
      <c r="L547" s="10">
        <v>1</v>
      </c>
      <c r="M547" s="10">
        <v>1</v>
      </c>
    </row>
    <row r="548" spans="1:13">
      <c r="A548" s="8">
        <v>43349</v>
      </c>
      <c r="B548" s="9">
        <v>0.57916666666666672</v>
      </c>
      <c r="C548" s="10" t="str">
        <f>"FES1162645545"</f>
        <v>FES1162645545</v>
      </c>
      <c r="D548" s="10" t="s">
        <v>19</v>
      </c>
      <c r="E548" s="10" t="s">
        <v>103</v>
      </c>
      <c r="F548" s="10" t="str">
        <f>"2170650472 "</f>
        <v xml:space="preserve">2170650472 </v>
      </c>
      <c r="G548" s="10" t="str">
        <f t="shared" si="14"/>
        <v>ON1</v>
      </c>
      <c r="H548" s="10" t="s">
        <v>21</v>
      </c>
      <c r="I548" s="10" t="s">
        <v>189</v>
      </c>
      <c r="J548" s="10" t="str">
        <f>""</f>
        <v/>
      </c>
      <c r="K548" s="10" t="str">
        <f>"PFES1162645545_0001"</f>
        <v>PFES1162645545_0001</v>
      </c>
      <c r="L548" s="10">
        <v>1</v>
      </c>
      <c r="M548" s="10">
        <v>1</v>
      </c>
    </row>
    <row r="549" spans="1:13">
      <c r="A549" s="8">
        <v>43349</v>
      </c>
      <c r="B549" s="9">
        <v>0.57708333333333328</v>
      </c>
      <c r="C549" s="10" t="str">
        <f>"FES1162645538"</f>
        <v>FES1162645538</v>
      </c>
      <c r="D549" s="10" t="s">
        <v>19</v>
      </c>
      <c r="E549" s="10" t="s">
        <v>160</v>
      </c>
      <c r="F549" s="10" t="str">
        <f>"2170650456 "</f>
        <v xml:space="preserve">2170650456 </v>
      </c>
      <c r="G549" s="10" t="str">
        <f t="shared" si="14"/>
        <v>ON1</v>
      </c>
      <c r="H549" s="10" t="s">
        <v>21</v>
      </c>
      <c r="I549" s="10" t="s">
        <v>161</v>
      </c>
      <c r="J549" s="10" t="str">
        <f>""</f>
        <v/>
      </c>
      <c r="K549" s="10" t="str">
        <f>"PFES1162645538_0001"</f>
        <v>PFES1162645538_0001</v>
      </c>
      <c r="L549" s="10">
        <v>1</v>
      </c>
      <c r="M549" s="10">
        <v>4</v>
      </c>
    </row>
    <row r="550" spans="1:13">
      <c r="A550" s="8">
        <v>43349</v>
      </c>
      <c r="B550" s="9">
        <v>0.57638888888888895</v>
      </c>
      <c r="C550" s="10" t="str">
        <f>"FES1162645557"</f>
        <v>FES1162645557</v>
      </c>
      <c r="D550" s="10" t="s">
        <v>19</v>
      </c>
      <c r="E550" s="10" t="s">
        <v>452</v>
      </c>
      <c r="F550" s="10" t="str">
        <f>"2170650464 "</f>
        <v xml:space="preserve">2170650464 </v>
      </c>
      <c r="G550" s="10" t="str">
        <f t="shared" si="14"/>
        <v>ON1</v>
      </c>
      <c r="H550" s="10" t="s">
        <v>21</v>
      </c>
      <c r="I550" s="10" t="s">
        <v>143</v>
      </c>
      <c r="J550" s="10" t="str">
        <f>""</f>
        <v/>
      </c>
      <c r="K550" s="10" t="str">
        <f>"PFES1162645557_0001"</f>
        <v>PFES1162645557_0001</v>
      </c>
      <c r="L550" s="10">
        <v>1</v>
      </c>
      <c r="M550" s="10">
        <v>2</v>
      </c>
    </row>
    <row r="551" spans="1:13">
      <c r="A551" s="8">
        <v>43349</v>
      </c>
      <c r="B551" s="9">
        <v>0.5756944444444444</v>
      </c>
      <c r="C551" s="10" t="str">
        <f>"FES1162645526"</f>
        <v>FES1162645526</v>
      </c>
      <c r="D551" s="10" t="s">
        <v>19</v>
      </c>
      <c r="E551" s="10" t="s">
        <v>398</v>
      </c>
      <c r="F551" s="10" t="str">
        <f>"2170650431 "</f>
        <v xml:space="preserve">2170650431 </v>
      </c>
      <c r="G551" s="10" t="str">
        <f t="shared" ref="G551" si="15">"ON1"</f>
        <v>ON1</v>
      </c>
      <c r="H551" s="10" t="s">
        <v>21</v>
      </c>
      <c r="I551" s="10" t="s">
        <v>89</v>
      </c>
      <c r="J551" s="10" t="str">
        <f>""</f>
        <v/>
      </c>
      <c r="K551" s="10" t="str">
        <f>"PFES1162645526_0001"</f>
        <v>PFES1162645526_0001</v>
      </c>
      <c r="L551" s="10">
        <v>1</v>
      </c>
      <c r="M551" s="10">
        <v>2</v>
      </c>
    </row>
    <row r="552" spans="1:13">
      <c r="A552" s="8">
        <v>43349</v>
      </c>
      <c r="B552" s="9">
        <v>0.57361111111111118</v>
      </c>
      <c r="C552" s="10" t="str">
        <f>"FES1162645512"</f>
        <v>FES1162645512</v>
      </c>
      <c r="D552" s="10" t="s">
        <v>19</v>
      </c>
      <c r="E552" s="10" t="s">
        <v>386</v>
      </c>
      <c r="F552" s="10" t="str">
        <f>"2170647533 "</f>
        <v xml:space="preserve">2170647533 </v>
      </c>
      <c r="G552" s="10" t="str">
        <f>"DBC"</f>
        <v>DBC</v>
      </c>
      <c r="H552" s="10" t="s">
        <v>21</v>
      </c>
      <c r="I552" s="10" t="s">
        <v>387</v>
      </c>
      <c r="J552" s="10" t="str">
        <f>""</f>
        <v/>
      </c>
      <c r="K552" s="10" t="str">
        <f>"PFES1162645512_0001"</f>
        <v>PFES1162645512_0001</v>
      </c>
      <c r="L552" s="10">
        <v>1</v>
      </c>
      <c r="M552" s="10">
        <v>28</v>
      </c>
    </row>
    <row r="553" spans="1:13">
      <c r="A553" s="8">
        <v>43349</v>
      </c>
      <c r="B553" s="9">
        <v>0.57222222222222219</v>
      </c>
      <c r="C553" s="10" t="str">
        <f>"FES1162645686"</f>
        <v>FES1162645686</v>
      </c>
      <c r="D553" s="10" t="s">
        <v>19</v>
      </c>
      <c r="E553" s="10" t="s">
        <v>453</v>
      </c>
      <c r="F553" s="10" t="str">
        <f>"2170650538 "</f>
        <v xml:space="preserve">2170650538 </v>
      </c>
      <c r="G553" s="10" t="str">
        <f>"ON1"</f>
        <v>ON1</v>
      </c>
      <c r="H553" s="10" t="s">
        <v>21</v>
      </c>
      <c r="I553" s="10" t="s">
        <v>269</v>
      </c>
      <c r="J553" s="10" t="str">
        <f>""</f>
        <v/>
      </c>
      <c r="K553" s="10" t="str">
        <f>"PFES1162645686_0001"</f>
        <v>PFES1162645686_0001</v>
      </c>
      <c r="L553" s="10">
        <v>1</v>
      </c>
      <c r="M553" s="10">
        <v>3</v>
      </c>
    </row>
    <row r="554" spans="1:13">
      <c r="A554" s="8">
        <v>43349</v>
      </c>
      <c r="B554" s="9">
        <v>0.57013888888888886</v>
      </c>
      <c r="C554" s="10" t="str">
        <f>"FES1162645607"</f>
        <v>FES1162645607</v>
      </c>
      <c r="D554" s="10" t="s">
        <v>19</v>
      </c>
      <c r="E554" s="10" t="s">
        <v>454</v>
      </c>
      <c r="F554" s="10" t="str">
        <f>"2170650501 "</f>
        <v xml:space="preserve">2170650501 </v>
      </c>
      <c r="G554" s="10" t="str">
        <f>"DBC"</f>
        <v>DBC</v>
      </c>
      <c r="H554" s="10" t="s">
        <v>21</v>
      </c>
      <c r="I554" s="10" t="s">
        <v>62</v>
      </c>
      <c r="J554" s="10" t="str">
        <f>""</f>
        <v/>
      </c>
      <c r="K554" s="10" t="str">
        <f>"PFES1162645607_0001"</f>
        <v>PFES1162645607_0001</v>
      </c>
      <c r="L554" s="10">
        <v>2</v>
      </c>
      <c r="M554" s="10">
        <v>21</v>
      </c>
    </row>
    <row r="555" spans="1:13">
      <c r="A555" s="8">
        <v>43349</v>
      </c>
      <c r="B555" s="9">
        <v>0.56944444444444442</v>
      </c>
      <c r="C555" s="10" t="str">
        <f>"FES1162645633"</f>
        <v>FES1162645633</v>
      </c>
      <c r="D555" s="10" t="s">
        <v>19</v>
      </c>
      <c r="E555" s="10" t="s">
        <v>455</v>
      </c>
      <c r="F555" s="10" t="str">
        <f>"2170647489 "</f>
        <v xml:space="preserve">2170647489 </v>
      </c>
      <c r="G555" s="10" t="str">
        <f t="shared" ref="G555:G573" si="16">"ON1"</f>
        <v>ON1</v>
      </c>
      <c r="H555" s="10" t="s">
        <v>21</v>
      </c>
      <c r="I555" s="10" t="s">
        <v>456</v>
      </c>
      <c r="J555" s="10" t="str">
        <f>""</f>
        <v/>
      </c>
      <c r="K555" s="10" t="str">
        <f>"PFES1162645633_0001"</f>
        <v>PFES1162645633_0001</v>
      </c>
      <c r="L555" s="10">
        <v>1</v>
      </c>
      <c r="M555" s="10">
        <v>13</v>
      </c>
    </row>
    <row r="556" spans="1:13">
      <c r="A556" s="8">
        <v>43349</v>
      </c>
      <c r="B556" s="9">
        <v>0.56805555555555554</v>
      </c>
      <c r="C556" s="10" t="str">
        <f>"FES1162645638"</f>
        <v>FES1162645638</v>
      </c>
      <c r="D556" s="10" t="s">
        <v>19</v>
      </c>
      <c r="E556" s="10" t="s">
        <v>457</v>
      </c>
      <c r="F556" s="10" t="str">
        <f>"2170648647 "</f>
        <v xml:space="preserve">2170648647 </v>
      </c>
      <c r="G556" s="10" t="str">
        <f t="shared" si="16"/>
        <v>ON1</v>
      </c>
      <c r="H556" s="10" t="s">
        <v>21</v>
      </c>
      <c r="I556" s="10" t="s">
        <v>387</v>
      </c>
      <c r="J556" s="10" t="str">
        <f>""</f>
        <v/>
      </c>
      <c r="K556" s="10" t="str">
        <f>"PFES1162645638_0001"</f>
        <v>PFES1162645638_0001</v>
      </c>
      <c r="L556" s="10">
        <v>1</v>
      </c>
      <c r="M556" s="10">
        <v>9</v>
      </c>
    </row>
    <row r="557" spans="1:13">
      <c r="A557" s="8">
        <v>43349</v>
      </c>
      <c r="B557" s="9">
        <v>0.56527777777777777</v>
      </c>
      <c r="C557" s="10" t="str">
        <f>"FES1162645608"</f>
        <v>FES1162645608</v>
      </c>
      <c r="D557" s="10" t="s">
        <v>19</v>
      </c>
      <c r="E557" s="10" t="s">
        <v>39</v>
      </c>
      <c r="F557" s="10" t="str">
        <f>"2170650504 "</f>
        <v xml:space="preserve">2170650504 </v>
      </c>
      <c r="G557" s="10" t="str">
        <f t="shared" si="16"/>
        <v>ON1</v>
      </c>
      <c r="H557" s="10" t="s">
        <v>21</v>
      </c>
      <c r="I557" s="10" t="s">
        <v>40</v>
      </c>
      <c r="J557" s="10" t="str">
        <f>""</f>
        <v/>
      </c>
      <c r="K557" s="10" t="str">
        <f>"PFES1162645608_0001"</f>
        <v>PFES1162645608_0001</v>
      </c>
      <c r="L557" s="10">
        <v>1</v>
      </c>
      <c r="M557" s="10">
        <v>1</v>
      </c>
    </row>
    <row r="558" spans="1:13">
      <c r="A558" s="8">
        <v>43349</v>
      </c>
      <c r="B558" s="9">
        <v>0.56458333333333333</v>
      </c>
      <c r="C558" s="10" t="str">
        <f>"FES1162645531"</f>
        <v>FES1162645531</v>
      </c>
      <c r="D558" s="10" t="s">
        <v>19</v>
      </c>
      <c r="E558" s="10" t="s">
        <v>336</v>
      </c>
      <c r="F558" s="10" t="str">
        <f>"2170650443 "</f>
        <v xml:space="preserve">2170650443 </v>
      </c>
      <c r="G558" s="10" t="str">
        <f t="shared" si="16"/>
        <v>ON1</v>
      </c>
      <c r="H558" s="10" t="s">
        <v>21</v>
      </c>
      <c r="I558" s="10" t="s">
        <v>117</v>
      </c>
      <c r="J558" s="10" t="str">
        <f>""</f>
        <v/>
      </c>
      <c r="K558" s="10" t="str">
        <f>"PFES1162645531_0001"</f>
        <v>PFES1162645531_0001</v>
      </c>
      <c r="L558" s="10">
        <v>1</v>
      </c>
      <c r="M558" s="10">
        <v>4</v>
      </c>
    </row>
    <row r="559" spans="1:13">
      <c r="A559" s="8">
        <v>43349</v>
      </c>
      <c r="B559" s="9">
        <v>0.56319444444444444</v>
      </c>
      <c r="C559" s="10" t="str">
        <f>"FES1162645524"</f>
        <v>FES1162645524</v>
      </c>
      <c r="D559" s="10" t="s">
        <v>19</v>
      </c>
      <c r="E559" s="10" t="s">
        <v>220</v>
      </c>
      <c r="F559" s="10" t="str">
        <f>"2170650426 "</f>
        <v xml:space="preserve">2170650426 </v>
      </c>
      <c r="G559" s="10" t="str">
        <f t="shared" si="16"/>
        <v>ON1</v>
      </c>
      <c r="H559" s="10" t="s">
        <v>21</v>
      </c>
      <c r="I559" s="10" t="s">
        <v>126</v>
      </c>
      <c r="J559" s="10" t="str">
        <f>""</f>
        <v/>
      </c>
      <c r="K559" s="10" t="str">
        <f>"PFES1162645524_0001"</f>
        <v>PFES1162645524_0001</v>
      </c>
      <c r="L559" s="10">
        <v>1</v>
      </c>
      <c r="M559" s="10">
        <v>1</v>
      </c>
    </row>
    <row r="560" spans="1:13">
      <c r="A560" s="8">
        <v>43349</v>
      </c>
      <c r="B560" s="9">
        <v>0.56319444444444444</v>
      </c>
      <c r="C560" s="10" t="str">
        <f>"FES1162645669"</f>
        <v>FES1162645669</v>
      </c>
      <c r="D560" s="10" t="s">
        <v>19</v>
      </c>
      <c r="E560" s="10" t="s">
        <v>458</v>
      </c>
      <c r="F560" s="10" t="str">
        <f>"217048790 "</f>
        <v xml:space="preserve">217048790 </v>
      </c>
      <c r="G560" s="10" t="str">
        <f t="shared" si="16"/>
        <v>ON1</v>
      </c>
      <c r="H560" s="10" t="s">
        <v>21</v>
      </c>
      <c r="I560" s="10" t="s">
        <v>76</v>
      </c>
      <c r="J560" s="10" t="str">
        <f>""</f>
        <v/>
      </c>
      <c r="K560" s="10" t="str">
        <f>"PFES1162645669_0001"</f>
        <v>PFES1162645669_0001</v>
      </c>
      <c r="L560" s="10">
        <v>1</v>
      </c>
      <c r="M560" s="10">
        <v>1</v>
      </c>
    </row>
    <row r="561" spans="1:13">
      <c r="A561" s="8">
        <v>43349</v>
      </c>
      <c r="B561" s="9">
        <v>0.56319444444444444</v>
      </c>
      <c r="C561" s="10" t="str">
        <f>"FES1162645658"</f>
        <v>FES1162645658</v>
      </c>
      <c r="D561" s="10" t="s">
        <v>19</v>
      </c>
      <c r="E561" s="10" t="s">
        <v>459</v>
      </c>
      <c r="F561" s="10" t="str">
        <f>"2170643063 "</f>
        <v xml:space="preserve">2170643063 </v>
      </c>
      <c r="G561" s="10" t="str">
        <f t="shared" si="16"/>
        <v>ON1</v>
      </c>
      <c r="H561" s="10" t="s">
        <v>21</v>
      </c>
      <c r="I561" s="10" t="s">
        <v>460</v>
      </c>
      <c r="J561" s="10" t="str">
        <f>""</f>
        <v/>
      </c>
      <c r="K561" s="10" t="str">
        <f>"PFES1162645658_0001"</f>
        <v>PFES1162645658_0001</v>
      </c>
      <c r="L561" s="10">
        <v>1</v>
      </c>
      <c r="M561" s="10">
        <v>3</v>
      </c>
    </row>
    <row r="562" spans="1:13">
      <c r="A562" s="8">
        <v>43349</v>
      </c>
      <c r="B562" s="9">
        <v>0.56319444444444444</v>
      </c>
      <c r="C562" s="10" t="str">
        <f>"FES1162645576"</f>
        <v>FES1162645576</v>
      </c>
      <c r="D562" s="10" t="s">
        <v>19</v>
      </c>
      <c r="E562" s="10" t="s">
        <v>251</v>
      </c>
      <c r="F562" s="10" t="str">
        <f>"2170648410 "</f>
        <v xml:space="preserve">2170648410 </v>
      </c>
      <c r="G562" s="10" t="str">
        <f t="shared" si="16"/>
        <v>ON1</v>
      </c>
      <c r="H562" s="10" t="s">
        <v>21</v>
      </c>
      <c r="I562" s="10" t="s">
        <v>252</v>
      </c>
      <c r="J562" s="10" t="str">
        <f>""</f>
        <v/>
      </c>
      <c r="K562" s="10" t="str">
        <f>"PFES1162645576_0001"</f>
        <v>PFES1162645576_0001</v>
      </c>
      <c r="L562" s="10">
        <v>1</v>
      </c>
      <c r="M562" s="10">
        <v>1</v>
      </c>
    </row>
    <row r="563" spans="1:13">
      <c r="A563" s="8">
        <v>43349</v>
      </c>
      <c r="B563" s="9">
        <v>0.56319444444444444</v>
      </c>
      <c r="C563" s="10" t="str">
        <f>"FES1162645665"</f>
        <v>FES1162645665</v>
      </c>
      <c r="D563" s="10" t="s">
        <v>19</v>
      </c>
      <c r="E563" s="10" t="s">
        <v>458</v>
      </c>
      <c r="F563" s="10" t="str">
        <f>"2170648591 "</f>
        <v xml:space="preserve">2170648591 </v>
      </c>
      <c r="G563" s="10" t="str">
        <f t="shared" si="16"/>
        <v>ON1</v>
      </c>
      <c r="H563" s="10" t="s">
        <v>21</v>
      </c>
      <c r="I563" s="10" t="s">
        <v>76</v>
      </c>
      <c r="J563" s="10" t="str">
        <f>""</f>
        <v/>
      </c>
      <c r="K563" s="10" t="str">
        <f>"PFES1162645665_0001"</f>
        <v>PFES1162645665_0001</v>
      </c>
      <c r="L563" s="10">
        <v>1</v>
      </c>
      <c r="M563" s="10">
        <v>1</v>
      </c>
    </row>
    <row r="564" spans="1:13">
      <c r="A564" s="8">
        <v>43349</v>
      </c>
      <c r="B564" s="9">
        <v>0.5625</v>
      </c>
      <c r="C564" s="10" t="str">
        <f>"FES1162645566"</f>
        <v>FES1162645566</v>
      </c>
      <c r="D564" s="10" t="s">
        <v>19</v>
      </c>
      <c r="E564" s="10" t="s">
        <v>151</v>
      </c>
      <c r="F564" s="10" t="str">
        <f>"2170650493 "</f>
        <v xml:space="preserve">2170650493 </v>
      </c>
      <c r="G564" s="10" t="str">
        <f t="shared" si="16"/>
        <v>ON1</v>
      </c>
      <c r="H564" s="10" t="s">
        <v>21</v>
      </c>
      <c r="I564" s="10" t="s">
        <v>152</v>
      </c>
      <c r="J564" s="10" t="str">
        <f>""</f>
        <v/>
      </c>
      <c r="K564" s="10" t="str">
        <f>"PFES1162645566_0001"</f>
        <v>PFES1162645566_0001</v>
      </c>
      <c r="L564" s="10">
        <v>1</v>
      </c>
      <c r="M564" s="10">
        <v>1</v>
      </c>
    </row>
    <row r="565" spans="1:13">
      <c r="A565" s="8">
        <v>43349</v>
      </c>
      <c r="B565" s="9">
        <v>0.5625</v>
      </c>
      <c r="C565" s="10" t="str">
        <f>"FES1162645605"</f>
        <v>FES1162645605</v>
      </c>
      <c r="D565" s="10" t="s">
        <v>19</v>
      </c>
      <c r="E565" s="10" t="s">
        <v>425</v>
      </c>
      <c r="F565" s="10" t="str">
        <f>"2170649069 "</f>
        <v xml:space="preserve">2170649069 </v>
      </c>
      <c r="G565" s="10" t="str">
        <f t="shared" si="16"/>
        <v>ON1</v>
      </c>
      <c r="H565" s="10" t="s">
        <v>21</v>
      </c>
      <c r="I565" s="10" t="s">
        <v>252</v>
      </c>
      <c r="J565" s="10" t="str">
        <f>""</f>
        <v/>
      </c>
      <c r="K565" s="10" t="str">
        <f>"PFES1162645605_0001"</f>
        <v>PFES1162645605_0001</v>
      </c>
      <c r="L565" s="10">
        <v>1</v>
      </c>
      <c r="M565" s="10">
        <v>1</v>
      </c>
    </row>
    <row r="566" spans="1:13">
      <c r="A566" s="8">
        <v>43349</v>
      </c>
      <c r="B566" s="9">
        <v>0.56180555555555556</v>
      </c>
      <c r="C566" s="10" t="str">
        <f>"FES1162645611"</f>
        <v>FES1162645611</v>
      </c>
      <c r="D566" s="10" t="s">
        <v>19</v>
      </c>
      <c r="E566" s="10" t="s">
        <v>461</v>
      </c>
      <c r="F566" s="10" t="str">
        <f>"2170650402 "</f>
        <v xml:space="preserve">2170650402 </v>
      </c>
      <c r="G566" s="10" t="str">
        <f t="shared" si="16"/>
        <v>ON1</v>
      </c>
      <c r="H566" s="10" t="s">
        <v>21</v>
      </c>
      <c r="I566" s="10" t="s">
        <v>400</v>
      </c>
      <c r="J566" s="10" t="str">
        <f>""</f>
        <v/>
      </c>
      <c r="K566" s="10" t="str">
        <f>"PFES1162645611_0001"</f>
        <v>PFES1162645611_0001</v>
      </c>
      <c r="L566" s="10">
        <v>1</v>
      </c>
      <c r="M566" s="10">
        <v>1</v>
      </c>
    </row>
    <row r="567" spans="1:13">
      <c r="A567" s="8">
        <v>43349</v>
      </c>
      <c r="B567" s="9">
        <v>0.56180555555555556</v>
      </c>
      <c r="C567" s="10" t="str">
        <f>"FES1162645630"</f>
        <v>FES1162645630</v>
      </c>
      <c r="D567" s="10" t="s">
        <v>19</v>
      </c>
      <c r="E567" s="10" t="s">
        <v>459</v>
      </c>
      <c r="F567" s="10" t="str">
        <f>"2170643063 "</f>
        <v xml:space="preserve">2170643063 </v>
      </c>
      <c r="G567" s="10" t="str">
        <f t="shared" si="16"/>
        <v>ON1</v>
      </c>
      <c r="H567" s="10" t="s">
        <v>21</v>
      </c>
      <c r="I567" s="10" t="s">
        <v>460</v>
      </c>
      <c r="J567" s="10" t="str">
        <f>""</f>
        <v/>
      </c>
      <c r="K567" s="10" t="str">
        <f>"PFES1162645630_0001"</f>
        <v>PFES1162645630_0001</v>
      </c>
      <c r="L567" s="10">
        <v>1</v>
      </c>
      <c r="M567" s="10">
        <v>4</v>
      </c>
    </row>
    <row r="568" spans="1:13">
      <c r="A568" s="8">
        <v>43349</v>
      </c>
      <c r="B568" s="9">
        <v>0.56111111111111112</v>
      </c>
      <c r="C568" s="10" t="str">
        <f>"FES1162645682"</f>
        <v>FES1162645682</v>
      </c>
      <c r="D568" s="10" t="s">
        <v>19</v>
      </c>
      <c r="E568" s="10" t="s">
        <v>413</v>
      </c>
      <c r="F568" s="10" t="str">
        <f>"2170650068 "</f>
        <v xml:space="preserve">2170650068 </v>
      </c>
      <c r="G568" s="10" t="str">
        <f t="shared" si="16"/>
        <v>ON1</v>
      </c>
      <c r="H568" s="10" t="s">
        <v>21</v>
      </c>
      <c r="I568" s="10" t="s">
        <v>414</v>
      </c>
      <c r="J568" s="10" t="str">
        <f>""</f>
        <v/>
      </c>
      <c r="K568" s="10" t="str">
        <f>"PFES1162645682_0001"</f>
        <v>PFES1162645682_0001</v>
      </c>
      <c r="L568" s="10">
        <v>1</v>
      </c>
      <c r="M568" s="10">
        <v>1</v>
      </c>
    </row>
    <row r="569" spans="1:13">
      <c r="A569" s="8">
        <v>43349</v>
      </c>
      <c r="B569" s="9">
        <v>0.56111111111111112</v>
      </c>
      <c r="C569" s="10" t="str">
        <f>"FES1162645542"</f>
        <v>FES1162645542</v>
      </c>
      <c r="D569" s="10" t="s">
        <v>19</v>
      </c>
      <c r="E569" s="10" t="s">
        <v>357</v>
      </c>
      <c r="F569" s="10" t="str">
        <f>"2170650461 "</f>
        <v xml:space="preserve">2170650461 </v>
      </c>
      <c r="G569" s="10" t="str">
        <f t="shared" si="16"/>
        <v>ON1</v>
      </c>
      <c r="H569" s="10" t="s">
        <v>21</v>
      </c>
      <c r="I569" s="10" t="s">
        <v>283</v>
      </c>
      <c r="J569" s="10" t="str">
        <f>""</f>
        <v/>
      </c>
      <c r="K569" s="10" t="str">
        <f>"PFES1162645542_0001"</f>
        <v>PFES1162645542_0001</v>
      </c>
      <c r="L569" s="10">
        <v>1</v>
      </c>
      <c r="M569" s="10">
        <v>4</v>
      </c>
    </row>
    <row r="570" spans="1:13">
      <c r="A570" s="8">
        <v>43349</v>
      </c>
      <c r="B570" s="9">
        <v>0.56111111111111112</v>
      </c>
      <c r="C570" s="10" t="str">
        <f>"FES1162645619"</f>
        <v>FES1162645619</v>
      </c>
      <c r="D570" s="10" t="s">
        <v>19</v>
      </c>
      <c r="E570" s="10" t="s">
        <v>462</v>
      </c>
      <c r="F570" s="10" t="str">
        <f>"2170650516 "</f>
        <v xml:space="preserve">2170650516 </v>
      </c>
      <c r="G570" s="10" t="str">
        <f t="shared" si="16"/>
        <v>ON1</v>
      </c>
      <c r="H570" s="10" t="s">
        <v>21</v>
      </c>
      <c r="I570" s="10" t="s">
        <v>290</v>
      </c>
      <c r="J570" s="10" t="str">
        <f>""</f>
        <v/>
      </c>
      <c r="K570" s="10" t="str">
        <f>"PFES1162645619_0001"</f>
        <v>PFES1162645619_0001</v>
      </c>
      <c r="L570" s="10">
        <v>1</v>
      </c>
      <c r="M570" s="10">
        <v>1</v>
      </c>
    </row>
    <row r="571" spans="1:13">
      <c r="A571" s="8">
        <v>43349</v>
      </c>
      <c r="B571" s="9">
        <v>0.56041666666666667</v>
      </c>
      <c r="C571" s="10" t="str">
        <f>"FES1162645684"</f>
        <v>FES1162645684</v>
      </c>
      <c r="D571" s="10" t="s">
        <v>19</v>
      </c>
      <c r="E571" s="10" t="s">
        <v>463</v>
      </c>
      <c r="F571" s="10" t="str">
        <f>"2170650402 "</f>
        <v xml:space="preserve">2170650402 </v>
      </c>
      <c r="G571" s="10" t="str">
        <f t="shared" si="16"/>
        <v>ON1</v>
      </c>
      <c r="H571" s="10" t="s">
        <v>21</v>
      </c>
      <c r="I571" s="10" t="s">
        <v>400</v>
      </c>
      <c r="J571" s="10" t="str">
        <f>""</f>
        <v/>
      </c>
      <c r="K571" s="10" t="str">
        <f>"PFES1162645684_0001"</f>
        <v>PFES1162645684_0001</v>
      </c>
      <c r="L571" s="10">
        <v>1</v>
      </c>
      <c r="M571" s="10">
        <v>1</v>
      </c>
    </row>
    <row r="572" spans="1:13">
      <c r="A572" s="8">
        <v>43349</v>
      </c>
      <c r="B572" s="9">
        <v>0.55972222222222223</v>
      </c>
      <c r="C572" s="10" t="str">
        <f>"FES1162645548"</f>
        <v>FES1162645548</v>
      </c>
      <c r="D572" s="10" t="s">
        <v>19</v>
      </c>
      <c r="E572" s="10" t="s">
        <v>464</v>
      </c>
      <c r="F572" s="10" t="str">
        <f>"2170650476 "</f>
        <v xml:space="preserve">2170650476 </v>
      </c>
      <c r="G572" s="10" t="str">
        <f t="shared" si="16"/>
        <v>ON1</v>
      </c>
      <c r="H572" s="10" t="s">
        <v>21</v>
      </c>
      <c r="I572" s="10" t="s">
        <v>171</v>
      </c>
      <c r="J572" s="10" t="str">
        <f>""</f>
        <v/>
      </c>
      <c r="K572" s="10" t="str">
        <f>"PFES1162645548_0001"</f>
        <v>PFES1162645548_0001</v>
      </c>
      <c r="L572" s="10">
        <v>1</v>
      </c>
      <c r="M572" s="10">
        <v>1</v>
      </c>
    </row>
    <row r="573" spans="1:13">
      <c r="A573" s="8">
        <v>43349</v>
      </c>
      <c r="B573" s="9">
        <v>0.55972222222222223</v>
      </c>
      <c r="C573" s="10" t="str">
        <f>"FES1162645690"</f>
        <v>FES1162645690</v>
      </c>
      <c r="D573" s="10" t="s">
        <v>19</v>
      </c>
      <c r="E573" s="10" t="s">
        <v>465</v>
      </c>
      <c r="F573" s="10" t="str">
        <f>"2170650546 "</f>
        <v xml:space="preserve">2170650546 </v>
      </c>
      <c r="G573" s="10" t="str">
        <f t="shared" si="16"/>
        <v>ON1</v>
      </c>
      <c r="H573" s="10" t="s">
        <v>21</v>
      </c>
      <c r="I573" s="10" t="s">
        <v>466</v>
      </c>
      <c r="J573" s="10" t="str">
        <f>""</f>
        <v/>
      </c>
      <c r="K573" s="10" t="str">
        <f>"PFES1162645690_0001"</f>
        <v>PFES1162645690_0001</v>
      </c>
      <c r="L573" s="10">
        <v>1</v>
      </c>
      <c r="M573" s="10">
        <v>1</v>
      </c>
    </row>
    <row r="574" spans="1:13">
      <c r="A574" s="8">
        <v>43349</v>
      </c>
      <c r="B574" s="9">
        <v>0.55972222222222223</v>
      </c>
      <c r="C574" s="10" t="str">
        <f>"FES1162645617"</f>
        <v>FES1162645617</v>
      </c>
      <c r="D574" s="10" t="s">
        <v>19</v>
      </c>
      <c r="E574" s="10" t="s">
        <v>467</v>
      </c>
      <c r="F574" s="10" t="str">
        <f>"2170650076 "</f>
        <v xml:space="preserve">2170650076 </v>
      </c>
      <c r="G574" s="10" t="str">
        <f>"DBC"</f>
        <v>DBC</v>
      </c>
      <c r="H574" s="10" t="s">
        <v>21</v>
      </c>
      <c r="I574" s="10" t="s">
        <v>85</v>
      </c>
      <c r="J574" s="10" t="str">
        <f>""</f>
        <v/>
      </c>
      <c r="K574" s="10" t="str">
        <f>"PFES1162645617_0001"</f>
        <v>PFES1162645617_0001</v>
      </c>
      <c r="L574" s="10">
        <v>3</v>
      </c>
      <c r="M574" s="10">
        <v>22</v>
      </c>
    </row>
    <row r="575" spans="1:13">
      <c r="A575" s="8">
        <v>43349</v>
      </c>
      <c r="B575" s="9">
        <v>0.55902777777777779</v>
      </c>
      <c r="C575" s="10" t="str">
        <f>"FES1162645544"</f>
        <v>FES1162645544</v>
      </c>
      <c r="D575" s="10" t="s">
        <v>19</v>
      </c>
      <c r="E575" s="10" t="s">
        <v>341</v>
      </c>
      <c r="F575" s="10" t="str">
        <f>"2170650468 "</f>
        <v xml:space="preserve">2170650468 </v>
      </c>
      <c r="G575" s="10" t="str">
        <f t="shared" ref="G575:G589" si="17">"ON1"</f>
        <v>ON1</v>
      </c>
      <c r="H575" s="10" t="s">
        <v>21</v>
      </c>
      <c r="I575" s="10" t="s">
        <v>342</v>
      </c>
      <c r="J575" s="10" t="str">
        <f>""</f>
        <v/>
      </c>
      <c r="K575" s="10" t="str">
        <f>"PFES1162645544_0001"</f>
        <v>PFES1162645544_0001</v>
      </c>
      <c r="L575" s="10">
        <v>1</v>
      </c>
      <c r="M575" s="10">
        <v>1</v>
      </c>
    </row>
    <row r="576" spans="1:13">
      <c r="A576" s="8">
        <v>43349</v>
      </c>
      <c r="B576" s="9">
        <v>0.55902777777777779</v>
      </c>
      <c r="C576" s="10" t="str">
        <f>"FES1162645681"</f>
        <v>FES1162645681</v>
      </c>
      <c r="D576" s="10" t="s">
        <v>19</v>
      </c>
      <c r="E576" s="10" t="s">
        <v>212</v>
      </c>
      <c r="F576" s="10" t="str">
        <f>"2170649581 "</f>
        <v xml:space="preserve">2170649581 </v>
      </c>
      <c r="G576" s="10" t="str">
        <f t="shared" si="17"/>
        <v>ON1</v>
      </c>
      <c r="H576" s="10" t="s">
        <v>21</v>
      </c>
      <c r="I576" s="10" t="s">
        <v>211</v>
      </c>
      <c r="J576" s="10" t="str">
        <f>""</f>
        <v/>
      </c>
      <c r="K576" s="10" t="str">
        <f>"PFES1162645681_0001"</f>
        <v>PFES1162645681_0001</v>
      </c>
      <c r="L576" s="10">
        <v>1</v>
      </c>
      <c r="M576" s="10">
        <v>1</v>
      </c>
    </row>
    <row r="577" spans="1:13">
      <c r="A577" s="8">
        <v>43349</v>
      </c>
      <c r="B577" s="9">
        <v>0.55833333333333335</v>
      </c>
      <c r="C577" s="10" t="str">
        <f>"FES1162645543"</f>
        <v>FES1162645543</v>
      </c>
      <c r="D577" s="10" t="s">
        <v>19</v>
      </c>
      <c r="E577" s="10" t="s">
        <v>468</v>
      </c>
      <c r="F577" s="10" t="str">
        <f>"2170650462 "</f>
        <v xml:space="preserve">2170650462 </v>
      </c>
      <c r="G577" s="10" t="str">
        <f t="shared" si="17"/>
        <v>ON1</v>
      </c>
      <c r="H577" s="10" t="s">
        <v>21</v>
      </c>
      <c r="I577" s="10" t="s">
        <v>469</v>
      </c>
      <c r="J577" s="10" t="str">
        <f>""</f>
        <v/>
      </c>
      <c r="K577" s="10" t="str">
        <f>"PFES1162645543_0001"</f>
        <v>PFES1162645543_0001</v>
      </c>
      <c r="L577" s="10">
        <v>1</v>
      </c>
      <c r="M577" s="10">
        <v>1</v>
      </c>
    </row>
    <row r="578" spans="1:13">
      <c r="A578" s="8">
        <v>43349</v>
      </c>
      <c r="B578" s="9">
        <v>0.55833333333333335</v>
      </c>
      <c r="C578" s="10" t="str">
        <f>"FES1162645546"</f>
        <v>FES1162645546</v>
      </c>
      <c r="D578" s="10" t="s">
        <v>19</v>
      </c>
      <c r="E578" s="10" t="s">
        <v>194</v>
      </c>
      <c r="F578" s="10" t="str">
        <f>"2170650473 "</f>
        <v xml:space="preserve">2170650473 </v>
      </c>
      <c r="G578" s="10" t="str">
        <f t="shared" si="17"/>
        <v>ON1</v>
      </c>
      <c r="H578" s="10" t="s">
        <v>21</v>
      </c>
      <c r="I578" s="10" t="s">
        <v>195</v>
      </c>
      <c r="J578" s="10" t="str">
        <f>""</f>
        <v/>
      </c>
      <c r="K578" s="10" t="str">
        <f>"PFES1162645546_0001"</f>
        <v>PFES1162645546_0001</v>
      </c>
      <c r="L578" s="10">
        <v>1</v>
      </c>
      <c r="M578" s="10">
        <v>1</v>
      </c>
    </row>
    <row r="579" spans="1:13">
      <c r="A579" s="8">
        <v>43349</v>
      </c>
      <c r="B579" s="9">
        <v>0.55833333333333335</v>
      </c>
      <c r="C579" s="10" t="str">
        <f>"FES1162645660"</f>
        <v>FES1162645660</v>
      </c>
      <c r="D579" s="10" t="s">
        <v>19</v>
      </c>
      <c r="E579" s="10" t="s">
        <v>470</v>
      </c>
      <c r="F579" s="10" t="str">
        <f>"2170646612 "</f>
        <v xml:space="preserve">2170646612 </v>
      </c>
      <c r="G579" s="10" t="str">
        <f t="shared" si="17"/>
        <v>ON1</v>
      </c>
      <c r="H579" s="10" t="s">
        <v>21</v>
      </c>
      <c r="I579" s="10" t="s">
        <v>175</v>
      </c>
      <c r="J579" s="10" t="str">
        <f>""</f>
        <v/>
      </c>
      <c r="K579" s="10" t="str">
        <f>"PFES1162645660_0001"</f>
        <v>PFES1162645660_0001</v>
      </c>
      <c r="L579" s="10">
        <v>1</v>
      </c>
      <c r="M579" s="10">
        <v>1</v>
      </c>
    </row>
    <row r="580" spans="1:13">
      <c r="A580" s="8">
        <v>43349</v>
      </c>
      <c r="B580" s="9">
        <v>0.55763888888888891</v>
      </c>
      <c r="C580" s="10" t="str">
        <f>"FES1162645704"</f>
        <v>FES1162645704</v>
      </c>
      <c r="D580" s="10" t="s">
        <v>19</v>
      </c>
      <c r="E580" s="10" t="s">
        <v>471</v>
      </c>
      <c r="F580" s="10" t="str">
        <f>"2170650560 "</f>
        <v xml:space="preserve">2170650560 </v>
      </c>
      <c r="G580" s="10" t="str">
        <f t="shared" si="17"/>
        <v>ON1</v>
      </c>
      <c r="H580" s="10" t="s">
        <v>21</v>
      </c>
      <c r="I580" s="10" t="s">
        <v>472</v>
      </c>
      <c r="J580" s="10" t="str">
        <f>""</f>
        <v/>
      </c>
      <c r="K580" s="10" t="str">
        <f>"PFES1162645704_0001"</f>
        <v>PFES1162645704_0001</v>
      </c>
      <c r="L580" s="10">
        <v>1</v>
      </c>
      <c r="M580" s="10">
        <v>1</v>
      </c>
    </row>
    <row r="581" spans="1:13">
      <c r="A581" s="8">
        <v>43349</v>
      </c>
      <c r="B581" s="9">
        <v>0.55763888888888891</v>
      </c>
      <c r="C581" s="10" t="str">
        <f>"FES1162645525"</f>
        <v>FES1162645525</v>
      </c>
      <c r="D581" s="10" t="s">
        <v>19</v>
      </c>
      <c r="E581" s="10" t="s">
        <v>473</v>
      </c>
      <c r="F581" s="10" t="str">
        <f>"2170650429 "</f>
        <v xml:space="preserve">2170650429 </v>
      </c>
      <c r="G581" s="10" t="str">
        <f t="shared" si="17"/>
        <v>ON1</v>
      </c>
      <c r="H581" s="10" t="s">
        <v>21</v>
      </c>
      <c r="I581" s="10" t="s">
        <v>474</v>
      </c>
      <c r="J581" s="10" t="str">
        <f>""</f>
        <v/>
      </c>
      <c r="K581" s="10" t="str">
        <f>"PFES1162645525_0001"</f>
        <v>PFES1162645525_0001</v>
      </c>
      <c r="L581" s="10">
        <v>1</v>
      </c>
      <c r="M581" s="10">
        <v>1</v>
      </c>
    </row>
    <row r="582" spans="1:13">
      <c r="A582" s="8">
        <v>43349</v>
      </c>
      <c r="B582" s="9">
        <v>0.55763888888888891</v>
      </c>
      <c r="C582" s="10" t="str">
        <f>"FES1162645646"</f>
        <v>FES1162645646</v>
      </c>
      <c r="D582" s="10" t="s">
        <v>19</v>
      </c>
      <c r="E582" s="10" t="s">
        <v>162</v>
      </c>
      <c r="F582" s="10" t="str">
        <f>"2170648987 "</f>
        <v xml:space="preserve">2170648987 </v>
      </c>
      <c r="G582" s="10" t="str">
        <f t="shared" si="17"/>
        <v>ON1</v>
      </c>
      <c r="H582" s="10" t="s">
        <v>21</v>
      </c>
      <c r="I582" s="10" t="s">
        <v>30</v>
      </c>
      <c r="J582" s="10" t="str">
        <f>""</f>
        <v/>
      </c>
      <c r="K582" s="10" t="str">
        <f>"PFES1162645646_0001"</f>
        <v>PFES1162645646_0001</v>
      </c>
      <c r="L582" s="10">
        <v>1</v>
      </c>
      <c r="M582" s="10">
        <v>1</v>
      </c>
    </row>
    <row r="583" spans="1:13">
      <c r="A583" s="8">
        <v>43349</v>
      </c>
      <c r="B583" s="9">
        <v>0.55694444444444446</v>
      </c>
      <c r="C583" s="10" t="str">
        <f>"FES1162645647"</f>
        <v>FES1162645647</v>
      </c>
      <c r="D583" s="10" t="s">
        <v>19</v>
      </c>
      <c r="E583" s="10" t="s">
        <v>471</v>
      </c>
      <c r="F583" s="10" t="str">
        <f>"2170648997 "</f>
        <v xml:space="preserve">2170648997 </v>
      </c>
      <c r="G583" s="10" t="str">
        <f t="shared" si="17"/>
        <v>ON1</v>
      </c>
      <c r="H583" s="10" t="s">
        <v>21</v>
      </c>
      <c r="I583" s="10" t="s">
        <v>472</v>
      </c>
      <c r="J583" s="10" t="str">
        <f>""</f>
        <v/>
      </c>
      <c r="K583" s="10" t="str">
        <f>"PFES1162645647_0001"</f>
        <v>PFES1162645647_0001</v>
      </c>
      <c r="L583" s="10">
        <v>1</v>
      </c>
      <c r="M583" s="10">
        <v>1</v>
      </c>
    </row>
    <row r="584" spans="1:13">
      <c r="A584" s="8">
        <v>43349</v>
      </c>
      <c r="B584" s="9">
        <v>0.55694444444444446</v>
      </c>
      <c r="C584" s="10" t="str">
        <f>"FES1162645667"</f>
        <v>FES1162645667</v>
      </c>
      <c r="D584" s="10" t="s">
        <v>19</v>
      </c>
      <c r="E584" s="10" t="s">
        <v>434</v>
      </c>
      <c r="F584" s="10" t="str">
        <f>"217064892 "</f>
        <v xml:space="preserve">217064892 </v>
      </c>
      <c r="G584" s="10" t="str">
        <f t="shared" si="17"/>
        <v>ON1</v>
      </c>
      <c r="H584" s="10" t="s">
        <v>21</v>
      </c>
      <c r="I584" s="10" t="s">
        <v>30</v>
      </c>
      <c r="J584" s="10" t="str">
        <f>""</f>
        <v/>
      </c>
      <c r="K584" s="10" t="str">
        <f>"PFES1162645667_0001"</f>
        <v>PFES1162645667_0001</v>
      </c>
      <c r="L584" s="10">
        <v>1</v>
      </c>
      <c r="M584" s="10">
        <v>1</v>
      </c>
    </row>
    <row r="585" spans="1:13">
      <c r="A585" s="8">
        <v>43349</v>
      </c>
      <c r="B585" s="9">
        <v>0.55625000000000002</v>
      </c>
      <c r="C585" s="10" t="str">
        <f>"FES1162645691"</f>
        <v>FES1162645691</v>
      </c>
      <c r="D585" s="10" t="s">
        <v>19</v>
      </c>
      <c r="E585" s="10" t="s">
        <v>470</v>
      </c>
      <c r="F585" s="10" t="str">
        <f>"2170650547 "</f>
        <v xml:space="preserve">2170650547 </v>
      </c>
      <c r="G585" s="10" t="str">
        <f t="shared" si="17"/>
        <v>ON1</v>
      </c>
      <c r="H585" s="10" t="s">
        <v>21</v>
      </c>
      <c r="I585" s="10" t="s">
        <v>175</v>
      </c>
      <c r="J585" s="10" t="str">
        <f>""</f>
        <v/>
      </c>
      <c r="K585" s="10" t="str">
        <f>"PFES1162645691_0001"</f>
        <v>PFES1162645691_0001</v>
      </c>
      <c r="L585" s="10">
        <v>1</v>
      </c>
      <c r="M585" s="10">
        <v>1</v>
      </c>
    </row>
    <row r="586" spans="1:13">
      <c r="A586" s="8">
        <v>43349</v>
      </c>
      <c r="B586" s="9">
        <v>0.55625000000000002</v>
      </c>
      <c r="C586" s="10" t="str">
        <f>"FES1162645560"</f>
        <v>FES1162645560</v>
      </c>
      <c r="D586" s="10" t="s">
        <v>19</v>
      </c>
      <c r="E586" s="10" t="s">
        <v>475</v>
      </c>
      <c r="F586" s="10" t="str">
        <f>"2170650484 "</f>
        <v xml:space="preserve">2170650484 </v>
      </c>
      <c r="G586" s="10" t="str">
        <f t="shared" si="17"/>
        <v>ON1</v>
      </c>
      <c r="H586" s="10" t="s">
        <v>21</v>
      </c>
      <c r="I586" s="10" t="s">
        <v>206</v>
      </c>
      <c r="J586" s="10" t="str">
        <f>""</f>
        <v/>
      </c>
      <c r="K586" s="10" t="str">
        <f>"PFES1162645560_0001"</f>
        <v>PFES1162645560_0001</v>
      </c>
      <c r="L586" s="10">
        <v>1</v>
      </c>
      <c r="M586" s="10">
        <v>1</v>
      </c>
    </row>
    <row r="587" spans="1:13">
      <c r="A587" s="8">
        <v>43349</v>
      </c>
      <c r="B587" s="9">
        <v>0.55555555555555558</v>
      </c>
      <c r="C587" s="10" t="str">
        <f>"FES1162645680"</f>
        <v>FES1162645680</v>
      </c>
      <c r="D587" s="10" t="s">
        <v>19</v>
      </c>
      <c r="E587" s="10" t="s">
        <v>297</v>
      </c>
      <c r="F587" s="10" t="str">
        <f>"2170649433 "</f>
        <v xml:space="preserve">2170649433 </v>
      </c>
      <c r="G587" s="10" t="str">
        <f t="shared" si="17"/>
        <v>ON1</v>
      </c>
      <c r="H587" s="10" t="s">
        <v>21</v>
      </c>
      <c r="I587" s="10" t="s">
        <v>42</v>
      </c>
      <c r="J587" s="10" t="str">
        <f>""</f>
        <v/>
      </c>
      <c r="K587" s="10" t="str">
        <f>"PFES1162645680_0001"</f>
        <v>PFES1162645680_0001</v>
      </c>
      <c r="L587" s="10">
        <v>1</v>
      </c>
      <c r="M587" s="10">
        <v>1</v>
      </c>
    </row>
    <row r="588" spans="1:13">
      <c r="A588" s="8">
        <v>43349</v>
      </c>
      <c r="B588" s="9">
        <v>0.55555555555555558</v>
      </c>
      <c r="C588" s="10" t="str">
        <f>"FES1162645622"</f>
        <v>FES1162645622</v>
      </c>
      <c r="D588" s="10" t="s">
        <v>19</v>
      </c>
      <c r="E588" s="10" t="s">
        <v>69</v>
      </c>
      <c r="F588" s="10" t="str">
        <f>"2170650519 "</f>
        <v xml:space="preserve">2170650519 </v>
      </c>
      <c r="G588" s="10" t="str">
        <f t="shared" si="17"/>
        <v>ON1</v>
      </c>
      <c r="H588" s="10" t="s">
        <v>21</v>
      </c>
      <c r="I588" s="10" t="s">
        <v>68</v>
      </c>
      <c r="J588" s="10" t="str">
        <f>""</f>
        <v/>
      </c>
      <c r="K588" s="10" t="str">
        <f>"PFES1162645622_0001"</f>
        <v>PFES1162645622_0001</v>
      </c>
      <c r="L588" s="10">
        <v>1</v>
      </c>
      <c r="M588" s="10">
        <v>7</v>
      </c>
    </row>
    <row r="589" spans="1:13">
      <c r="A589" s="8">
        <v>43349</v>
      </c>
      <c r="B589" s="9">
        <v>0.55486111111111114</v>
      </c>
      <c r="C589" s="10" t="str">
        <f>"FES1162645558"</f>
        <v>FES1162645558</v>
      </c>
      <c r="D589" s="10" t="s">
        <v>19</v>
      </c>
      <c r="E589" s="10" t="s">
        <v>336</v>
      </c>
      <c r="F589" s="10" t="str">
        <f>"2170650466 "</f>
        <v xml:space="preserve">2170650466 </v>
      </c>
      <c r="G589" s="10" t="str">
        <f t="shared" si="17"/>
        <v>ON1</v>
      </c>
      <c r="H589" s="10" t="s">
        <v>21</v>
      </c>
      <c r="I589" s="10" t="s">
        <v>117</v>
      </c>
      <c r="J589" s="10" t="str">
        <f>""</f>
        <v/>
      </c>
      <c r="K589" s="10" t="str">
        <f>"PFES1162645558_0001"</f>
        <v>PFES1162645558_0001</v>
      </c>
      <c r="L589" s="10">
        <v>1</v>
      </c>
      <c r="M589" s="10">
        <v>9</v>
      </c>
    </row>
    <row r="590" spans="1:13">
      <c r="A590" s="8">
        <v>43349</v>
      </c>
      <c r="B590" s="9">
        <v>0.55277777777777781</v>
      </c>
      <c r="C590" s="10" t="str">
        <f>"FES1162645517"</f>
        <v>FES1162645517</v>
      </c>
      <c r="D590" s="10" t="s">
        <v>19</v>
      </c>
      <c r="E590" s="10" t="s">
        <v>424</v>
      </c>
      <c r="F590" s="10" t="str">
        <f>"2170648980 "</f>
        <v xml:space="preserve">2170648980 </v>
      </c>
      <c r="G590" s="10" t="str">
        <f>"DBC"</f>
        <v>DBC</v>
      </c>
      <c r="H590" s="10" t="s">
        <v>21</v>
      </c>
      <c r="I590" s="10" t="s">
        <v>97</v>
      </c>
      <c r="J590" s="10" t="str">
        <f>""</f>
        <v/>
      </c>
      <c r="K590" s="10" t="str">
        <f>"PFES1162645517_0001"</f>
        <v>PFES1162645517_0001</v>
      </c>
      <c r="L590" s="10">
        <v>1</v>
      </c>
      <c r="M590" s="10">
        <v>20</v>
      </c>
    </row>
    <row r="591" spans="1:13">
      <c r="A591" s="8">
        <v>43349</v>
      </c>
      <c r="B591" s="9">
        <v>0.55069444444444449</v>
      </c>
      <c r="C591" s="10" t="str">
        <f>"009935791844"</f>
        <v>009935791844</v>
      </c>
      <c r="D591" s="10" t="s">
        <v>19</v>
      </c>
      <c r="E591" s="10" t="s">
        <v>427</v>
      </c>
      <c r="F591" s="10" t="str">
        <f>"1162645292 "</f>
        <v xml:space="preserve">1162645292 </v>
      </c>
      <c r="G591" s="10" t="str">
        <f t="shared" ref="G591:G608" si="18">"ON1"</f>
        <v>ON1</v>
      </c>
      <c r="H591" s="10" t="s">
        <v>21</v>
      </c>
      <c r="I591" s="10" t="s">
        <v>26</v>
      </c>
      <c r="J591" s="10" t="str">
        <f>"RE SEND WRONGLY PACKED STOCK BY FESTO(SUNNYBOY)"</f>
        <v>RE SEND WRONGLY PACKED STOCK BY FESTO(SUNNYBOY)</v>
      </c>
      <c r="K591" s="10" t="str">
        <f>"P009935791844_0001"</f>
        <v>P009935791844_0001</v>
      </c>
      <c r="L591" s="10">
        <v>1</v>
      </c>
      <c r="M591" s="10">
        <v>7</v>
      </c>
    </row>
    <row r="592" spans="1:13">
      <c r="A592" s="8">
        <v>43349</v>
      </c>
      <c r="B592" s="9">
        <v>0.53888888888888886</v>
      </c>
      <c r="C592" s="10" t="str">
        <f>"FES1162645652"</f>
        <v>FES1162645652</v>
      </c>
      <c r="D592" s="10" t="s">
        <v>19</v>
      </c>
      <c r="E592" s="10" t="s">
        <v>65</v>
      </c>
      <c r="F592" s="10" t="str">
        <f>"2170650529 "</f>
        <v xml:space="preserve">2170650529 </v>
      </c>
      <c r="G592" s="10" t="str">
        <f t="shared" si="18"/>
        <v>ON1</v>
      </c>
      <c r="H592" s="10" t="s">
        <v>21</v>
      </c>
      <c r="I592" s="10" t="s">
        <v>66</v>
      </c>
      <c r="J592" s="10" t="str">
        <f>""</f>
        <v/>
      </c>
      <c r="K592" s="10" t="str">
        <f>"PFES1162645652_0001"</f>
        <v>PFES1162645652_0001</v>
      </c>
      <c r="L592" s="10">
        <v>1</v>
      </c>
      <c r="M592" s="10">
        <v>2</v>
      </c>
    </row>
    <row r="593" spans="1:13">
      <c r="A593" s="8">
        <v>43349</v>
      </c>
      <c r="B593" s="9">
        <v>0.53749999999999998</v>
      </c>
      <c r="C593" s="10" t="str">
        <f>"FES1162645581"</f>
        <v>FES1162645581</v>
      </c>
      <c r="D593" s="10" t="s">
        <v>19</v>
      </c>
      <c r="E593" s="10" t="s">
        <v>129</v>
      </c>
      <c r="F593" s="10" t="str">
        <f>"2170648455 "</f>
        <v xml:space="preserve">2170648455 </v>
      </c>
      <c r="G593" s="10" t="str">
        <f t="shared" si="18"/>
        <v>ON1</v>
      </c>
      <c r="H593" s="10" t="s">
        <v>21</v>
      </c>
      <c r="I593" s="10" t="s">
        <v>76</v>
      </c>
      <c r="J593" s="10" t="str">
        <f>""</f>
        <v/>
      </c>
      <c r="K593" s="10" t="str">
        <f>"PFES1162645581_0001"</f>
        <v>PFES1162645581_0001</v>
      </c>
      <c r="L593" s="10">
        <v>1</v>
      </c>
      <c r="M593" s="10">
        <v>10</v>
      </c>
    </row>
    <row r="594" spans="1:13">
      <c r="A594" s="8">
        <v>43349</v>
      </c>
      <c r="B594" s="9">
        <v>0.53611111111111109</v>
      </c>
      <c r="C594" s="10" t="str">
        <f>"FES1162645598"</f>
        <v>FES1162645598</v>
      </c>
      <c r="D594" s="10" t="s">
        <v>19</v>
      </c>
      <c r="E594" s="10" t="s">
        <v>476</v>
      </c>
      <c r="F594" s="10" t="str">
        <f>"2170648783 "</f>
        <v xml:space="preserve">2170648783 </v>
      </c>
      <c r="G594" s="10" t="str">
        <f t="shared" si="18"/>
        <v>ON1</v>
      </c>
      <c r="H594" s="10" t="s">
        <v>21</v>
      </c>
      <c r="I594" s="10" t="s">
        <v>217</v>
      </c>
      <c r="J594" s="10" t="str">
        <f>""</f>
        <v/>
      </c>
      <c r="K594" s="10" t="str">
        <f>"PFES1162645598_0001"</f>
        <v>PFES1162645598_0001</v>
      </c>
      <c r="L594" s="10">
        <v>1</v>
      </c>
      <c r="M594" s="10">
        <v>3</v>
      </c>
    </row>
    <row r="595" spans="1:13">
      <c r="A595" s="8">
        <v>43349</v>
      </c>
      <c r="B595" s="9">
        <v>0.53541666666666665</v>
      </c>
      <c r="C595" s="10" t="str">
        <f>"FES1162645511"</f>
        <v>FES1162645511</v>
      </c>
      <c r="D595" s="10" t="s">
        <v>19</v>
      </c>
      <c r="E595" s="10" t="s">
        <v>361</v>
      </c>
      <c r="F595" s="10" t="str">
        <f>"2170645802 "</f>
        <v xml:space="preserve">2170645802 </v>
      </c>
      <c r="G595" s="10" t="str">
        <f t="shared" si="18"/>
        <v>ON1</v>
      </c>
      <c r="H595" s="10" t="s">
        <v>21</v>
      </c>
      <c r="I595" s="10" t="s">
        <v>107</v>
      </c>
      <c r="J595" s="10" t="str">
        <f>""</f>
        <v/>
      </c>
      <c r="K595" s="10" t="str">
        <f>"PFES1162645511_0001"</f>
        <v>PFES1162645511_0001</v>
      </c>
      <c r="L595" s="10">
        <v>1</v>
      </c>
      <c r="M595" s="10">
        <v>9</v>
      </c>
    </row>
    <row r="596" spans="1:13">
      <c r="A596" s="8">
        <v>43349</v>
      </c>
      <c r="B596" s="9">
        <v>0.53472222222222221</v>
      </c>
      <c r="C596" s="10" t="str">
        <f>"FES1162645536"</f>
        <v>FES1162645536</v>
      </c>
      <c r="D596" s="10" t="s">
        <v>19</v>
      </c>
      <c r="E596" s="10" t="s">
        <v>477</v>
      </c>
      <c r="F596" s="10" t="str">
        <f>"2170650451 "</f>
        <v xml:space="preserve">2170650451 </v>
      </c>
      <c r="G596" s="10" t="str">
        <f t="shared" si="18"/>
        <v>ON1</v>
      </c>
      <c r="H596" s="10" t="s">
        <v>21</v>
      </c>
      <c r="I596" s="10" t="s">
        <v>478</v>
      </c>
      <c r="J596" s="10" t="str">
        <f>""</f>
        <v/>
      </c>
      <c r="K596" s="10" t="str">
        <f>"PFES1162645536_0001"</f>
        <v>PFES1162645536_0001</v>
      </c>
      <c r="L596" s="10">
        <v>1</v>
      </c>
      <c r="M596" s="10">
        <v>1</v>
      </c>
    </row>
    <row r="597" spans="1:13">
      <c r="A597" s="8">
        <v>43349</v>
      </c>
      <c r="B597" s="9">
        <v>0.53333333333333333</v>
      </c>
      <c r="C597" s="10" t="str">
        <f>"FES1162645578"</f>
        <v>FES1162645578</v>
      </c>
      <c r="D597" s="10" t="s">
        <v>19</v>
      </c>
      <c r="E597" s="10" t="s">
        <v>65</v>
      </c>
      <c r="F597" s="10" t="str">
        <f>"2170648430 "</f>
        <v xml:space="preserve">2170648430 </v>
      </c>
      <c r="G597" s="10" t="str">
        <f t="shared" si="18"/>
        <v>ON1</v>
      </c>
      <c r="H597" s="10" t="s">
        <v>21</v>
      </c>
      <c r="I597" s="10" t="s">
        <v>66</v>
      </c>
      <c r="J597" s="10" t="str">
        <f>""</f>
        <v/>
      </c>
      <c r="K597" s="10" t="str">
        <f>"PFES1162645578_0001"</f>
        <v>PFES1162645578_0001</v>
      </c>
      <c r="L597" s="10">
        <v>1</v>
      </c>
      <c r="M597" s="10">
        <v>3</v>
      </c>
    </row>
    <row r="598" spans="1:13">
      <c r="A598" s="8">
        <v>43349</v>
      </c>
      <c r="B598" s="9">
        <v>0.53263888888888888</v>
      </c>
      <c r="C598" s="10" t="str">
        <f>"FES1162645662"</f>
        <v>FES1162645662</v>
      </c>
      <c r="D598" s="10" t="s">
        <v>19</v>
      </c>
      <c r="E598" s="10" t="s">
        <v>479</v>
      </c>
      <c r="F598" s="10" t="str">
        <f>"2170646704 "</f>
        <v xml:space="preserve">2170646704 </v>
      </c>
      <c r="G598" s="10" t="str">
        <f t="shared" si="18"/>
        <v>ON1</v>
      </c>
      <c r="H598" s="10" t="s">
        <v>21</v>
      </c>
      <c r="I598" s="10" t="s">
        <v>254</v>
      </c>
      <c r="J598" s="10" t="str">
        <f>""</f>
        <v/>
      </c>
      <c r="K598" s="10" t="str">
        <f>"PFES1162645662_0001"</f>
        <v>PFES1162645662_0001</v>
      </c>
      <c r="L598" s="10">
        <v>1</v>
      </c>
      <c r="M598" s="10">
        <v>1</v>
      </c>
    </row>
    <row r="599" spans="1:13">
      <c r="A599" s="8">
        <v>43349</v>
      </c>
      <c r="B599" s="9">
        <v>0.53194444444444444</v>
      </c>
      <c r="C599" s="10" t="str">
        <f>"FES1162645574"</f>
        <v>FES1162645574</v>
      </c>
      <c r="D599" s="10" t="s">
        <v>19</v>
      </c>
      <c r="E599" s="10" t="s">
        <v>480</v>
      </c>
      <c r="F599" s="10" t="str">
        <f>"2170648404 "</f>
        <v xml:space="preserve">2170648404 </v>
      </c>
      <c r="G599" s="10" t="str">
        <f t="shared" si="18"/>
        <v>ON1</v>
      </c>
      <c r="H599" s="10" t="s">
        <v>21</v>
      </c>
      <c r="I599" s="10" t="s">
        <v>36</v>
      </c>
      <c r="J599" s="10" t="str">
        <f>""</f>
        <v/>
      </c>
      <c r="K599" s="10" t="str">
        <f>"PFES1162645574_0001"</f>
        <v>PFES1162645574_0001</v>
      </c>
      <c r="L599" s="10">
        <v>1</v>
      </c>
      <c r="M599" s="10">
        <v>1</v>
      </c>
    </row>
    <row r="600" spans="1:13">
      <c r="A600" s="8">
        <v>43349</v>
      </c>
      <c r="B600" s="9">
        <v>0.53194444444444444</v>
      </c>
      <c r="C600" s="10" t="str">
        <f>"FES1162645643"</f>
        <v>FES1162645643</v>
      </c>
      <c r="D600" s="10" t="s">
        <v>19</v>
      </c>
      <c r="E600" s="10" t="s">
        <v>297</v>
      </c>
      <c r="F600" s="10" t="str">
        <f>"2170648896 "</f>
        <v xml:space="preserve">2170648896 </v>
      </c>
      <c r="G600" s="10" t="str">
        <f t="shared" si="18"/>
        <v>ON1</v>
      </c>
      <c r="H600" s="10" t="s">
        <v>21</v>
      </c>
      <c r="I600" s="10" t="s">
        <v>42</v>
      </c>
      <c r="J600" s="10" t="str">
        <f>""</f>
        <v/>
      </c>
      <c r="K600" s="10" t="str">
        <f>"PFES1162645643_0001"</f>
        <v>PFES1162645643_0001</v>
      </c>
      <c r="L600" s="10">
        <v>1</v>
      </c>
      <c r="M600" s="10">
        <v>5</v>
      </c>
    </row>
    <row r="601" spans="1:13">
      <c r="A601" s="8">
        <v>43349</v>
      </c>
      <c r="B601" s="9">
        <v>0.53194444444444444</v>
      </c>
      <c r="C601" s="10" t="str">
        <f>"FES1162645671"</f>
        <v>FES1162645671</v>
      </c>
      <c r="D601" s="10" t="s">
        <v>19</v>
      </c>
      <c r="E601" s="10" t="s">
        <v>481</v>
      </c>
      <c r="F601" s="10" t="str">
        <f>"21706488213 "</f>
        <v xml:space="preserve">21706488213 </v>
      </c>
      <c r="G601" s="10" t="str">
        <f t="shared" si="18"/>
        <v>ON1</v>
      </c>
      <c r="H601" s="10" t="s">
        <v>21</v>
      </c>
      <c r="I601" s="10" t="s">
        <v>107</v>
      </c>
      <c r="J601" s="10" t="str">
        <f>""</f>
        <v/>
      </c>
      <c r="K601" s="10" t="str">
        <f>"PFES1162645671_0001"</f>
        <v>PFES1162645671_0001</v>
      </c>
      <c r="L601" s="10">
        <v>1</v>
      </c>
      <c r="M601" s="10">
        <v>1</v>
      </c>
    </row>
    <row r="602" spans="1:13">
      <c r="A602" s="8">
        <v>43349</v>
      </c>
      <c r="B602" s="9">
        <v>0.69027777777777777</v>
      </c>
      <c r="C602" s="10" t="str">
        <f>"FES1162645766"</f>
        <v>FES1162645766</v>
      </c>
      <c r="D602" s="10" t="s">
        <v>19</v>
      </c>
      <c r="E602" s="10" t="s">
        <v>90</v>
      </c>
      <c r="F602" s="10" t="str">
        <f>"2170650646 "</f>
        <v xml:space="preserve">2170650646 </v>
      </c>
      <c r="G602" s="10" t="str">
        <f t="shared" si="18"/>
        <v>ON1</v>
      </c>
      <c r="H602" s="10" t="s">
        <v>21</v>
      </c>
      <c r="I602" s="10" t="s">
        <v>91</v>
      </c>
      <c r="J602" s="10" t="str">
        <f>""</f>
        <v/>
      </c>
      <c r="K602" s="10" t="str">
        <f>"PFES1162645766_0001"</f>
        <v>PFES1162645766_0001</v>
      </c>
      <c r="L602" s="10">
        <v>1</v>
      </c>
      <c r="M602" s="10">
        <v>2</v>
      </c>
    </row>
    <row r="603" spans="1:13">
      <c r="A603" s="8">
        <v>43349</v>
      </c>
      <c r="B603" s="9">
        <v>0.68958333333333333</v>
      </c>
      <c r="C603" s="10" t="str">
        <f>"FES1162645809"</f>
        <v>FES1162645809</v>
      </c>
      <c r="D603" s="10" t="s">
        <v>19</v>
      </c>
      <c r="E603" s="10" t="s">
        <v>482</v>
      </c>
      <c r="F603" s="10" t="str">
        <f>"2170650687 "</f>
        <v xml:space="preserve">2170650687 </v>
      </c>
      <c r="G603" s="10" t="str">
        <f t="shared" si="18"/>
        <v>ON1</v>
      </c>
      <c r="H603" s="10" t="s">
        <v>21</v>
      </c>
      <c r="I603" s="10" t="s">
        <v>474</v>
      </c>
      <c r="J603" s="10" t="str">
        <f>""</f>
        <v/>
      </c>
      <c r="K603" s="10" t="str">
        <f>"PFES1162645809_0001"</f>
        <v>PFES1162645809_0001</v>
      </c>
      <c r="L603" s="10">
        <v>1</v>
      </c>
      <c r="M603" s="10">
        <v>3</v>
      </c>
    </row>
    <row r="604" spans="1:13">
      <c r="A604" s="8">
        <v>43349</v>
      </c>
      <c r="B604" s="9">
        <v>0.68819444444444444</v>
      </c>
      <c r="C604" s="10" t="str">
        <f>"FES1162645811"</f>
        <v>FES1162645811</v>
      </c>
      <c r="D604" s="10" t="s">
        <v>19</v>
      </c>
      <c r="E604" s="10" t="s">
        <v>483</v>
      </c>
      <c r="F604" s="10" t="str">
        <f>"2170650629 "</f>
        <v xml:space="preserve">2170650629 </v>
      </c>
      <c r="G604" s="10" t="str">
        <f t="shared" si="18"/>
        <v>ON1</v>
      </c>
      <c r="H604" s="10" t="s">
        <v>21</v>
      </c>
      <c r="I604" s="10" t="s">
        <v>484</v>
      </c>
      <c r="J604" s="10" t="str">
        <f>""</f>
        <v/>
      </c>
      <c r="K604" s="10" t="str">
        <f>"PFES1162645811_0001"</f>
        <v>PFES1162645811_0001</v>
      </c>
      <c r="L604" s="10">
        <v>1</v>
      </c>
      <c r="M604" s="10">
        <v>2</v>
      </c>
    </row>
    <row r="605" spans="1:13">
      <c r="A605" s="8">
        <v>43349</v>
      </c>
      <c r="B605" s="9">
        <v>0.6875</v>
      </c>
      <c r="C605" s="10" t="str">
        <f>"FES1162645734"</f>
        <v>FES1162645734</v>
      </c>
      <c r="D605" s="10" t="s">
        <v>19</v>
      </c>
      <c r="E605" s="10" t="s">
        <v>406</v>
      </c>
      <c r="F605" s="10" t="str">
        <f>"2170650471 "</f>
        <v xml:space="preserve">2170650471 </v>
      </c>
      <c r="G605" s="10" t="str">
        <f t="shared" si="18"/>
        <v>ON1</v>
      </c>
      <c r="H605" s="10" t="s">
        <v>21</v>
      </c>
      <c r="I605" s="10" t="s">
        <v>250</v>
      </c>
      <c r="J605" s="10" t="str">
        <f>""</f>
        <v/>
      </c>
      <c r="K605" s="10" t="str">
        <f>"PFES1162645734_0001"</f>
        <v>PFES1162645734_0001</v>
      </c>
      <c r="L605" s="10">
        <v>1</v>
      </c>
      <c r="M605" s="10">
        <v>1</v>
      </c>
    </row>
    <row r="606" spans="1:13">
      <c r="A606" s="8">
        <v>43349</v>
      </c>
      <c r="B606" s="9">
        <v>0.68680555555555556</v>
      </c>
      <c r="C606" s="10" t="str">
        <f>"FES1162645764"</f>
        <v>FES1162645764</v>
      </c>
      <c r="D606" s="10" t="s">
        <v>19</v>
      </c>
      <c r="E606" s="10" t="s">
        <v>162</v>
      </c>
      <c r="F606" s="10" t="str">
        <f>"2170650633 "</f>
        <v xml:space="preserve">2170650633 </v>
      </c>
      <c r="G606" s="10" t="str">
        <f t="shared" si="18"/>
        <v>ON1</v>
      </c>
      <c r="H606" s="10" t="s">
        <v>21</v>
      </c>
      <c r="I606" s="10" t="s">
        <v>30</v>
      </c>
      <c r="J606" s="10" t="str">
        <f>""</f>
        <v/>
      </c>
      <c r="K606" s="10" t="str">
        <f>"PFES1162645764_0001"</f>
        <v>PFES1162645764_0001</v>
      </c>
      <c r="L606" s="10">
        <v>1</v>
      </c>
      <c r="M606" s="10">
        <v>3</v>
      </c>
    </row>
    <row r="607" spans="1:13">
      <c r="A607" s="8">
        <v>43349</v>
      </c>
      <c r="B607" s="9">
        <v>0.68680555555555556</v>
      </c>
      <c r="C607" s="10" t="str">
        <f>"FES1162645733"</f>
        <v>FES1162645733</v>
      </c>
      <c r="D607" s="10" t="s">
        <v>19</v>
      </c>
      <c r="E607" s="10" t="s">
        <v>485</v>
      </c>
      <c r="F607" s="10" t="str">
        <f>"2170650405 "</f>
        <v xml:space="preserve">2170650405 </v>
      </c>
      <c r="G607" s="10" t="str">
        <f t="shared" si="18"/>
        <v>ON1</v>
      </c>
      <c r="H607" s="10" t="s">
        <v>21</v>
      </c>
      <c r="I607" s="10" t="s">
        <v>486</v>
      </c>
      <c r="J607" s="10" t="str">
        <f>""</f>
        <v/>
      </c>
      <c r="K607" s="10" t="str">
        <f>"PFES1162645733_0001"</f>
        <v>PFES1162645733_0001</v>
      </c>
      <c r="L607" s="10">
        <v>1</v>
      </c>
      <c r="M607" s="10">
        <v>14</v>
      </c>
    </row>
    <row r="608" spans="1:13">
      <c r="A608" s="8">
        <v>43349</v>
      </c>
      <c r="B608" s="9">
        <v>0.68611111111111101</v>
      </c>
      <c r="C608" s="10" t="str">
        <f>"FES1162645753"</f>
        <v>FES1162645753</v>
      </c>
      <c r="D608" s="10" t="s">
        <v>19</v>
      </c>
      <c r="E608" s="10" t="s">
        <v>81</v>
      </c>
      <c r="F608" s="10" t="str">
        <f>"2170650626 "</f>
        <v xml:space="preserve">2170650626 </v>
      </c>
      <c r="G608" s="10" t="str">
        <f t="shared" si="18"/>
        <v>ON1</v>
      </c>
      <c r="H608" s="10" t="s">
        <v>21</v>
      </c>
      <c r="I608" s="10" t="s">
        <v>28</v>
      </c>
      <c r="J608" s="10" t="str">
        <f>""</f>
        <v/>
      </c>
      <c r="K608" s="10" t="str">
        <f>"PFES1162645753_0001"</f>
        <v>PFES1162645753_0001</v>
      </c>
      <c r="L608" s="10">
        <v>1</v>
      </c>
      <c r="M608" s="10">
        <v>1</v>
      </c>
    </row>
    <row r="609" spans="1:13">
      <c r="A609" s="8">
        <v>43349</v>
      </c>
      <c r="B609" s="9">
        <v>0.68611111111111101</v>
      </c>
      <c r="C609" s="10" t="str">
        <f>"FES1162645768"</f>
        <v>FES1162645768</v>
      </c>
      <c r="D609" s="10" t="s">
        <v>19</v>
      </c>
      <c r="E609" s="10" t="s">
        <v>141</v>
      </c>
      <c r="F609" s="10" t="str">
        <f>"2170650648 "</f>
        <v xml:space="preserve">2170650648 </v>
      </c>
      <c r="G609" s="10" t="str">
        <f>"DBC"</f>
        <v>DBC</v>
      </c>
      <c r="H609" s="10" t="s">
        <v>21</v>
      </c>
      <c r="I609" s="10" t="s">
        <v>91</v>
      </c>
      <c r="J609" s="10" t="str">
        <f>"FRAGILE OIL"</f>
        <v>FRAGILE OIL</v>
      </c>
      <c r="K609" s="10" t="str">
        <f>"PFES1162645768_0001"</f>
        <v>PFES1162645768_0001</v>
      </c>
      <c r="L609" s="10">
        <v>1</v>
      </c>
      <c r="M609" s="10">
        <v>1</v>
      </c>
    </row>
    <row r="610" spans="1:13">
      <c r="A610" s="8">
        <v>43349</v>
      </c>
      <c r="B610" s="9">
        <v>0.68333333333333324</v>
      </c>
      <c r="C610" s="10" t="str">
        <f>"FES1162645777"</f>
        <v>FES1162645777</v>
      </c>
      <c r="D610" s="10" t="s">
        <v>19</v>
      </c>
      <c r="E610" s="10" t="s">
        <v>65</v>
      </c>
      <c r="F610" s="10" t="str">
        <f>"2170650142 "</f>
        <v xml:space="preserve">2170650142 </v>
      </c>
      <c r="G610" s="10" t="str">
        <f t="shared" ref="G610:G653" si="19">"ON1"</f>
        <v>ON1</v>
      </c>
      <c r="H610" s="10" t="s">
        <v>21</v>
      </c>
      <c r="I610" s="10" t="s">
        <v>66</v>
      </c>
      <c r="J610" s="10" t="str">
        <f>""</f>
        <v/>
      </c>
      <c r="K610" s="10" t="str">
        <f>"PFES1162645777_0001"</f>
        <v>PFES1162645777_0001</v>
      </c>
      <c r="L610" s="10">
        <v>1</v>
      </c>
      <c r="M610" s="10">
        <v>9</v>
      </c>
    </row>
    <row r="611" spans="1:13">
      <c r="A611" s="8">
        <v>43349</v>
      </c>
      <c r="B611" s="9">
        <v>0.68333333333333324</v>
      </c>
      <c r="C611" s="10" t="str">
        <f>"FES1162645794"</f>
        <v>FES1162645794</v>
      </c>
      <c r="D611" s="10" t="s">
        <v>19</v>
      </c>
      <c r="E611" s="10" t="s">
        <v>487</v>
      </c>
      <c r="F611" s="10" t="str">
        <f>"2170650675 "</f>
        <v xml:space="preserve">2170650675 </v>
      </c>
      <c r="G611" s="10" t="str">
        <f t="shared" si="19"/>
        <v>ON1</v>
      </c>
      <c r="H611" s="10" t="s">
        <v>21</v>
      </c>
      <c r="I611" s="10" t="s">
        <v>189</v>
      </c>
      <c r="J611" s="10" t="str">
        <f>""</f>
        <v/>
      </c>
      <c r="K611" s="10" t="str">
        <f>"PFES1162645794_0001"</f>
        <v>PFES1162645794_0001</v>
      </c>
      <c r="L611" s="10">
        <v>1</v>
      </c>
      <c r="M611" s="10">
        <v>1</v>
      </c>
    </row>
    <row r="612" spans="1:13">
      <c r="A612" s="8">
        <v>43349</v>
      </c>
      <c r="B612" s="9">
        <v>0.68333333333333324</v>
      </c>
      <c r="C612" s="10" t="str">
        <f>"FES1162645806"</f>
        <v>FES1162645806</v>
      </c>
      <c r="D612" s="10" t="s">
        <v>19</v>
      </c>
      <c r="E612" s="10" t="s">
        <v>473</v>
      </c>
      <c r="F612" s="10" t="str">
        <f>"2170650351 "</f>
        <v xml:space="preserve">2170650351 </v>
      </c>
      <c r="G612" s="10" t="str">
        <f t="shared" si="19"/>
        <v>ON1</v>
      </c>
      <c r="H612" s="10" t="s">
        <v>21</v>
      </c>
      <c r="I612" s="10" t="s">
        <v>474</v>
      </c>
      <c r="J612" s="10" t="str">
        <f>""</f>
        <v/>
      </c>
      <c r="K612" s="10" t="str">
        <f>"PFES1162645806_0001"</f>
        <v>PFES1162645806_0001</v>
      </c>
      <c r="L612" s="10">
        <v>1</v>
      </c>
      <c r="M612" s="10">
        <v>1</v>
      </c>
    </row>
    <row r="613" spans="1:13">
      <c r="A613" s="8">
        <v>43349</v>
      </c>
      <c r="B613" s="9">
        <v>0.68263888888888891</v>
      </c>
      <c r="C613" s="10" t="str">
        <f>"FES1162645803"</f>
        <v>FES1162645803</v>
      </c>
      <c r="D613" s="10" t="s">
        <v>19</v>
      </c>
      <c r="E613" s="10" t="s">
        <v>141</v>
      </c>
      <c r="F613" s="10" t="str">
        <f>"2170650682 "</f>
        <v xml:space="preserve">2170650682 </v>
      </c>
      <c r="G613" s="10" t="str">
        <f t="shared" si="19"/>
        <v>ON1</v>
      </c>
      <c r="H613" s="10" t="s">
        <v>21</v>
      </c>
      <c r="I613" s="10" t="s">
        <v>91</v>
      </c>
      <c r="J613" s="10" t="str">
        <f>""</f>
        <v/>
      </c>
      <c r="K613" s="10" t="str">
        <f>"PFES1162645803_0001"</f>
        <v>PFES1162645803_0001</v>
      </c>
      <c r="L613" s="10">
        <v>1</v>
      </c>
      <c r="M613" s="10">
        <v>1</v>
      </c>
    </row>
    <row r="614" spans="1:13">
      <c r="A614" s="8">
        <v>43349</v>
      </c>
      <c r="B614" s="9">
        <v>0.68263888888888891</v>
      </c>
      <c r="C614" s="10" t="str">
        <f>"FES1162645780"</f>
        <v>FES1162645780</v>
      </c>
      <c r="D614" s="10" t="s">
        <v>19</v>
      </c>
      <c r="E614" s="10" t="s">
        <v>65</v>
      </c>
      <c r="F614" s="10" t="str">
        <f>"2170650465 "</f>
        <v xml:space="preserve">2170650465 </v>
      </c>
      <c r="G614" s="10" t="str">
        <f t="shared" si="19"/>
        <v>ON1</v>
      </c>
      <c r="H614" s="10" t="s">
        <v>21</v>
      </c>
      <c r="I614" s="10" t="s">
        <v>66</v>
      </c>
      <c r="J614" s="10" t="str">
        <f>""</f>
        <v/>
      </c>
      <c r="K614" s="10" t="str">
        <f>"PFES1162645780_0001"</f>
        <v>PFES1162645780_0001</v>
      </c>
      <c r="L614" s="10">
        <v>1</v>
      </c>
      <c r="M614" s="10">
        <v>6</v>
      </c>
    </row>
    <row r="615" spans="1:13">
      <c r="A615" s="8">
        <v>43349</v>
      </c>
      <c r="B615" s="9">
        <v>0.68125000000000002</v>
      </c>
      <c r="C615" s="10" t="str">
        <f>"FES1162645735"</f>
        <v>FES1162645735</v>
      </c>
      <c r="D615" s="10" t="s">
        <v>19</v>
      </c>
      <c r="E615" s="10" t="s">
        <v>406</v>
      </c>
      <c r="F615" s="10" t="str">
        <f>"2170650480 "</f>
        <v xml:space="preserve">2170650480 </v>
      </c>
      <c r="G615" s="10" t="str">
        <f t="shared" si="19"/>
        <v>ON1</v>
      </c>
      <c r="H615" s="10" t="s">
        <v>21</v>
      </c>
      <c r="I615" s="10" t="s">
        <v>250</v>
      </c>
      <c r="J615" s="10" t="str">
        <f>""</f>
        <v/>
      </c>
      <c r="K615" s="10" t="str">
        <f>"PFES1162645735_0001"</f>
        <v>PFES1162645735_0001</v>
      </c>
      <c r="L615" s="10">
        <v>1</v>
      </c>
      <c r="M615" s="10">
        <v>3</v>
      </c>
    </row>
    <row r="616" spans="1:13">
      <c r="A616" s="8">
        <v>43349</v>
      </c>
      <c r="B616" s="9">
        <v>0.67708333333333337</v>
      </c>
      <c r="C616" s="10" t="str">
        <f>"FES1162645774"</f>
        <v>FES1162645774</v>
      </c>
      <c r="D616" s="10" t="s">
        <v>19</v>
      </c>
      <c r="E616" s="10" t="s">
        <v>488</v>
      </c>
      <c r="F616" s="10" t="str">
        <f>"2170650657 "</f>
        <v xml:space="preserve">2170650657 </v>
      </c>
      <c r="G616" s="10" t="str">
        <f t="shared" si="19"/>
        <v>ON1</v>
      </c>
      <c r="H616" s="10" t="s">
        <v>21</v>
      </c>
      <c r="I616" s="10" t="s">
        <v>277</v>
      </c>
      <c r="J616" s="10" t="str">
        <f>""</f>
        <v/>
      </c>
      <c r="K616" s="10" t="str">
        <f>"PFES1162645774_0001"</f>
        <v>PFES1162645774_0001</v>
      </c>
      <c r="L616" s="10">
        <v>1</v>
      </c>
      <c r="M616" s="10">
        <v>6</v>
      </c>
    </row>
    <row r="617" spans="1:13">
      <c r="A617" s="8">
        <v>43349</v>
      </c>
      <c r="B617" s="9">
        <v>0.67638888888888893</v>
      </c>
      <c r="C617" s="10" t="str">
        <f>"FES1162645779"</f>
        <v>FES1162645779</v>
      </c>
      <c r="D617" s="10" t="s">
        <v>19</v>
      </c>
      <c r="E617" s="10" t="s">
        <v>362</v>
      </c>
      <c r="F617" s="10" t="str">
        <f>"2170650430 "</f>
        <v xml:space="preserve">2170650430 </v>
      </c>
      <c r="G617" s="10" t="str">
        <f t="shared" si="19"/>
        <v>ON1</v>
      </c>
      <c r="H617" s="10" t="s">
        <v>21</v>
      </c>
      <c r="I617" s="10" t="s">
        <v>179</v>
      </c>
      <c r="J617" s="10" t="str">
        <f>""</f>
        <v/>
      </c>
      <c r="K617" s="10" t="str">
        <f>"PFES1162645779_0001"</f>
        <v>PFES1162645779_0001</v>
      </c>
      <c r="L617" s="10">
        <v>1</v>
      </c>
      <c r="M617" s="10">
        <v>1</v>
      </c>
    </row>
    <row r="618" spans="1:13">
      <c r="A618" s="8">
        <v>43349</v>
      </c>
      <c r="B618" s="9">
        <v>0.67499999999999993</v>
      </c>
      <c r="C618" s="10" t="str">
        <f>"FES1162645797"</f>
        <v>FES1162645797</v>
      </c>
      <c r="D618" s="10" t="s">
        <v>19</v>
      </c>
      <c r="E618" s="10" t="s">
        <v>489</v>
      </c>
      <c r="F618" s="10" t="str">
        <f>"2170649989 "</f>
        <v xml:space="preserve">2170649989 </v>
      </c>
      <c r="G618" s="10" t="str">
        <f t="shared" si="19"/>
        <v>ON1</v>
      </c>
      <c r="H618" s="10" t="s">
        <v>21</v>
      </c>
      <c r="I618" s="10" t="s">
        <v>290</v>
      </c>
      <c r="J618" s="10" t="str">
        <f>""</f>
        <v/>
      </c>
      <c r="K618" s="10" t="str">
        <f>"PFES1162645797_0001"</f>
        <v>PFES1162645797_0001</v>
      </c>
      <c r="L618" s="10">
        <v>1</v>
      </c>
      <c r="M618" s="10">
        <v>2</v>
      </c>
    </row>
    <row r="619" spans="1:13">
      <c r="A619" s="8">
        <v>43349</v>
      </c>
      <c r="B619" s="9">
        <v>0.67361111111111116</v>
      </c>
      <c r="C619" s="10" t="str">
        <f>"FES1162645696"</f>
        <v>FES1162645696</v>
      </c>
      <c r="D619" s="10" t="s">
        <v>19</v>
      </c>
      <c r="E619" s="10" t="s">
        <v>490</v>
      </c>
      <c r="F619" s="10" t="str">
        <f>"2170650176 "</f>
        <v xml:space="preserve">2170650176 </v>
      </c>
      <c r="G619" s="10" t="str">
        <f t="shared" si="19"/>
        <v>ON1</v>
      </c>
      <c r="H619" s="10" t="s">
        <v>21</v>
      </c>
      <c r="I619" s="10" t="s">
        <v>340</v>
      </c>
      <c r="J619" s="10" t="str">
        <f>""</f>
        <v/>
      </c>
      <c r="K619" s="10" t="str">
        <f>"PFES1162645696_0001"</f>
        <v>PFES1162645696_0001</v>
      </c>
      <c r="L619" s="10">
        <v>1</v>
      </c>
      <c r="M619" s="10">
        <v>1</v>
      </c>
    </row>
    <row r="620" spans="1:13">
      <c r="A620" s="8">
        <v>43349</v>
      </c>
      <c r="B620" s="9">
        <v>0.67361111111111116</v>
      </c>
      <c r="C620" s="10" t="str">
        <f>"FES1162645745"</f>
        <v>FES1162645745</v>
      </c>
      <c r="D620" s="10" t="s">
        <v>19</v>
      </c>
      <c r="E620" s="10" t="s">
        <v>212</v>
      </c>
      <c r="F620" s="10" t="str">
        <f>"2170638854 "</f>
        <v xml:space="preserve">2170638854 </v>
      </c>
      <c r="G620" s="10" t="str">
        <f t="shared" si="19"/>
        <v>ON1</v>
      </c>
      <c r="H620" s="10" t="s">
        <v>21</v>
      </c>
      <c r="I620" s="10" t="s">
        <v>211</v>
      </c>
      <c r="J620" s="10" t="str">
        <f>""</f>
        <v/>
      </c>
      <c r="K620" s="10" t="str">
        <f>"PFES1162645745_0001"</f>
        <v>PFES1162645745_0001</v>
      </c>
      <c r="L620" s="10">
        <v>1</v>
      </c>
      <c r="M620" s="10">
        <v>3</v>
      </c>
    </row>
    <row r="621" spans="1:13">
      <c r="A621" s="8">
        <v>43349</v>
      </c>
      <c r="B621" s="9">
        <v>0.67222222222222217</v>
      </c>
      <c r="C621" s="10" t="str">
        <f>"FES1162645801"</f>
        <v>FES1162645801</v>
      </c>
      <c r="D621" s="10" t="s">
        <v>19</v>
      </c>
      <c r="E621" s="10" t="s">
        <v>491</v>
      </c>
      <c r="F621" s="10" t="str">
        <f>"2170650679 "</f>
        <v xml:space="preserve">2170650679 </v>
      </c>
      <c r="G621" s="10" t="str">
        <f t="shared" si="19"/>
        <v>ON1</v>
      </c>
      <c r="H621" s="10" t="s">
        <v>21</v>
      </c>
      <c r="I621" s="10" t="s">
        <v>492</v>
      </c>
      <c r="J621" s="10" t="str">
        <f>""</f>
        <v/>
      </c>
      <c r="K621" s="10" t="str">
        <f>"PFES1162645801_0001"</f>
        <v>PFES1162645801_0001</v>
      </c>
      <c r="L621" s="10">
        <v>1</v>
      </c>
      <c r="M621" s="10">
        <v>1</v>
      </c>
    </row>
    <row r="622" spans="1:13">
      <c r="A622" s="8">
        <v>43349</v>
      </c>
      <c r="B622" s="9">
        <v>0.67222222222222217</v>
      </c>
      <c r="C622" s="10" t="str">
        <f>"FES1162645808"</f>
        <v>FES1162645808</v>
      </c>
      <c r="D622" s="10" t="s">
        <v>19</v>
      </c>
      <c r="E622" s="10" t="s">
        <v>493</v>
      </c>
      <c r="F622" s="10" t="str">
        <f>"2170650685 "</f>
        <v xml:space="preserve">2170650685 </v>
      </c>
      <c r="G622" s="10" t="str">
        <f t="shared" si="19"/>
        <v>ON1</v>
      </c>
      <c r="H622" s="10" t="s">
        <v>21</v>
      </c>
      <c r="I622" s="10" t="s">
        <v>107</v>
      </c>
      <c r="J622" s="10" t="str">
        <f>""</f>
        <v/>
      </c>
      <c r="K622" s="10" t="str">
        <f>"PFES1162645808_0001"</f>
        <v>PFES1162645808_0001</v>
      </c>
      <c r="L622" s="10">
        <v>1</v>
      </c>
      <c r="M622" s="10">
        <v>1</v>
      </c>
    </row>
    <row r="623" spans="1:13">
      <c r="A623" s="8">
        <v>43349</v>
      </c>
      <c r="B623" s="9">
        <v>0.67222222222222217</v>
      </c>
      <c r="C623" s="10" t="str">
        <f>"FES1162645725"</f>
        <v>FES1162645725</v>
      </c>
      <c r="D623" s="10" t="s">
        <v>19</v>
      </c>
      <c r="E623" s="10" t="s">
        <v>494</v>
      </c>
      <c r="F623" s="10" t="str">
        <f>"2170650588 "</f>
        <v xml:space="preserve">2170650588 </v>
      </c>
      <c r="G623" s="10" t="str">
        <f t="shared" si="19"/>
        <v>ON1</v>
      </c>
      <c r="H623" s="10" t="s">
        <v>21</v>
      </c>
      <c r="I623" s="10" t="s">
        <v>495</v>
      </c>
      <c r="J623" s="10" t="str">
        <f>""</f>
        <v/>
      </c>
      <c r="K623" s="10" t="str">
        <f>"PFES1162645725_0001"</f>
        <v>PFES1162645725_0001</v>
      </c>
      <c r="L623" s="10">
        <v>1</v>
      </c>
      <c r="M623" s="10">
        <v>7</v>
      </c>
    </row>
    <row r="624" spans="1:13">
      <c r="A624" s="8">
        <v>43349</v>
      </c>
      <c r="B624" s="9">
        <v>0.67222222222222217</v>
      </c>
      <c r="C624" s="10" t="str">
        <f>"FES1162645796"</f>
        <v>FES1162645796</v>
      </c>
      <c r="D624" s="10" t="s">
        <v>19</v>
      </c>
      <c r="E624" s="10" t="s">
        <v>397</v>
      </c>
      <c r="F624" s="10" t="str">
        <f>"2170650677 "</f>
        <v xml:space="preserve">2170650677 </v>
      </c>
      <c r="G624" s="10" t="str">
        <f t="shared" si="19"/>
        <v>ON1</v>
      </c>
      <c r="H624" s="10" t="s">
        <v>21</v>
      </c>
      <c r="I624" s="10" t="s">
        <v>89</v>
      </c>
      <c r="J624" s="10" t="str">
        <f>""</f>
        <v/>
      </c>
      <c r="K624" s="10" t="str">
        <f>"PFES1162645796_0001"</f>
        <v>PFES1162645796_0001</v>
      </c>
      <c r="L624" s="10">
        <v>1</v>
      </c>
      <c r="M624" s="10">
        <v>1</v>
      </c>
    </row>
    <row r="625" spans="1:13">
      <c r="A625" s="8">
        <v>43349</v>
      </c>
      <c r="B625" s="9">
        <v>0.67152777777777783</v>
      </c>
      <c r="C625" s="10" t="str">
        <f>"FES1162645798"</f>
        <v>FES1162645798</v>
      </c>
      <c r="D625" s="10" t="s">
        <v>19</v>
      </c>
      <c r="E625" s="10" t="s">
        <v>220</v>
      </c>
      <c r="F625" s="10" t="str">
        <f>"2170650654 "</f>
        <v xml:space="preserve">2170650654 </v>
      </c>
      <c r="G625" s="10" t="str">
        <f t="shared" si="19"/>
        <v>ON1</v>
      </c>
      <c r="H625" s="10" t="s">
        <v>21</v>
      </c>
      <c r="I625" s="10" t="s">
        <v>126</v>
      </c>
      <c r="J625" s="10" t="str">
        <f>""</f>
        <v/>
      </c>
      <c r="K625" s="10" t="str">
        <f>"PFES1162645798_0001"</f>
        <v>PFES1162645798_0001</v>
      </c>
      <c r="L625" s="10">
        <v>1</v>
      </c>
      <c r="M625" s="10">
        <v>1</v>
      </c>
    </row>
    <row r="626" spans="1:13">
      <c r="A626" s="8">
        <v>43349</v>
      </c>
      <c r="B626" s="9">
        <v>0.67152777777777783</v>
      </c>
      <c r="C626" s="10" t="str">
        <f>"FES1162645787"</f>
        <v>FES1162645787</v>
      </c>
      <c r="D626" s="10" t="s">
        <v>19</v>
      </c>
      <c r="E626" s="10" t="s">
        <v>440</v>
      </c>
      <c r="F626" s="10" t="str">
        <f>"2170650668 "</f>
        <v xml:space="preserve">2170650668 </v>
      </c>
      <c r="G626" s="10" t="str">
        <f t="shared" si="19"/>
        <v>ON1</v>
      </c>
      <c r="H626" s="10" t="s">
        <v>21</v>
      </c>
      <c r="I626" s="10" t="s">
        <v>76</v>
      </c>
      <c r="J626" s="10" t="str">
        <f>""</f>
        <v/>
      </c>
      <c r="K626" s="10" t="str">
        <f>"PFES1162645787_0001"</f>
        <v>PFES1162645787_0001</v>
      </c>
      <c r="L626" s="10">
        <v>1</v>
      </c>
      <c r="M626" s="10">
        <v>1</v>
      </c>
    </row>
    <row r="627" spans="1:13">
      <c r="A627" s="8">
        <v>43349</v>
      </c>
      <c r="B627" s="9">
        <v>0.67152777777777783</v>
      </c>
      <c r="C627" s="10" t="str">
        <f>"FES1162645782"</f>
        <v>FES1162645782</v>
      </c>
      <c r="D627" s="10" t="s">
        <v>19</v>
      </c>
      <c r="E627" s="10" t="s">
        <v>496</v>
      </c>
      <c r="F627" s="10" t="str">
        <f>"2170650521 "</f>
        <v xml:space="preserve">2170650521 </v>
      </c>
      <c r="G627" s="10" t="str">
        <f t="shared" si="19"/>
        <v>ON1</v>
      </c>
      <c r="H627" s="10" t="s">
        <v>21</v>
      </c>
      <c r="I627" s="10" t="s">
        <v>497</v>
      </c>
      <c r="J627" s="10" t="str">
        <f>""</f>
        <v/>
      </c>
      <c r="K627" s="10" t="str">
        <f>"PFES1162645782_0001"</f>
        <v>PFES1162645782_0001</v>
      </c>
      <c r="L627" s="10">
        <v>1</v>
      </c>
      <c r="M627" s="10">
        <v>7</v>
      </c>
    </row>
    <row r="628" spans="1:13">
      <c r="A628" s="8">
        <v>43349</v>
      </c>
      <c r="B628" s="9">
        <v>0.67083333333333339</v>
      </c>
      <c r="C628" s="10" t="str">
        <f>"FES1162645805"</f>
        <v>FES1162645805</v>
      </c>
      <c r="D628" s="10" t="s">
        <v>19</v>
      </c>
      <c r="E628" s="10" t="s">
        <v>494</v>
      </c>
      <c r="F628" s="10" t="str">
        <f>"2170650686 "</f>
        <v xml:space="preserve">2170650686 </v>
      </c>
      <c r="G628" s="10" t="str">
        <f t="shared" si="19"/>
        <v>ON1</v>
      </c>
      <c r="H628" s="10" t="s">
        <v>21</v>
      </c>
      <c r="I628" s="10" t="s">
        <v>495</v>
      </c>
      <c r="J628" s="10" t="str">
        <f>""</f>
        <v/>
      </c>
      <c r="K628" s="10" t="str">
        <f>"PFES1162645805_0001"</f>
        <v>PFES1162645805_0001</v>
      </c>
      <c r="L628" s="10">
        <v>1</v>
      </c>
      <c r="M628" s="10">
        <v>1</v>
      </c>
    </row>
    <row r="629" spans="1:13">
      <c r="A629" s="8">
        <v>43349</v>
      </c>
      <c r="B629" s="9">
        <v>0.67013888888888884</v>
      </c>
      <c r="C629" s="10" t="str">
        <f>"FES1162645786"</f>
        <v>FES1162645786</v>
      </c>
      <c r="D629" s="10" t="s">
        <v>19</v>
      </c>
      <c r="E629" s="10" t="s">
        <v>498</v>
      </c>
      <c r="F629" s="10" t="str">
        <f>"2170650667 "</f>
        <v xml:space="preserve">2170650667 </v>
      </c>
      <c r="G629" s="10" t="str">
        <f t="shared" si="19"/>
        <v>ON1</v>
      </c>
      <c r="H629" s="10" t="s">
        <v>21</v>
      </c>
      <c r="I629" s="10" t="s">
        <v>499</v>
      </c>
      <c r="J629" s="10" t="str">
        <f>""</f>
        <v/>
      </c>
      <c r="K629" s="10" t="str">
        <f>"PFES1162645786_0001"</f>
        <v>PFES1162645786_0001</v>
      </c>
      <c r="L629" s="10">
        <v>1</v>
      </c>
      <c r="M629" s="10">
        <v>3</v>
      </c>
    </row>
    <row r="630" spans="1:13">
      <c r="A630" s="8">
        <v>43349</v>
      </c>
      <c r="B630" s="9">
        <v>0.66666666666666663</v>
      </c>
      <c r="C630" s="10" t="str">
        <f>"FES1162645778"</f>
        <v>FES1162645778</v>
      </c>
      <c r="D630" s="10" t="s">
        <v>19</v>
      </c>
      <c r="E630" s="10" t="s">
        <v>461</v>
      </c>
      <c r="F630" s="10" t="str">
        <f>"2170650402 "</f>
        <v xml:space="preserve">2170650402 </v>
      </c>
      <c r="G630" s="10" t="str">
        <f t="shared" si="19"/>
        <v>ON1</v>
      </c>
      <c r="H630" s="10" t="s">
        <v>21</v>
      </c>
      <c r="I630" s="10" t="s">
        <v>400</v>
      </c>
      <c r="J630" s="10" t="str">
        <f>""</f>
        <v/>
      </c>
      <c r="K630" s="10" t="str">
        <f>"PFES1162645778_0001"</f>
        <v>PFES1162645778_0001</v>
      </c>
      <c r="L630" s="10">
        <v>1</v>
      </c>
      <c r="M630" s="10">
        <v>1</v>
      </c>
    </row>
    <row r="631" spans="1:13">
      <c r="A631" s="8">
        <v>43349</v>
      </c>
      <c r="B631" s="9">
        <v>0.66597222222222219</v>
      </c>
      <c r="C631" s="10" t="str">
        <f>"FES1162645791"</f>
        <v>FES1162645791</v>
      </c>
      <c r="D631" s="10" t="s">
        <v>19</v>
      </c>
      <c r="E631" s="10" t="s">
        <v>39</v>
      </c>
      <c r="F631" s="10" t="str">
        <f>"2170650669 "</f>
        <v xml:space="preserve">2170650669 </v>
      </c>
      <c r="G631" s="10" t="str">
        <f t="shared" si="19"/>
        <v>ON1</v>
      </c>
      <c r="H631" s="10" t="s">
        <v>21</v>
      </c>
      <c r="I631" s="10" t="s">
        <v>40</v>
      </c>
      <c r="J631" s="10" t="str">
        <f>""</f>
        <v/>
      </c>
      <c r="K631" s="10" t="str">
        <f>"PFES1162645791_0001"</f>
        <v>PFES1162645791_0001</v>
      </c>
      <c r="L631" s="10">
        <v>1</v>
      </c>
      <c r="M631" s="10">
        <v>1</v>
      </c>
    </row>
    <row r="632" spans="1:13">
      <c r="A632" s="8">
        <v>43349</v>
      </c>
      <c r="B632" s="9">
        <v>0.66597222222222219</v>
      </c>
      <c r="C632" s="10" t="str">
        <f>"FES1162645713"</f>
        <v>FES1162645713</v>
      </c>
      <c r="D632" s="10" t="s">
        <v>19</v>
      </c>
      <c r="E632" s="10" t="s">
        <v>37</v>
      </c>
      <c r="F632" s="10" t="str">
        <f>"2170650573 "</f>
        <v xml:space="preserve">2170650573 </v>
      </c>
      <c r="G632" s="10" t="str">
        <f t="shared" si="19"/>
        <v>ON1</v>
      </c>
      <c r="H632" s="10" t="s">
        <v>21</v>
      </c>
      <c r="I632" s="10" t="s">
        <v>26</v>
      </c>
      <c r="J632" s="10" t="str">
        <f>""</f>
        <v/>
      </c>
      <c r="K632" s="10" t="str">
        <f>"PFES1162645713_0001"</f>
        <v>PFES1162645713_0001</v>
      </c>
      <c r="L632" s="10">
        <v>1</v>
      </c>
      <c r="M632" s="10">
        <v>1</v>
      </c>
    </row>
    <row r="633" spans="1:13">
      <c r="A633" s="8">
        <v>43349</v>
      </c>
      <c r="B633" s="9">
        <v>0.66597222222222219</v>
      </c>
      <c r="C633" s="10" t="str">
        <f>"FES1162645719"</f>
        <v>FES1162645719</v>
      </c>
      <c r="D633" s="10" t="s">
        <v>19</v>
      </c>
      <c r="E633" s="10" t="s">
        <v>500</v>
      </c>
      <c r="F633" s="10" t="str">
        <f>"2170650578 "</f>
        <v xml:space="preserve">2170650578 </v>
      </c>
      <c r="G633" s="10" t="str">
        <f t="shared" si="19"/>
        <v>ON1</v>
      </c>
      <c r="H633" s="10" t="s">
        <v>21</v>
      </c>
      <c r="I633" s="10" t="s">
        <v>105</v>
      </c>
      <c r="J633" s="10" t="str">
        <f>""</f>
        <v/>
      </c>
      <c r="K633" s="10" t="str">
        <f>"PFES1162645719_0001"</f>
        <v>PFES1162645719_0001</v>
      </c>
      <c r="L633" s="10">
        <v>1</v>
      </c>
      <c r="M633" s="10">
        <v>1</v>
      </c>
    </row>
    <row r="634" spans="1:13">
      <c r="A634" s="8">
        <v>43349</v>
      </c>
      <c r="B634" s="9">
        <v>0.66527777777777775</v>
      </c>
      <c r="C634" s="10" t="str">
        <f>"FES1162645739"</f>
        <v>FES1162645739</v>
      </c>
      <c r="D634" s="10" t="s">
        <v>19</v>
      </c>
      <c r="E634" s="10" t="s">
        <v>501</v>
      </c>
      <c r="F634" s="10" t="str">
        <f>"2170650605 "</f>
        <v xml:space="preserve">2170650605 </v>
      </c>
      <c r="G634" s="10" t="str">
        <f t="shared" si="19"/>
        <v>ON1</v>
      </c>
      <c r="H634" s="10" t="s">
        <v>21</v>
      </c>
      <c r="I634" s="10" t="s">
        <v>189</v>
      </c>
      <c r="J634" s="10" t="str">
        <f>""</f>
        <v/>
      </c>
      <c r="K634" s="10" t="str">
        <f>"PFES1162645739_0001"</f>
        <v>PFES1162645739_0001</v>
      </c>
      <c r="L634" s="10">
        <v>1</v>
      </c>
      <c r="M634" s="10">
        <v>1</v>
      </c>
    </row>
    <row r="635" spans="1:13">
      <c r="A635" s="8">
        <v>43349</v>
      </c>
      <c r="B635" s="9">
        <v>0.66527777777777775</v>
      </c>
      <c r="C635" s="10" t="str">
        <f>"FES1162645769"</f>
        <v>FES1162645769</v>
      </c>
      <c r="D635" s="10" t="s">
        <v>19</v>
      </c>
      <c r="E635" s="10" t="s">
        <v>440</v>
      </c>
      <c r="F635" s="10" t="str">
        <f>"2170650642 "</f>
        <v xml:space="preserve">2170650642 </v>
      </c>
      <c r="G635" s="10" t="str">
        <f t="shared" si="19"/>
        <v>ON1</v>
      </c>
      <c r="H635" s="10" t="s">
        <v>21</v>
      </c>
      <c r="I635" s="10" t="s">
        <v>76</v>
      </c>
      <c r="J635" s="10" t="str">
        <f>""</f>
        <v/>
      </c>
      <c r="K635" s="10" t="str">
        <f>"PFES1162645769_0001"</f>
        <v>PFES1162645769_0001</v>
      </c>
      <c r="L635" s="10">
        <v>1</v>
      </c>
      <c r="M635" s="10">
        <v>1</v>
      </c>
    </row>
    <row r="636" spans="1:13">
      <c r="A636" s="8">
        <v>43349</v>
      </c>
      <c r="B636" s="9">
        <v>0.66527777777777775</v>
      </c>
      <c r="C636" s="10" t="str">
        <f>"FES1162645754"</f>
        <v>FES1162645754</v>
      </c>
      <c r="D636" s="10" t="s">
        <v>19</v>
      </c>
      <c r="E636" s="10" t="s">
        <v>494</v>
      </c>
      <c r="F636" s="10" t="str">
        <f>"2170650635 "</f>
        <v xml:space="preserve">2170650635 </v>
      </c>
      <c r="G636" s="10" t="str">
        <f t="shared" si="19"/>
        <v>ON1</v>
      </c>
      <c r="H636" s="10" t="s">
        <v>21</v>
      </c>
      <c r="I636" s="10" t="s">
        <v>495</v>
      </c>
      <c r="J636" s="10" t="str">
        <f>""</f>
        <v/>
      </c>
      <c r="K636" s="10" t="str">
        <f>"PFES1162645754_0001"</f>
        <v>PFES1162645754_0001</v>
      </c>
      <c r="L636" s="10">
        <v>1</v>
      </c>
      <c r="M636" s="10">
        <v>1</v>
      </c>
    </row>
    <row r="637" spans="1:13">
      <c r="A637" s="8">
        <v>43349</v>
      </c>
      <c r="B637" s="9">
        <v>0.6645833333333333</v>
      </c>
      <c r="C637" s="10" t="str">
        <f>"FES1162645747"</f>
        <v>FES1162645747</v>
      </c>
      <c r="D637" s="10" t="s">
        <v>19</v>
      </c>
      <c r="E637" s="10" t="s">
        <v>183</v>
      </c>
      <c r="F637" s="10" t="str">
        <f>"217065017 "</f>
        <v xml:space="preserve">217065017 </v>
      </c>
      <c r="G637" s="10" t="str">
        <f t="shared" si="19"/>
        <v>ON1</v>
      </c>
      <c r="H637" s="10" t="s">
        <v>21</v>
      </c>
      <c r="I637" s="10" t="s">
        <v>128</v>
      </c>
      <c r="J637" s="10" t="str">
        <f>""</f>
        <v/>
      </c>
      <c r="K637" s="10" t="str">
        <f>"PFES1162645747_0001"</f>
        <v>PFES1162645747_0001</v>
      </c>
      <c r="L637" s="10">
        <v>1</v>
      </c>
      <c r="M637" s="10">
        <v>1</v>
      </c>
    </row>
    <row r="638" spans="1:13">
      <c r="A638" s="8">
        <v>43349</v>
      </c>
      <c r="B638" s="9">
        <v>0.6645833333333333</v>
      </c>
      <c r="C638" s="10" t="str">
        <f>"FES1162645748"</f>
        <v>FES1162645748</v>
      </c>
      <c r="D638" s="10" t="s">
        <v>19</v>
      </c>
      <c r="E638" s="10" t="s">
        <v>502</v>
      </c>
      <c r="F638" s="10" t="str">
        <f>"2170650619 "</f>
        <v xml:space="preserve">2170650619 </v>
      </c>
      <c r="G638" s="10" t="str">
        <f t="shared" si="19"/>
        <v>ON1</v>
      </c>
      <c r="H638" s="10" t="s">
        <v>21</v>
      </c>
      <c r="I638" s="10" t="s">
        <v>150</v>
      </c>
      <c r="J638" s="10" t="str">
        <f>""</f>
        <v/>
      </c>
      <c r="K638" s="10" t="str">
        <f>"PFES1162645748_0001"</f>
        <v>PFES1162645748_0001</v>
      </c>
      <c r="L638" s="10">
        <v>1</v>
      </c>
      <c r="M638" s="10">
        <v>1</v>
      </c>
    </row>
    <row r="639" spans="1:13">
      <c r="A639" s="8">
        <v>43349</v>
      </c>
      <c r="B639" s="9">
        <v>0.6645833333333333</v>
      </c>
      <c r="C639" s="10" t="str">
        <f>"FES1162645550"</f>
        <v>FES1162645550</v>
      </c>
      <c r="D639" s="10" t="s">
        <v>19</v>
      </c>
      <c r="E639" s="10" t="s">
        <v>447</v>
      </c>
      <c r="F639" s="10" t="str">
        <f>"2170650478 "</f>
        <v xml:space="preserve">2170650478 </v>
      </c>
      <c r="G639" s="10" t="str">
        <f t="shared" si="19"/>
        <v>ON1</v>
      </c>
      <c r="H639" s="10" t="s">
        <v>21</v>
      </c>
      <c r="I639" s="10" t="s">
        <v>448</v>
      </c>
      <c r="J639" s="10" t="str">
        <f>""</f>
        <v/>
      </c>
      <c r="K639" s="10" t="str">
        <f>"PFES1162645550_0001"</f>
        <v>PFES1162645550_0001</v>
      </c>
      <c r="L639" s="10">
        <v>1</v>
      </c>
      <c r="M639" s="10">
        <v>1</v>
      </c>
    </row>
    <row r="640" spans="1:13">
      <c r="A640" s="8">
        <v>43349</v>
      </c>
      <c r="B640" s="9">
        <v>0.66388888888888886</v>
      </c>
      <c r="C640" s="10" t="str">
        <f>"FES1162645744"</f>
        <v>FES1162645744</v>
      </c>
      <c r="D640" s="10" t="s">
        <v>19</v>
      </c>
      <c r="E640" s="10" t="s">
        <v>503</v>
      </c>
      <c r="F640" s="10" t="str">
        <f>"2170650611 "</f>
        <v xml:space="preserve">2170650611 </v>
      </c>
      <c r="G640" s="10" t="str">
        <f t="shared" si="19"/>
        <v>ON1</v>
      </c>
      <c r="H640" s="10" t="s">
        <v>21</v>
      </c>
      <c r="I640" s="10" t="s">
        <v>504</v>
      </c>
      <c r="J640" s="10" t="str">
        <f>""</f>
        <v/>
      </c>
      <c r="K640" s="10" t="str">
        <f>"PFES1162645744_0001"</f>
        <v>PFES1162645744_0001</v>
      </c>
      <c r="L640" s="10">
        <v>1</v>
      </c>
      <c r="M640" s="10">
        <v>1</v>
      </c>
    </row>
    <row r="641" spans="1:13">
      <c r="A641" s="8">
        <v>43349</v>
      </c>
      <c r="B641" s="9">
        <v>0.66388888888888886</v>
      </c>
      <c r="C641" s="10" t="str">
        <f>"FES1162645758"</f>
        <v>FES1162645758</v>
      </c>
      <c r="D641" s="10" t="s">
        <v>19</v>
      </c>
      <c r="E641" s="10" t="s">
        <v>505</v>
      </c>
      <c r="F641" s="10" t="str">
        <f>"2170650632 "</f>
        <v xml:space="preserve">2170650632 </v>
      </c>
      <c r="G641" s="10" t="str">
        <f t="shared" si="19"/>
        <v>ON1</v>
      </c>
      <c r="H641" s="10" t="s">
        <v>21</v>
      </c>
      <c r="I641" s="10" t="s">
        <v>506</v>
      </c>
      <c r="J641" s="10" t="str">
        <f>""</f>
        <v/>
      </c>
      <c r="K641" s="10" t="str">
        <f>"PFES1162645758_0001"</f>
        <v>PFES1162645758_0001</v>
      </c>
      <c r="L641" s="10">
        <v>1</v>
      </c>
      <c r="M641" s="10">
        <v>1</v>
      </c>
    </row>
    <row r="642" spans="1:13">
      <c r="A642" s="8">
        <v>43349</v>
      </c>
      <c r="B642" s="9">
        <v>0.65833333333333333</v>
      </c>
      <c r="C642" s="10" t="str">
        <f>"FES1162645772"</f>
        <v>FES1162645772</v>
      </c>
      <c r="D642" s="10" t="s">
        <v>19</v>
      </c>
      <c r="E642" s="10" t="s">
        <v>507</v>
      </c>
      <c r="F642" s="10" t="str">
        <f>"2170650655 "</f>
        <v xml:space="preserve">2170650655 </v>
      </c>
      <c r="G642" s="10" t="str">
        <f t="shared" si="19"/>
        <v>ON1</v>
      </c>
      <c r="H642" s="10" t="s">
        <v>21</v>
      </c>
      <c r="I642" s="10" t="s">
        <v>508</v>
      </c>
      <c r="J642" s="10" t="str">
        <f>""</f>
        <v/>
      </c>
      <c r="K642" s="10" t="str">
        <f>"PFES1162645772_0001"</f>
        <v>PFES1162645772_0001</v>
      </c>
      <c r="L642" s="10">
        <v>1</v>
      </c>
      <c r="M642" s="10">
        <v>1</v>
      </c>
    </row>
    <row r="643" spans="1:13">
      <c r="A643" s="8">
        <v>43349</v>
      </c>
      <c r="B643" s="9">
        <v>0.65833333333333333</v>
      </c>
      <c r="C643" s="10" t="str">
        <f>"FES1162645770"</f>
        <v>FES1162645770</v>
      </c>
      <c r="D643" s="10" t="s">
        <v>19</v>
      </c>
      <c r="E643" s="10" t="s">
        <v>507</v>
      </c>
      <c r="F643" s="10" t="str">
        <f>"2170650652 "</f>
        <v xml:space="preserve">2170650652 </v>
      </c>
      <c r="G643" s="10" t="str">
        <f t="shared" si="19"/>
        <v>ON1</v>
      </c>
      <c r="H643" s="10" t="s">
        <v>21</v>
      </c>
      <c r="I643" s="10" t="s">
        <v>508</v>
      </c>
      <c r="J643" s="10" t="str">
        <f>""</f>
        <v/>
      </c>
      <c r="K643" s="10" t="str">
        <f>"PFES1162645770_0001"</f>
        <v>PFES1162645770_0001</v>
      </c>
      <c r="L643" s="10">
        <v>1</v>
      </c>
      <c r="M643" s="10">
        <v>1</v>
      </c>
    </row>
    <row r="644" spans="1:13">
      <c r="A644" s="8">
        <v>43349</v>
      </c>
      <c r="B644" s="9">
        <v>0.65833333333333333</v>
      </c>
      <c r="C644" s="10" t="str">
        <f>"FES1162645784"</f>
        <v>FES1162645784</v>
      </c>
      <c r="D644" s="10" t="s">
        <v>19</v>
      </c>
      <c r="E644" s="10" t="s">
        <v>509</v>
      </c>
      <c r="F644" s="10" t="str">
        <f>"2170650662 "</f>
        <v xml:space="preserve">2170650662 </v>
      </c>
      <c r="G644" s="10" t="str">
        <f t="shared" si="19"/>
        <v>ON1</v>
      </c>
      <c r="H644" s="10" t="s">
        <v>21</v>
      </c>
      <c r="I644" s="10" t="s">
        <v>201</v>
      </c>
      <c r="J644" s="10" t="str">
        <f>""</f>
        <v/>
      </c>
      <c r="K644" s="10" t="str">
        <f>"PFES1162645784_0001"</f>
        <v>PFES1162645784_0001</v>
      </c>
      <c r="L644" s="10">
        <v>1</v>
      </c>
      <c r="M644" s="10">
        <v>1</v>
      </c>
    </row>
    <row r="645" spans="1:13">
      <c r="A645" s="8">
        <v>43349</v>
      </c>
      <c r="B645" s="9">
        <v>0.65763888888888888</v>
      </c>
      <c r="C645" s="10" t="str">
        <f>"FES1162645785"</f>
        <v>FES1162645785</v>
      </c>
      <c r="D645" s="10" t="s">
        <v>19</v>
      </c>
      <c r="E645" s="10" t="s">
        <v>137</v>
      </c>
      <c r="F645" s="10" t="str">
        <f>"2170650666 "</f>
        <v xml:space="preserve">2170650666 </v>
      </c>
      <c r="G645" s="10" t="str">
        <f t="shared" si="19"/>
        <v>ON1</v>
      </c>
      <c r="H645" s="10" t="s">
        <v>21</v>
      </c>
      <c r="I645" s="10" t="s">
        <v>138</v>
      </c>
      <c r="J645" s="10" t="str">
        <f>""</f>
        <v/>
      </c>
      <c r="K645" s="10" t="str">
        <f>"PFES1162645785_0001"</f>
        <v>PFES1162645785_0001</v>
      </c>
      <c r="L645" s="10">
        <v>1</v>
      </c>
      <c r="M645" s="10">
        <v>1</v>
      </c>
    </row>
    <row r="646" spans="1:13">
      <c r="A646" s="8">
        <v>43349</v>
      </c>
      <c r="B646" s="9">
        <v>0.65763888888888888</v>
      </c>
      <c r="C646" s="10" t="str">
        <f>"FES1162645790"</f>
        <v>FES1162645790</v>
      </c>
      <c r="D646" s="10" t="s">
        <v>19</v>
      </c>
      <c r="E646" s="10" t="s">
        <v>445</v>
      </c>
      <c r="F646" s="10" t="str">
        <f>"2170650623 "</f>
        <v xml:space="preserve">2170650623 </v>
      </c>
      <c r="G646" s="10" t="str">
        <f t="shared" si="19"/>
        <v>ON1</v>
      </c>
      <c r="H646" s="10" t="s">
        <v>21</v>
      </c>
      <c r="I646" s="10" t="s">
        <v>206</v>
      </c>
      <c r="J646" s="10" t="str">
        <f>""</f>
        <v/>
      </c>
      <c r="K646" s="10" t="str">
        <f>"PFES1162645790_0001"</f>
        <v>PFES1162645790_0001</v>
      </c>
      <c r="L646" s="10">
        <v>1</v>
      </c>
      <c r="M646" s="10">
        <v>1</v>
      </c>
    </row>
    <row r="647" spans="1:13">
      <c r="A647" s="8">
        <v>43349</v>
      </c>
      <c r="B647" s="9">
        <v>0.65694444444444444</v>
      </c>
      <c r="C647" s="10" t="str">
        <f>"FES1162645771"</f>
        <v>FES1162645771</v>
      </c>
      <c r="D647" s="10" t="s">
        <v>19</v>
      </c>
      <c r="E647" s="10" t="s">
        <v>510</v>
      </c>
      <c r="F647" s="10" t="str">
        <f>"2170650653 "</f>
        <v xml:space="preserve">2170650653 </v>
      </c>
      <c r="G647" s="10" t="str">
        <f t="shared" si="19"/>
        <v>ON1</v>
      </c>
      <c r="H647" s="10" t="s">
        <v>21</v>
      </c>
      <c r="I647" s="10" t="s">
        <v>107</v>
      </c>
      <c r="J647" s="10" t="str">
        <f>""</f>
        <v/>
      </c>
      <c r="K647" s="10" t="str">
        <f>"PFES1162645771_0001"</f>
        <v>PFES1162645771_0001</v>
      </c>
      <c r="L647" s="10">
        <v>1</v>
      </c>
      <c r="M647" s="10">
        <v>1</v>
      </c>
    </row>
    <row r="648" spans="1:13">
      <c r="A648" s="8">
        <v>43349</v>
      </c>
      <c r="B648" s="9">
        <v>0.64930555555555558</v>
      </c>
      <c r="C648" s="10" t="str">
        <f>"FES1162645749"</f>
        <v>FES1162645749</v>
      </c>
      <c r="D648" s="10" t="s">
        <v>19</v>
      </c>
      <c r="E648" s="10" t="s">
        <v>39</v>
      </c>
      <c r="F648" s="10" t="str">
        <f>"2170650620 "</f>
        <v xml:space="preserve">2170650620 </v>
      </c>
      <c r="G648" s="10" t="str">
        <f t="shared" si="19"/>
        <v>ON1</v>
      </c>
      <c r="H648" s="10" t="s">
        <v>21</v>
      </c>
      <c r="I648" s="10" t="s">
        <v>40</v>
      </c>
      <c r="J648" s="10" t="str">
        <f>""</f>
        <v/>
      </c>
      <c r="K648" s="10" t="str">
        <f>"PFES1162645749_0001"</f>
        <v>PFES1162645749_0001</v>
      </c>
      <c r="L648" s="10">
        <v>1</v>
      </c>
      <c r="M648" s="10">
        <v>3</v>
      </c>
    </row>
    <row r="649" spans="1:13">
      <c r="A649" s="8">
        <v>43349</v>
      </c>
      <c r="B649" s="9">
        <v>0.64722222222222225</v>
      </c>
      <c r="C649" s="10" t="str">
        <f>"FES1162645730"</f>
        <v>FES1162645730</v>
      </c>
      <c r="D649" s="10" t="s">
        <v>19</v>
      </c>
      <c r="E649" s="10" t="s">
        <v>511</v>
      </c>
      <c r="F649" s="10" t="str">
        <f>"2170650597 "</f>
        <v xml:space="preserve">2170650597 </v>
      </c>
      <c r="G649" s="10" t="str">
        <f t="shared" si="19"/>
        <v>ON1</v>
      </c>
      <c r="H649" s="10" t="s">
        <v>21</v>
      </c>
      <c r="I649" s="10" t="s">
        <v>319</v>
      </c>
      <c r="J649" s="10" t="str">
        <f>""</f>
        <v/>
      </c>
      <c r="K649" s="10" t="str">
        <f>"PFES1162645730_0001"</f>
        <v>PFES1162645730_0001</v>
      </c>
      <c r="L649" s="10">
        <v>1</v>
      </c>
      <c r="M649" s="10">
        <v>3</v>
      </c>
    </row>
    <row r="650" spans="1:13">
      <c r="A650" s="8">
        <v>43349</v>
      </c>
      <c r="B650" s="9">
        <v>0.64652777777777781</v>
      </c>
      <c r="C650" s="10" t="str">
        <f>"FES1162645537"</f>
        <v>FES1162645537</v>
      </c>
      <c r="D650" s="10" t="s">
        <v>19</v>
      </c>
      <c r="E650" s="10" t="s">
        <v>127</v>
      </c>
      <c r="F650" s="10" t="str">
        <f>"2170650454 "</f>
        <v xml:space="preserve">2170650454 </v>
      </c>
      <c r="G650" s="10" t="str">
        <f t="shared" si="19"/>
        <v>ON1</v>
      </c>
      <c r="H650" s="10" t="s">
        <v>21</v>
      </c>
      <c r="I650" s="10" t="s">
        <v>128</v>
      </c>
      <c r="J650" s="10" t="str">
        <f>""</f>
        <v/>
      </c>
      <c r="K650" s="10" t="str">
        <f>"PFES1162645537_0001"</f>
        <v>PFES1162645537_0001</v>
      </c>
      <c r="L650" s="10">
        <v>1</v>
      </c>
      <c r="M650" s="10">
        <v>3</v>
      </c>
    </row>
    <row r="651" spans="1:13">
      <c r="A651" s="8">
        <v>43349</v>
      </c>
      <c r="B651" s="9">
        <v>0.64513888888888882</v>
      </c>
      <c r="C651" s="10" t="str">
        <f>"FES1162645687"</f>
        <v>FES1162645687</v>
      </c>
      <c r="D651" s="10" t="s">
        <v>19</v>
      </c>
      <c r="E651" s="10" t="s">
        <v>512</v>
      </c>
      <c r="F651" s="10" t="str">
        <f>"2170650539 "</f>
        <v xml:space="preserve">2170650539 </v>
      </c>
      <c r="G651" s="10" t="str">
        <f t="shared" si="19"/>
        <v>ON1</v>
      </c>
      <c r="H651" s="10" t="s">
        <v>21</v>
      </c>
      <c r="I651" s="10" t="s">
        <v>150</v>
      </c>
      <c r="J651" s="10" t="str">
        <f>""</f>
        <v/>
      </c>
      <c r="K651" s="10" t="str">
        <f>"PFES1162645687_0001"</f>
        <v>PFES1162645687_0001</v>
      </c>
      <c r="L651" s="10">
        <v>1</v>
      </c>
      <c r="M651" s="10">
        <v>3</v>
      </c>
    </row>
    <row r="652" spans="1:13">
      <c r="A652" s="8">
        <v>43349</v>
      </c>
      <c r="B652" s="9">
        <v>0.64374999999999993</v>
      </c>
      <c r="C652" s="10" t="str">
        <f>"FES1162645539"</f>
        <v>FES1162645539</v>
      </c>
      <c r="D652" s="10" t="s">
        <v>19</v>
      </c>
      <c r="E652" s="10" t="s">
        <v>43</v>
      </c>
      <c r="F652" s="10" t="str">
        <f>"2170650457 "</f>
        <v xml:space="preserve">2170650457 </v>
      </c>
      <c r="G652" s="10" t="str">
        <f t="shared" si="19"/>
        <v>ON1</v>
      </c>
      <c r="H652" s="10" t="s">
        <v>21</v>
      </c>
      <c r="I652" s="10" t="s">
        <v>44</v>
      </c>
      <c r="J652" s="10" t="str">
        <f>""</f>
        <v/>
      </c>
      <c r="K652" s="10" t="str">
        <f>"PFES1162645539_0001"</f>
        <v>PFES1162645539_0001</v>
      </c>
      <c r="L652" s="10">
        <v>1</v>
      </c>
      <c r="M652" s="10">
        <v>3</v>
      </c>
    </row>
    <row r="653" spans="1:13">
      <c r="A653" s="8">
        <v>43349</v>
      </c>
      <c r="B653" s="9">
        <v>0.64236111111111105</v>
      </c>
      <c r="C653" s="10" t="str">
        <f>"FES1162645549"</f>
        <v>FES1162645549</v>
      </c>
      <c r="D653" s="10" t="s">
        <v>19</v>
      </c>
      <c r="E653" s="10" t="s">
        <v>153</v>
      </c>
      <c r="F653" s="10" t="str">
        <f>"2170650477 "</f>
        <v xml:space="preserve">2170650477 </v>
      </c>
      <c r="G653" s="10" t="str">
        <f t="shared" si="19"/>
        <v>ON1</v>
      </c>
      <c r="H653" s="10" t="s">
        <v>21</v>
      </c>
      <c r="I653" s="10" t="s">
        <v>154</v>
      </c>
      <c r="J653" s="10" t="str">
        <f>""</f>
        <v/>
      </c>
      <c r="K653" s="10" t="str">
        <f>"PFES1162645549_0001"</f>
        <v>PFES1162645549_0001</v>
      </c>
      <c r="L653" s="10">
        <v>1</v>
      </c>
      <c r="M653" s="10">
        <v>11</v>
      </c>
    </row>
    <row r="654" spans="1:13">
      <c r="A654" s="8">
        <v>43349</v>
      </c>
      <c r="B654" s="9">
        <v>0.64097222222222217</v>
      </c>
      <c r="C654" s="10" t="str">
        <f>"FES1162645556"</f>
        <v>FES1162645556</v>
      </c>
      <c r="D654" s="10" t="s">
        <v>19</v>
      </c>
      <c r="E654" s="10" t="s">
        <v>232</v>
      </c>
      <c r="F654" s="10" t="str">
        <f>"2170643311 "</f>
        <v xml:space="preserve">2170643311 </v>
      </c>
      <c r="G654" s="10" t="str">
        <f>"DBC"</f>
        <v>DBC</v>
      </c>
      <c r="H654" s="10" t="s">
        <v>21</v>
      </c>
      <c r="I654" s="10" t="s">
        <v>233</v>
      </c>
      <c r="J654" s="10" t="str">
        <f>""</f>
        <v/>
      </c>
      <c r="K654" s="10" t="str">
        <f>"PFES1162645556_0001"</f>
        <v>PFES1162645556_0001</v>
      </c>
      <c r="L654" s="10">
        <v>2</v>
      </c>
      <c r="M654" s="10">
        <v>28</v>
      </c>
    </row>
    <row r="655" spans="1:13">
      <c r="A655" s="8">
        <v>43349</v>
      </c>
      <c r="B655" s="9">
        <v>0.64097222222222217</v>
      </c>
      <c r="C655" s="10" t="str">
        <f>"FES1162645743"</f>
        <v>FES1162645743</v>
      </c>
      <c r="D655" s="10" t="s">
        <v>19</v>
      </c>
      <c r="E655" s="10" t="s">
        <v>513</v>
      </c>
      <c r="F655" s="10" t="str">
        <f>"2170650610 "</f>
        <v xml:space="preserve">2170650610 </v>
      </c>
      <c r="G655" s="10" t="str">
        <f t="shared" ref="G655:G718" si="20">"ON1"</f>
        <v>ON1</v>
      </c>
      <c r="H655" s="10" t="s">
        <v>21</v>
      </c>
      <c r="I655" s="10" t="s">
        <v>514</v>
      </c>
      <c r="J655" s="10" t="str">
        <f>""</f>
        <v/>
      </c>
      <c r="K655" s="10" t="str">
        <f>"PFES1162645743_0001"</f>
        <v>PFES1162645743_0001</v>
      </c>
      <c r="L655" s="10">
        <v>1</v>
      </c>
      <c r="M655" s="10">
        <v>1</v>
      </c>
    </row>
    <row r="656" spans="1:13">
      <c r="A656" s="8">
        <v>43349</v>
      </c>
      <c r="B656" s="9">
        <v>0.64097222222222217</v>
      </c>
      <c r="C656" s="10" t="str">
        <f>"FES1162645765"</f>
        <v>FES1162645765</v>
      </c>
      <c r="D656" s="10" t="s">
        <v>19</v>
      </c>
      <c r="E656" s="10" t="s">
        <v>220</v>
      </c>
      <c r="F656" s="10" t="str">
        <f>"2170650640 "</f>
        <v xml:space="preserve">2170650640 </v>
      </c>
      <c r="G656" s="10" t="str">
        <f t="shared" si="20"/>
        <v>ON1</v>
      </c>
      <c r="H656" s="10" t="s">
        <v>21</v>
      </c>
      <c r="I656" s="10" t="s">
        <v>126</v>
      </c>
      <c r="J656" s="10" t="str">
        <f>""</f>
        <v/>
      </c>
      <c r="K656" s="10" t="str">
        <f>"PFES1162645765_0001"</f>
        <v>PFES1162645765_0001</v>
      </c>
      <c r="L656" s="10">
        <v>1</v>
      </c>
      <c r="M656" s="10">
        <v>1</v>
      </c>
    </row>
    <row r="657" spans="1:13">
      <c r="A657" s="8">
        <v>43349</v>
      </c>
      <c r="B657" s="9">
        <v>0.64027777777777783</v>
      </c>
      <c r="C657" s="10" t="str">
        <f>"FES1162645732"</f>
        <v>FES1162645732</v>
      </c>
      <c r="D657" s="10" t="s">
        <v>19</v>
      </c>
      <c r="E657" s="10" t="s">
        <v>160</v>
      </c>
      <c r="F657" s="10" t="str">
        <f>"2170650600 "</f>
        <v xml:space="preserve">2170650600 </v>
      </c>
      <c r="G657" s="10" t="str">
        <f t="shared" si="20"/>
        <v>ON1</v>
      </c>
      <c r="H657" s="10" t="s">
        <v>21</v>
      </c>
      <c r="I657" s="10" t="s">
        <v>161</v>
      </c>
      <c r="J657" s="10" t="str">
        <f>""</f>
        <v/>
      </c>
      <c r="K657" s="10" t="str">
        <f>"PFES1162645732_0001"</f>
        <v>PFES1162645732_0001</v>
      </c>
      <c r="L657" s="10">
        <v>1</v>
      </c>
      <c r="M657" s="10">
        <v>1</v>
      </c>
    </row>
    <row r="658" spans="1:13">
      <c r="A658" s="8">
        <v>43349</v>
      </c>
      <c r="B658" s="9">
        <v>0.64027777777777783</v>
      </c>
      <c r="C658" s="10" t="str">
        <f>"FES1162645741"</f>
        <v>FES1162645741</v>
      </c>
      <c r="D658" s="10" t="s">
        <v>19</v>
      </c>
      <c r="E658" s="10" t="s">
        <v>228</v>
      </c>
      <c r="F658" s="10" t="str">
        <f>"2170650607 "</f>
        <v xml:space="preserve">2170650607 </v>
      </c>
      <c r="G658" s="10" t="str">
        <f t="shared" si="20"/>
        <v>ON1</v>
      </c>
      <c r="H658" s="10" t="s">
        <v>21</v>
      </c>
      <c r="I658" s="10" t="s">
        <v>229</v>
      </c>
      <c r="J658" s="10" t="str">
        <f>""</f>
        <v/>
      </c>
      <c r="K658" s="10" t="str">
        <f>"PFES1162645741_0001"</f>
        <v>PFES1162645741_0001</v>
      </c>
      <c r="L658" s="10">
        <v>1</v>
      </c>
      <c r="M658" s="10">
        <v>7</v>
      </c>
    </row>
    <row r="659" spans="1:13">
      <c r="A659" s="8">
        <v>43349</v>
      </c>
      <c r="B659" s="9">
        <v>0.64027777777777783</v>
      </c>
      <c r="C659" s="10" t="str">
        <f>"FES1162645731"</f>
        <v>FES1162645731</v>
      </c>
      <c r="D659" s="10" t="s">
        <v>19</v>
      </c>
      <c r="E659" s="10" t="s">
        <v>212</v>
      </c>
      <c r="F659" s="10" t="str">
        <f>"2170650598 "</f>
        <v xml:space="preserve">2170650598 </v>
      </c>
      <c r="G659" s="10" t="str">
        <f t="shared" si="20"/>
        <v>ON1</v>
      </c>
      <c r="H659" s="10" t="s">
        <v>21</v>
      </c>
      <c r="I659" s="10" t="s">
        <v>211</v>
      </c>
      <c r="J659" s="10" t="str">
        <f>""</f>
        <v/>
      </c>
      <c r="K659" s="10" t="str">
        <f>"PFES1162645731_0001"</f>
        <v>PFES1162645731_0001</v>
      </c>
      <c r="L659" s="10">
        <v>1</v>
      </c>
      <c r="M659" s="10">
        <v>1</v>
      </c>
    </row>
    <row r="660" spans="1:13">
      <c r="A660" s="8">
        <v>43349</v>
      </c>
      <c r="B660" s="9">
        <v>0.63958333333333328</v>
      </c>
      <c r="C660" s="10" t="str">
        <f>"FES1162645724"</f>
        <v>FES1162645724</v>
      </c>
      <c r="D660" s="10" t="s">
        <v>19</v>
      </c>
      <c r="E660" s="10" t="s">
        <v>37</v>
      </c>
      <c r="F660" s="10" t="str">
        <f>"2170650587 "</f>
        <v xml:space="preserve">2170650587 </v>
      </c>
      <c r="G660" s="10" t="str">
        <f t="shared" si="20"/>
        <v>ON1</v>
      </c>
      <c r="H660" s="10" t="s">
        <v>21</v>
      </c>
      <c r="I660" s="10" t="s">
        <v>26</v>
      </c>
      <c r="J660" s="10" t="str">
        <f>""</f>
        <v/>
      </c>
      <c r="K660" s="10" t="str">
        <f>"PFES1162645724_0001"</f>
        <v>PFES1162645724_0001</v>
      </c>
      <c r="L660" s="10">
        <v>1</v>
      </c>
      <c r="M660" s="10">
        <v>1</v>
      </c>
    </row>
    <row r="661" spans="1:13">
      <c r="A661" s="8">
        <v>43349</v>
      </c>
      <c r="B661" s="9">
        <v>0.63958333333333328</v>
      </c>
      <c r="C661" s="10" t="str">
        <f>"FES1162645751"</f>
        <v>FES1162645751</v>
      </c>
      <c r="D661" s="10" t="s">
        <v>19</v>
      </c>
      <c r="E661" s="10" t="s">
        <v>515</v>
      </c>
      <c r="F661" s="10" t="str">
        <f>"2170650622 "</f>
        <v xml:space="preserve">2170650622 </v>
      </c>
      <c r="G661" s="10" t="str">
        <f t="shared" si="20"/>
        <v>ON1</v>
      </c>
      <c r="H661" s="10" t="s">
        <v>21</v>
      </c>
      <c r="I661" s="10" t="s">
        <v>516</v>
      </c>
      <c r="J661" s="10" t="str">
        <f>""</f>
        <v/>
      </c>
      <c r="K661" s="10" t="str">
        <f>"PFES1162645751_0001"</f>
        <v>PFES1162645751_0001</v>
      </c>
      <c r="L661" s="10">
        <v>1</v>
      </c>
      <c r="M661" s="10">
        <v>1</v>
      </c>
    </row>
    <row r="662" spans="1:13">
      <c r="A662" s="8">
        <v>43349</v>
      </c>
      <c r="B662" s="9">
        <v>0.63958333333333328</v>
      </c>
      <c r="C662" s="10" t="str">
        <f>"FES1162645711"</f>
        <v>FES1162645711</v>
      </c>
      <c r="D662" s="10" t="s">
        <v>19</v>
      </c>
      <c r="E662" s="10" t="s">
        <v>347</v>
      </c>
      <c r="F662" s="10" t="str">
        <f>"2170650570 "</f>
        <v xml:space="preserve">2170650570 </v>
      </c>
      <c r="G662" s="10" t="str">
        <f t="shared" si="20"/>
        <v>ON1</v>
      </c>
      <c r="H662" s="10" t="s">
        <v>21</v>
      </c>
      <c r="I662" s="10" t="s">
        <v>348</v>
      </c>
      <c r="J662" s="10" t="str">
        <f>""</f>
        <v/>
      </c>
      <c r="K662" s="10" t="str">
        <f>"PFES1162645711_0001"</f>
        <v>PFES1162645711_0001</v>
      </c>
      <c r="L662" s="10">
        <v>1</v>
      </c>
      <c r="M662" s="10">
        <v>8</v>
      </c>
    </row>
    <row r="663" spans="1:13">
      <c r="A663" s="8">
        <v>43349</v>
      </c>
      <c r="B663" s="9">
        <v>0.63958333333333328</v>
      </c>
      <c r="C663" s="10" t="str">
        <f>"FES1162645763"</f>
        <v>FES1162645763</v>
      </c>
      <c r="D663" s="10" t="s">
        <v>19</v>
      </c>
      <c r="E663" s="10" t="s">
        <v>98</v>
      </c>
      <c r="F663" s="10" t="str">
        <f>"2170650627 "</f>
        <v xml:space="preserve">2170650627 </v>
      </c>
      <c r="G663" s="10" t="str">
        <f t="shared" si="20"/>
        <v>ON1</v>
      </c>
      <c r="H663" s="10" t="s">
        <v>21</v>
      </c>
      <c r="I663" s="10" t="s">
        <v>74</v>
      </c>
      <c r="J663" s="10" t="str">
        <f>""</f>
        <v/>
      </c>
      <c r="K663" s="10" t="str">
        <f>"PFES1162645763_0001"</f>
        <v>PFES1162645763_0001</v>
      </c>
      <c r="L663" s="10">
        <v>1</v>
      </c>
      <c r="M663" s="10">
        <v>1</v>
      </c>
    </row>
    <row r="664" spans="1:13">
      <c r="A664" s="8">
        <v>43349</v>
      </c>
      <c r="B664" s="9">
        <v>0.6381944444444444</v>
      </c>
      <c r="C664" s="10" t="str">
        <f>"FES1162645729"</f>
        <v>FES1162645729</v>
      </c>
      <c r="D664" s="10" t="s">
        <v>19</v>
      </c>
      <c r="E664" s="10" t="s">
        <v>440</v>
      </c>
      <c r="F664" s="10" t="str">
        <f>"2170650599 "</f>
        <v xml:space="preserve">2170650599 </v>
      </c>
      <c r="G664" s="10" t="str">
        <f t="shared" si="20"/>
        <v>ON1</v>
      </c>
      <c r="H664" s="10" t="s">
        <v>21</v>
      </c>
      <c r="I664" s="10" t="s">
        <v>76</v>
      </c>
      <c r="J664" s="10" t="str">
        <f>""</f>
        <v/>
      </c>
      <c r="K664" s="10" t="str">
        <f>"PFES1162645729_0001"</f>
        <v>PFES1162645729_0001</v>
      </c>
      <c r="L664" s="10">
        <v>1</v>
      </c>
      <c r="M664" s="10">
        <v>4</v>
      </c>
    </row>
    <row r="665" spans="1:13">
      <c r="A665" s="8">
        <v>43349</v>
      </c>
      <c r="B665" s="9">
        <v>0.63472222222222219</v>
      </c>
      <c r="C665" s="10" t="str">
        <f>"FES1162645571"</f>
        <v>FES1162645571</v>
      </c>
      <c r="D665" s="10" t="s">
        <v>19</v>
      </c>
      <c r="E665" s="10" t="s">
        <v>31</v>
      </c>
      <c r="F665" s="10" t="str">
        <f>"2170650498 "</f>
        <v xml:space="preserve">2170650498 </v>
      </c>
      <c r="G665" s="10" t="str">
        <f t="shared" si="20"/>
        <v>ON1</v>
      </c>
      <c r="H665" s="10" t="s">
        <v>21</v>
      </c>
      <c r="I665" s="10" t="s">
        <v>32</v>
      </c>
      <c r="J665" s="10" t="str">
        <f>""</f>
        <v/>
      </c>
      <c r="K665" s="10" t="str">
        <f>"PFES1162645571_0001"</f>
        <v>PFES1162645571_0001</v>
      </c>
      <c r="L665" s="10">
        <v>1</v>
      </c>
      <c r="M665" s="10">
        <v>1</v>
      </c>
    </row>
    <row r="666" spans="1:13">
      <c r="A666" s="8">
        <v>43349</v>
      </c>
      <c r="B666" s="9">
        <v>0.63472222222222219</v>
      </c>
      <c r="C666" s="10" t="str">
        <f>"FES1162645661"</f>
        <v>FES1162645661</v>
      </c>
      <c r="D666" s="10" t="s">
        <v>19</v>
      </c>
      <c r="E666" s="10" t="s">
        <v>517</v>
      </c>
      <c r="F666" s="10" t="str">
        <f>"2170646657 "</f>
        <v xml:space="preserve">2170646657 </v>
      </c>
      <c r="G666" s="10" t="str">
        <f t="shared" si="20"/>
        <v>ON1</v>
      </c>
      <c r="H666" s="10" t="s">
        <v>21</v>
      </c>
      <c r="I666" s="10" t="s">
        <v>24</v>
      </c>
      <c r="J666" s="10" t="str">
        <f>""</f>
        <v/>
      </c>
      <c r="K666" s="10" t="str">
        <f>"PFES1162645661_0001"</f>
        <v>PFES1162645661_0001</v>
      </c>
      <c r="L666" s="10">
        <v>1</v>
      </c>
      <c r="M666" s="10">
        <v>1</v>
      </c>
    </row>
    <row r="667" spans="1:13">
      <c r="A667" s="8">
        <v>43349</v>
      </c>
      <c r="B667" s="9">
        <v>0.63472222222222219</v>
      </c>
      <c r="C667" s="10" t="str">
        <f>"FES1162645738"</f>
        <v>FES1162645738</v>
      </c>
      <c r="D667" s="10" t="s">
        <v>19</v>
      </c>
      <c r="E667" s="10" t="s">
        <v>511</v>
      </c>
      <c r="F667" s="10" t="str">
        <f>"2170650603 "</f>
        <v xml:space="preserve">2170650603 </v>
      </c>
      <c r="G667" s="10" t="str">
        <f t="shared" si="20"/>
        <v>ON1</v>
      </c>
      <c r="H667" s="10" t="s">
        <v>21</v>
      </c>
      <c r="I667" s="10" t="s">
        <v>319</v>
      </c>
      <c r="J667" s="10" t="str">
        <f>""</f>
        <v/>
      </c>
      <c r="K667" s="10" t="str">
        <f>"PFES1162645738_0001"</f>
        <v>PFES1162645738_0001</v>
      </c>
      <c r="L667" s="10">
        <v>1</v>
      </c>
      <c r="M667" s="10">
        <v>1</v>
      </c>
    </row>
    <row r="668" spans="1:13">
      <c r="A668" s="8">
        <v>43349</v>
      </c>
      <c r="B668" s="9">
        <v>0.63402777777777775</v>
      </c>
      <c r="C668" s="10" t="str">
        <f>"FES1162645728"</f>
        <v>FES1162645728</v>
      </c>
      <c r="D668" s="10" t="s">
        <v>19</v>
      </c>
      <c r="E668" s="10" t="s">
        <v>518</v>
      </c>
      <c r="F668" s="10" t="str">
        <f>"2170650594 "</f>
        <v xml:space="preserve">2170650594 </v>
      </c>
      <c r="G668" s="10" t="str">
        <f t="shared" si="20"/>
        <v>ON1</v>
      </c>
      <c r="H668" s="10" t="s">
        <v>21</v>
      </c>
      <c r="I668" s="10" t="s">
        <v>36</v>
      </c>
      <c r="J668" s="10" t="str">
        <f>""</f>
        <v/>
      </c>
      <c r="K668" s="10" t="str">
        <f>"PFES1162645728_0001"</f>
        <v>PFES1162645728_0001</v>
      </c>
      <c r="L668" s="10">
        <v>1</v>
      </c>
      <c r="M668" s="10">
        <v>1</v>
      </c>
    </row>
    <row r="669" spans="1:13">
      <c r="A669" s="8">
        <v>43349</v>
      </c>
      <c r="B669" s="9">
        <v>0.63402777777777775</v>
      </c>
      <c r="C669" s="10" t="str">
        <f>"FES1162645710"</f>
        <v>FES1162645710</v>
      </c>
      <c r="D669" s="10" t="s">
        <v>19</v>
      </c>
      <c r="E669" s="10" t="s">
        <v>519</v>
      </c>
      <c r="F669" s="10" t="str">
        <f>"2170650567 "</f>
        <v xml:space="preserve">2170650567 </v>
      </c>
      <c r="G669" s="10" t="str">
        <f t="shared" si="20"/>
        <v>ON1</v>
      </c>
      <c r="H669" s="10" t="s">
        <v>21</v>
      </c>
      <c r="I669" s="10" t="s">
        <v>279</v>
      </c>
      <c r="J669" s="10" t="str">
        <f>""</f>
        <v/>
      </c>
      <c r="K669" s="10" t="str">
        <f>"PFES1162645710_0001"</f>
        <v>PFES1162645710_0001</v>
      </c>
      <c r="L669" s="10">
        <v>1</v>
      </c>
      <c r="M669" s="10">
        <v>1</v>
      </c>
    </row>
    <row r="670" spans="1:13">
      <c r="A670" s="8">
        <v>43349</v>
      </c>
      <c r="B670" s="9">
        <v>0.6333333333333333</v>
      </c>
      <c r="C670" s="10" t="str">
        <f>"FES1162645755"</f>
        <v>FES1162645755</v>
      </c>
      <c r="D670" s="10" t="s">
        <v>19</v>
      </c>
      <c r="E670" s="10" t="s">
        <v>445</v>
      </c>
      <c r="F670" s="10" t="str">
        <f>"2170650580 "</f>
        <v xml:space="preserve">2170650580 </v>
      </c>
      <c r="G670" s="10" t="str">
        <f t="shared" si="20"/>
        <v>ON1</v>
      </c>
      <c r="H670" s="10" t="s">
        <v>21</v>
      </c>
      <c r="I670" s="10" t="s">
        <v>206</v>
      </c>
      <c r="J670" s="10" t="str">
        <f>""</f>
        <v/>
      </c>
      <c r="K670" s="10" t="str">
        <f>"PFES1162645755_0001"</f>
        <v>PFES1162645755_0001</v>
      </c>
      <c r="L670" s="10">
        <v>1</v>
      </c>
      <c r="M670" s="10">
        <v>1</v>
      </c>
    </row>
    <row r="671" spans="1:13">
      <c r="A671" s="8">
        <v>43349</v>
      </c>
      <c r="B671" s="9">
        <v>0.6333333333333333</v>
      </c>
      <c r="C671" s="10" t="str">
        <f>"FES1162645707"</f>
        <v>FES1162645707</v>
      </c>
      <c r="D671" s="10" t="s">
        <v>19</v>
      </c>
      <c r="E671" s="10" t="s">
        <v>162</v>
      </c>
      <c r="F671" s="10" t="str">
        <f>"2170650513 "</f>
        <v xml:space="preserve">2170650513 </v>
      </c>
      <c r="G671" s="10" t="str">
        <f t="shared" si="20"/>
        <v>ON1</v>
      </c>
      <c r="H671" s="10" t="s">
        <v>21</v>
      </c>
      <c r="I671" s="10" t="s">
        <v>30</v>
      </c>
      <c r="J671" s="10" t="str">
        <f>""</f>
        <v/>
      </c>
      <c r="K671" s="10" t="str">
        <f>"PFES1162645707_0001"</f>
        <v>PFES1162645707_0001</v>
      </c>
      <c r="L671" s="10">
        <v>1</v>
      </c>
      <c r="M671" s="10">
        <v>1</v>
      </c>
    </row>
    <row r="672" spans="1:13">
      <c r="A672" s="8">
        <v>43349</v>
      </c>
      <c r="B672" s="9">
        <v>0.6333333333333333</v>
      </c>
      <c r="C672" s="10" t="str">
        <f>"FES1162645706"</f>
        <v>FES1162645706</v>
      </c>
      <c r="D672" s="10" t="s">
        <v>19</v>
      </c>
      <c r="E672" s="10" t="s">
        <v>520</v>
      </c>
      <c r="F672" s="10" t="str">
        <f>"2170648855 "</f>
        <v xml:space="preserve">2170648855 </v>
      </c>
      <c r="G672" s="10" t="str">
        <f t="shared" si="20"/>
        <v>ON1</v>
      </c>
      <c r="H672" s="10" t="s">
        <v>21</v>
      </c>
      <c r="I672" s="10" t="s">
        <v>521</v>
      </c>
      <c r="J672" s="10" t="str">
        <f>""</f>
        <v/>
      </c>
      <c r="K672" s="10" t="str">
        <f>"PFES1162645706_0001"</f>
        <v>PFES1162645706_0001</v>
      </c>
      <c r="L672" s="10">
        <v>1</v>
      </c>
      <c r="M672" s="10">
        <v>1</v>
      </c>
    </row>
    <row r="673" spans="1:13">
      <c r="A673" s="8">
        <v>43349</v>
      </c>
      <c r="B673" s="9">
        <v>0.63263888888888886</v>
      </c>
      <c r="C673" s="10" t="str">
        <f>"FES1162645761"</f>
        <v>FES1162645761</v>
      </c>
      <c r="D673" s="10" t="s">
        <v>19</v>
      </c>
      <c r="E673" s="10" t="s">
        <v>445</v>
      </c>
      <c r="F673" s="10" t="str">
        <f>"2170650638 "</f>
        <v xml:space="preserve">2170650638 </v>
      </c>
      <c r="G673" s="10" t="str">
        <f t="shared" si="20"/>
        <v>ON1</v>
      </c>
      <c r="H673" s="10" t="s">
        <v>21</v>
      </c>
      <c r="I673" s="10" t="s">
        <v>206</v>
      </c>
      <c r="J673" s="10" t="str">
        <f>""</f>
        <v/>
      </c>
      <c r="K673" s="10" t="str">
        <f>"PFES1162645761_0001"</f>
        <v>PFES1162645761_0001</v>
      </c>
      <c r="L673" s="10">
        <v>1</v>
      </c>
      <c r="M673" s="10">
        <v>1</v>
      </c>
    </row>
    <row r="674" spans="1:13">
      <c r="A674" s="8">
        <v>43349</v>
      </c>
      <c r="B674" s="9">
        <v>0.63263888888888886</v>
      </c>
      <c r="C674" s="10" t="str">
        <f>"FES1162645756"</f>
        <v>FES1162645756</v>
      </c>
      <c r="D674" s="10" t="s">
        <v>19</v>
      </c>
      <c r="E674" s="10" t="s">
        <v>445</v>
      </c>
      <c r="F674" s="10" t="str">
        <f>"2170650624 "</f>
        <v xml:space="preserve">2170650624 </v>
      </c>
      <c r="G674" s="10" t="str">
        <f t="shared" si="20"/>
        <v>ON1</v>
      </c>
      <c r="H674" s="10" t="s">
        <v>21</v>
      </c>
      <c r="I674" s="10" t="s">
        <v>206</v>
      </c>
      <c r="J674" s="10" t="str">
        <f>""</f>
        <v/>
      </c>
      <c r="K674" s="10" t="str">
        <f>"PFES1162645756_0001"</f>
        <v>PFES1162645756_0001</v>
      </c>
      <c r="L674" s="10">
        <v>1</v>
      </c>
      <c r="M674" s="10">
        <v>1</v>
      </c>
    </row>
    <row r="675" spans="1:13">
      <c r="A675" s="8">
        <v>43349</v>
      </c>
      <c r="B675" s="9">
        <v>0.63263888888888886</v>
      </c>
      <c r="C675" s="10" t="str">
        <f>"FES1162645762"</f>
        <v>FES1162645762</v>
      </c>
      <c r="D675" s="10" t="s">
        <v>19</v>
      </c>
      <c r="E675" s="10" t="s">
        <v>357</v>
      </c>
      <c r="F675" s="10" t="str">
        <f>"2170650650 "</f>
        <v xml:space="preserve">2170650650 </v>
      </c>
      <c r="G675" s="10" t="str">
        <f t="shared" si="20"/>
        <v>ON1</v>
      </c>
      <c r="H675" s="10" t="s">
        <v>21</v>
      </c>
      <c r="I675" s="10" t="s">
        <v>283</v>
      </c>
      <c r="J675" s="10" t="str">
        <f>""</f>
        <v/>
      </c>
      <c r="K675" s="10" t="str">
        <f>"PFES1162645762_0001"</f>
        <v>PFES1162645762_0001</v>
      </c>
      <c r="L675" s="10">
        <v>1</v>
      </c>
      <c r="M675" s="10">
        <v>1</v>
      </c>
    </row>
    <row r="676" spans="1:13">
      <c r="A676" s="8">
        <v>43349</v>
      </c>
      <c r="B676" s="9">
        <v>0.63194444444444442</v>
      </c>
      <c r="C676" s="10" t="str">
        <f>"FES1162645722"</f>
        <v>FES1162645722</v>
      </c>
      <c r="D676" s="10" t="s">
        <v>19</v>
      </c>
      <c r="E676" s="10" t="s">
        <v>522</v>
      </c>
      <c r="F676" s="10" t="str">
        <f>"2170650582 "</f>
        <v xml:space="preserve">2170650582 </v>
      </c>
      <c r="G676" s="10" t="str">
        <f t="shared" si="20"/>
        <v>ON1</v>
      </c>
      <c r="H676" s="10" t="s">
        <v>21</v>
      </c>
      <c r="I676" s="10" t="s">
        <v>523</v>
      </c>
      <c r="J676" s="10" t="str">
        <f>""</f>
        <v/>
      </c>
      <c r="K676" s="10" t="str">
        <f>"PFES1162645722_0001"</f>
        <v>PFES1162645722_0001</v>
      </c>
      <c r="L676" s="10">
        <v>1</v>
      </c>
      <c r="M676" s="10">
        <v>1</v>
      </c>
    </row>
    <row r="677" spans="1:13">
      <c r="A677" s="8">
        <v>43349</v>
      </c>
      <c r="B677" s="9">
        <v>0.63194444444444442</v>
      </c>
      <c r="C677" s="10" t="str">
        <f>"FES1162645767"</f>
        <v>FES1162645767</v>
      </c>
      <c r="D677" s="10" t="s">
        <v>19</v>
      </c>
      <c r="E677" s="10" t="s">
        <v>524</v>
      </c>
      <c r="F677" s="10" t="str">
        <f>"2170650647 "</f>
        <v xml:space="preserve">2170650647 </v>
      </c>
      <c r="G677" s="10" t="str">
        <f t="shared" si="20"/>
        <v>ON1</v>
      </c>
      <c r="H677" s="10" t="s">
        <v>21</v>
      </c>
      <c r="I677" s="10" t="s">
        <v>525</v>
      </c>
      <c r="J677" s="10" t="str">
        <f>""</f>
        <v/>
      </c>
      <c r="K677" s="10" t="str">
        <f>"PFES1162645767_0001"</f>
        <v>PFES1162645767_0001</v>
      </c>
      <c r="L677" s="10">
        <v>1</v>
      </c>
      <c r="M677" s="10">
        <v>1</v>
      </c>
    </row>
    <row r="678" spans="1:13">
      <c r="A678" s="8">
        <v>43349</v>
      </c>
      <c r="B678" s="9">
        <v>0.63055555555555554</v>
      </c>
      <c r="C678" s="10" t="str">
        <f>"FES1162645111"</f>
        <v>FES1162645111</v>
      </c>
      <c r="D678" s="10" t="s">
        <v>19</v>
      </c>
      <c r="E678" s="10" t="s">
        <v>141</v>
      </c>
      <c r="F678" s="10" t="str">
        <f>"2170649955 "</f>
        <v xml:space="preserve">2170649955 </v>
      </c>
      <c r="G678" s="10" t="str">
        <f t="shared" si="20"/>
        <v>ON1</v>
      </c>
      <c r="H678" s="10" t="s">
        <v>21</v>
      </c>
      <c r="I678" s="10" t="s">
        <v>91</v>
      </c>
      <c r="J678" s="10" t="str">
        <f>""</f>
        <v/>
      </c>
      <c r="K678" s="10" t="str">
        <f>"PFES1162645111_0001"</f>
        <v>PFES1162645111_0001</v>
      </c>
      <c r="L678" s="10">
        <v>1</v>
      </c>
      <c r="M678" s="10">
        <v>1</v>
      </c>
    </row>
    <row r="679" spans="1:13">
      <c r="A679" s="8">
        <v>43349</v>
      </c>
      <c r="B679" s="9">
        <v>0.62986111111111109</v>
      </c>
      <c r="C679" s="10" t="str">
        <f>"FES1162645760"</f>
        <v>FES1162645760</v>
      </c>
      <c r="D679" s="10" t="s">
        <v>19</v>
      </c>
      <c r="E679" s="10" t="s">
        <v>526</v>
      </c>
      <c r="F679" s="10" t="str">
        <f>"2170650637 "</f>
        <v xml:space="preserve">2170650637 </v>
      </c>
      <c r="G679" s="10" t="str">
        <f t="shared" si="20"/>
        <v>ON1</v>
      </c>
      <c r="H679" s="10" t="s">
        <v>21</v>
      </c>
      <c r="I679" s="10" t="s">
        <v>36</v>
      </c>
      <c r="J679" s="10" t="str">
        <f>""</f>
        <v/>
      </c>
      <c r="K679" s="10" t="str">
        <f>"PFES1162645760_0001"</f>
        <v>PFES1162645760_0001</v>
      </c>
      <c r="L679" s="10">
        <v>1</v>
      </c>
      <c r="M679" s="10">
        <v>1</v>
      </c>
    </row>
    <row r="680" spans="1:13">
      <c r="A680" s="8">
        <v>43349</v>
      </c>
      <c r="B680" s="9">
        <v>0.62083333333333335</v>
      </c>
      <c r="C680" s="10" t="str">
        <f>"FES1162645623"</f>
        <v>FES1162645623</v>
      </c>
      <c r="D680" s="10" t="s">
        <v>19</v>
      </c>
      <c r="E680" s="10" t="s">
        <v>496</v>
      </c>
      <c r="F680" s="10" t="str">
        <f>"2170650521 "</f>
        <v xml:space="preserve">2170650521 </v>
      </c>
      <c r="G680" s="10" t="str">
        <f t="shared" si="20"/>
        <v>ON1</v>
      </c>
      <c r="H680" s="10" t="s">
        <v>21</v>
      </c>
      <c r="I680" s="10" t="s">
        <v>497</v>
      </c>
      <c r="J680" s="10" t="str">
        <f>""</f>
        <v/>
      </c>
      <c r="K680" s="10" t="str">
        <f>"PFES1162645623_0001"</f>
        <v>PFES1162645623_0001</v>
      </c>
      <c r="L680" s="10">
        <v>1</v>
      </c>
      <c r="M680" s="10">
        <v>2</v>
      </c>
    </row>
    <row r="681" spans="1:13">
      <c r="A681" s="8">
        <v>43349</v>
      </c>
      <c r="B681" s="9">
        <v>0.61944444444444446</v>
      </c>
      <c r="C681" s="10" t="str">
        <f>"FES1162645700"</f>
        <v>FES1162645700</v>
      </c>
      <c r="D681" s="10" t="s">
        <v>19</v>
      </c>
      <c r="E681" s="10" t="s">
        <v>232</v>
      </c>
      <c r="F681" s="10" t="str">
        <f>"2170650554 "</f>
        <v xml:space="preserve">2170650554 </v>
      </c>
      <c r="G681" s="10" t="str">
        <f t="shared" si="20"/>
        <v>ON1</v>
      </c>
      <c r="H681" s="10" t="s">
        <v>21</v>
      </c>
      <c r="I681" s="10" t="s">
        <v>233</v>
      </c>
      <c r="J681" s="10" t="str">
        <f>""</f>
        <v/>
      </c>
      <c r="K681" s="10" t="str">
        <f>"PFES1162645700_0001"</f>
        <v>PFES1162645700_0001</v>
      </c>
      <c r="L681" s="10">
        <v>1</v>
      </c>
      <c r="M681" s="10">
        <v>3</v>
      </c>
    </row>
    <row r="682" spans="1:13">
      <c r="A682" s="8">
        <v>43349</v>
      </c>
      <c r="B682" s="9">
        <v>0.61944444444444446</v>
      </c>
      <c r="C682" s="10" t="str">
        <f>"FES1162645688"</f>
        <v>FES1162645688</v>
      </c>
      <c r="D682" s="10" t="s">
        <v>19</v>
      </c>
      <c r="E682" s="10" t="s">
        <v>228</v>
      </c>
      <c r="F682" s="10" t="str">
        <f>"2170650541 "</f>
        <v xml:space="preserve">2170650541 </v>
      </c>
      <c r="G682" s="10" t="str">
        <f t="shared" si="20"/>
        <v>ON1</v>
      </c>
      <c r="H682" s="10" t="s">
        <v>21</v>
      </c>
      <c r="I682" s="10" t="s">
        <v>229</v>
      </c>
      <c r="J682" s="10" t="str">
        <f>""</f>
        <v/>
      </c>
      <c r="K682" s="10" t="str">
        <f>"PFES1162645688_0001"</f>
        <v>PFES1162645688_0001</v>
      </c>
      <c r="L682" s="10">
        <v>1</v>
      </c>
      <c r="M682" s="10">
        <v>3</v>
      </c>
    </row>
    <row r="683" spans="1:13">
      <c r="A683" s="8">
        <v>43349</v>
      </c>
      <c r="B683" s="9">
        <v>0.61805555555555558</v>
      </c>
      <c r="C683" s="10" t="str">
        <f>"FES1162645552"</f>
        <v>FES1162645552</v>
      </c>
      <c r="D683" s="10" t="s">
        <v>19</v>
      </c>
      <c r="E683" s="10" t="s">
        <v>276</v>
      </c>
      <c r="F683" s="10" t="str">
        <f>"2170650481 "</f>
        <v xml:space="preserve">2170650481 </v>
      </c>
      <c r="G683" s="10" t="str">
        <f t="shared" si="20"/>
        <v>ON1</v>
      </c>
      <c r="H683" s="10" t="s">
        <v>21</v>
      </c>
      <c r="I683" s="10" t="s">
        <v>277</v>
      </c>
      <c r="J683" s="10" t="str">
        <f>""</f>
        <v/>
      </c>
      <c r="K683" s="10" t="str">
        <f>"PFES1162645552_0001"</f>
        <v>PFES1162645552_0001</v>
      </c>
      <c r="L683" s="10">
        <v>1</v>
      </c>
      <c r="M683" s="10">
        <v>7</v>
      </c>
    </row>
    <row r="684" spans="1:13">
      <c r="A684" s="8">
        <v>43349</v>
      </c>
      <c r="B684" s="9">
        <v>0.61736111111111114</v>
      </c>
      <c r="C684" s="10" t="str">
        <f>"FES1162645618"</f>
        <v>FES1162645618</v>
      </c>
      <c r="D684" s="10" t="s">
        <v>19</v>
      </c>
      <c r="E684" s="10" t="s">
        <v>527</v>
      </c>
      <c r="F684" s="10" t="str">
        <f>"2170650514 "</f>
        <v xml:space="preserve">2170650514 </v>
      </c>
      <c r="G684" s="10" t="str">
        <f t="shared" si="20"/>
        <v>ON1</v>
      </c>
      <c r="H684" s="10" t="s">
        <v>21</v>
      </c>
      <c r="I684" s="10" t="s">
        <v>24</v>
      </c>
      <c r="J684" s="10" t="str">
        <f>""</f>
        <v/>
      </c>
      <c r="K684" s="10" t="str">
        <f>"PFES1162645618_0001"</f>
        <v>PFES1162645618_0001</v>
      </c>
      <c r="L684" s="10">
        <v>1</v>
      </c>
      <c r="M684" s="10">
        <v>4</v>
      </c>
    </row>
    <row r="685" spans="1:13">
      <c r="A685" s="8">
        <v>43349</v>
      </c>
      <c r="B685" s="9">
        <v>0.6166666666666667</v>
      </c>
      <c r="C685" s="10" t="str">
        <f>"FES1162645718"</f>
        <v>FES1162645718</v>
      </c>
      <c r="D685" s="10" t="s">
        <v>19</v>
      </c>
      <c r="E685" s="10" t="s">
        <v>69</v>
      </c>
      <c r="F685" s="10" t="str">
        <f>"2170650577 "</f>
        <v xml:space="preserve">2170650577 </v>
      </c>
      <c r="G685" s="10" t="str">
        <f t="shared" si="20"/>
        <v>ON1</v>
      </c>
      <c r="H685" s="10" t="s">
        <v>21</v>
      </c>
      <c r="I685" s="10" t="s">
        <v>68</v>
      </c>
      <c r="J685" s="10" t="str">
        <f>""</f>
        <v/>
      </c>
      <c r="K685" s="10" t="str">
        <f>"PFES1162645718_0001"</f>
        <v>PFES1162645718_0001</v>
      </c>
      <c r="L685" s="10">
        <v>1</v>
      </c>
      <c r="M685" s="10">
        <v>2</v>
      </c>
    </row>
    <row r="686" spans="1:13">
      <c r="A686" s="8">
        <v>43349</v>
      </c>
      <c r="B686" s="9">
        <v>0.61527777777777781</v>
      </c>
      <c r="C686" s="10" t="str">
        <f>"FES1162645742"</f>
        <v>FES1162645742</v>
      </c>
      <c r="D686" s="10" t="s">
        <v>19</v>
      </c>
      <c r="E686" s="10" t="s">
        <v>528</v>
      </c>
      <c r="F686" s="10" t="str">
        <f>"2170650608 "</f>
        <v xml:space="preserve">2170650608 </v>
      </c>
      <c r="G686" s="10" t="str">
        <f t="shared" si="20"/>
        <v>ON1</v>
      </c>
      <c r="H686" s="10" t="s">
        <v>21</v>
      </c>
      <c r="I686" s="10" t="s">
        <v>529</v>
      </c>
      <c r="J686" s="10" t="str">
        <f>""</f>
        <v/>
      </c>
      <c r="K686" s="10" t="str">
        <f>"PFES1162645742_0001"</f>
        <v>PFES1162645742_0001</v>
      </c>
      <c r="L686" s="10">
        <v>1</v>
      </c>
      <c r="M686" s="10">
        <v>2</v>
      </c>
    </row>
    <row r="687" spans="1:13">
      <c r="A687" s="8">
        <v>43349</v>
      </c>
      <c r="B687" s="9">
        <v>0.61527777777777781</v>
      </c>
      <c r="C687" s="10" t="str">
        <f>"FES1162645523"</f>
        <v>FES1162645523</v>
      </c>
      <c r="D687" s="10" t="s">
        <v>19</v>
      </c>
      <c r="E687" s="10" t="s">
        <v>56</v>
      </c>
      <c r="F687" s="10" t="str">
        <f>"2170650318 "</f>
        <v xml:space="preserve">2170650318 </v>
      </c>
      <c r="G687" s="10" t="str">
        <f t="shared" si="20"/>
        <v>ON1</v>
      </c>
      <c r="H687" s="10" t="s">
        <v>21</v>
      </c>
      <c r="I687" s="10" t="s">
        <v>57</v>
      </c>
      <c r="J687" s="10" t="str">
        <f>""</f>
        <v/>
      </c>
      <c r="K687" s="10" t="str">
        <f>"PFES1162645523_0001"</f>
        <v>PFES1162645523_0001</v>
      </c>
      <c r="L687" s="10">
        <v>1</v>
      </c>
      <c r="M687" s="10">
        <v>2</v>
      </c>
    </row>
    <row r="688" spans="1:13">
      <c r="A688" s="8">
        <v>43349</v>
      </c>
      <c r="B688" s="9">
        <v>0.61458333333333337</v>
      </c>
      <c r="C688" s="10" t="str">
        <f>"FES1162645553"</f>
        <v>FES1162645553</v>
      </c>
      <c r="D688" s="10" t="s">
        <v>19</v>
      </c>
      <c r="E688" s="10" t="s">
        <v>488</v>
      </c>
      <c r="F688" s="10" t="str">
        <f>"2170650482 "</f>
        <v xml:space="preserve">2170650482 </v>
      </c>
      <c r="G688" s="10" t="str">
        <f t="shared" si="20"/>
        <v>ON1</v>
      </c>
      <c r="H688" s="10" t="s">
        <v>21</v>
      </c>
      <c r="I688" s="10" t="s">
        <v>277</v>
      </c>
      <c r="J688" s="10" t="str">
        <f>""</f>
        <v/>
      </c>
      <c r="K688" s="10" t="str">
        <f>"PFES1162645553_0001"</f>
        <v>PFES1162645553_0001</v>
      </c>
      <c r="L688" s="10">
        <v>1</v>
      </c>
      <c r="M688" s="10">
        <v>4</v>
      </c>
    </row>
    <row r="689" spans="1:13">
      <c r="A689" s="8">
        <v>43349</v>
      </c>
      <c r="B689" s="9">
        <v>0.61388888888888882</v>
      </c>
      <c r="C689" s="10" t="str">
        <f>"FES11623645595"</f>
        <v>FES11623645595</v>
      </c>
      <c r="D689" s="10" t="s">
        <v>19</v>
      </c>
      <c r="E689" s="10" t="s">
        <v>397</v>
      </c>
      <c r="F689" s="10" t="str">
        <f>"2170648729 "</f>
        <v xml:space="preserve">2170648729 </v>
      </c>
      <c r="G689" s="10" t="str">
        <f t="shared" si="20"/>
        <v>ON1</v>
      </c>
      <c r="H689" s="10" t="s">
        <v>21</v>
      </c>
      <c r="I689" s="10" t="s">
        <v>89</v>
      </c>
      <c r="J689" s="10" t="str">
        <f>""</f>
        <v/>
      </c>
      <c r="K689" s="10" t="str">
        <f>"PFES11623645595_0001"</f>
        <v>PFES11623645595_0001</v>
      </c>
      <c r="L689" s="10">
        <v>1</v>
      </c>
      <c r="M689" s="10">
        <v>10</v>
      </c>
    </row>
    <row r="690" spans="1:13">
      <c r="A690" s="8">
        <v>43349</v>
      </c>
      <c r="B690" s="9">
        <v>0.61319444444444449</v>
      </c>
      <c r="C690" s="10" t="str">
        <f>"FES1162645727"</f>
        <v>FES1162645727</v>
      </c>
      <c r="D690" s="10" t="s">
        <v>19</v>
      </c>
      <c r="E690" s="10" t="s">
        <v>69</v>
      </c>
      <c r="F690" s="10" t="str">
        <f>"2170650591 "</f>
        <v xml:space="preserve">2170650591 </v>
      </c>
      <c r="G690" s="10" t="str">
        <f t="shared" si="20"/>
        <v>ON1</v>
      </c>
      <c r="H690" s="10" t="s">
        <v>21</v>
      </c>
      <c r="I690" s="10" t="s">
        <v>68</v>
      </c>
      <c r="J690" s="10" t="str">
        <f>""</f>
        <v/>
      </c>
      <c r="K690" s="10" t="str">
        <f>"PFES1162645727_0001"</f>
        <v>PFES1162645727_0001</v>
      </c>
      <c r="L690" s="10">
        <v>1</v>
      </c>
      <c r="M690" s="10">
        <v>1</v>
      </c>
    </row>
    <row r="691" spans="1:13">
      <c r="A691" s="8">
        <v>43349</v>
      </c>
      <c r="B691" s="9">
        <v>0.61249999999999993</v>
      </c>
      <c r="C691" s="10" t="str">
        <f>"FES1162645715"</f>
        <v>FES1162645715</v>
      </c>
      <c r="D691" s="10" t="s">
        <v>19</v>
      </c>
      <c r="E691" s="10" t="s">
        <v>530</v>
      </c>
      <c r="F691" s="10" t="str">
        <f>"2170650575 "</f>
        <v xml:space="preserve">2170650575 </v>
      </c>
      <c r="G691" s="10" t="str">
        <f t="shared" si="20"/>
        <v>ON1</v>
      </c>
      <c r="H691" s="10" t="s">
        <v>21</v>
      </c>
      <c r="I691" s="10" t="s">
        <v>124</v>
      </c>
      <c r="J691" s="10" t="str">
        <f>""</f>
        <v/>
      </c>
      <c r="K691" s="10" t="str">
        <f>"PFES1162645715_0001"</f>
        <v>PFES1162645715_0001</v>
      </c>
      <c r="L691" s="10">
        <v>1</v>
      </c>
      <c r="M691" s="10">
        <v>5</v>
      </c>
    </row>
    <row r="692" spans="1:13">
      <c r="A692" s="8">
        <v>43349</v>
      </c>
      <c r="B692" s="9">
        <v>0.61111111111111105</v>
      </c>
      <c r="C692" s="10" t="str">
        <f>"FES1162645655"</f>
        <v>FES1162645655</v>
      </c>
      <c r="D692" s="10" t="s">
        <v>19</v>
      </c>
      <c r="E692" s="10" t="s">
        <v>531</v>
      </c>
      <c r="F692" s="10" t="str">
        <f>"2170650536 "</f>
        <v xml:space="preserve">2170650536 </v>
      </c>
      <c r="G692" s="10" t="str">
        <f t="shared" si="20"/>
        <v>ON1</v>
      </c>
      <c r="H692" s="10" t="s">
        <v>21</v>
      </c>
      <c r="I692" s="10" t="s">
        <v>532</v>
      </c>
      <c r="J692" s="10" t="str">
        <f>""</f>
        <v/>
      </c>
      <c r="K692" s="10" t="str">
        <f>"PFES1162645655_0001"</f>
        <v>PFES1162645655_0001</v>
      </c>
      <c r="L692" s="10">
        <v>1</v>
      </c>
      <c r="M692" s="10">
        <v>7</v>
      </c>
    </row>
    <row r="693" spans="1:13">
      <c r="A693" s="8">
        <v>43349</v>
      </c>
      <c r="B693" s="9">
        <v>0.60763888888888895</v>
      </c>
      <c r="C693" s="10" t="str">
        <f>"FES1162645702"</f>
        <v>FES1162645702</v>
      </c>
      <c r="D693" s="10" t="s">
        <v>19</v>
      </c>
      <c r="E693" s="10" t="s">
        <v>533</v>
      </c>
      <c r="F693" s="10" t="str">
        <f>"2170650557 "</f>
        <v xml:space="preserve">2170650557 </v>
      </c>
      <c r="G693" s="10" t="str">
        <f t="shared" si="20"/>
        <v>ON1</v>
      </c>
      <c r="H693" s="10" t="s">
        <v>21</v>
      </c>
      <c r="I693" s="10" t="s">
        <v>193</v>
      </c>
      <c r="J693" s="10" t="str">
        <f>""</f>
        <v/>
      </c>
      <c r="K693" s="10" t="str">
        <f>"PFES1162645702_0001"</f>
        <v>PFES1162645702_0001</v>
      </c>
      <c r="L693" s="10">
        <v>1</v>
      </c>
      <c r="M693" s="10">
        <v>1</v>
      </c>
    </row>
    <row r="694" spans="1:13">
      <c r="A694" s="8">
        <v>43349</v>
      </c>
      <c r="B694" s="9">
        <v>0.60763888888888895</v>
      </c>
      <c r="C694" s="10" t="str">
        <f>"FES1162645656"</f>
        <v>FES1162645656</v>
      </c>
      <c r="D694" s="10" t="s">
        <v>19</v>
      </c>
      <c r="E694" s="10" t="s">
        <v>534</v>
      </c>
      <c r="F694" s="10" t="str">
        <f>"2170650537 "</f>
        <v xml:space="preserve">2170650537 </v>
      </c>
      <c r="G694" s="10" t="str">
        <f t="shared" si="20"/>
        <v>ON1</v>
      </c>
      <c r="H694" s="10" t="s">
        <v>21</v>
      </c>
      <c r="I694" s="10" t="s">
        <v>400</v>
      </c>
      <c r="J694" s="10" t="str">
        <f>""</f>
        <v/>
      </c>
      <c r="K694" s="10" t="str">
        <f>"PFES1162645656_0001"</f>
        <v>PFES1162645656_0001</v>
      </c>
      <c r="L694" s="10">
        <v>1</v>
      </c>
      <c r="M694" s="10">
        <v>1</v>
      </c>
    </row>
    <row r="695" spans="1:13">
      <c r="A695" s="8">
        <v>43349</v>
      </c>
      <c r="B695" s="9">
        <v>0.6069444444444444</v>
      </c>
      <c r="C695" s="10" t="str">
        <f>"FES1162645589"</f>
        <v>FES1162645589</v>
      </c>
      <c r="D695" s="10" t="s">
        <v>19</v>
      </c>
      <c r="E695" s="10" t="s">
        <v>268</v>
      </c>
      <c r="F695" s="10" t="str">
        <f>"2170648650 "</f>
        <v xml:space="preserve">2170648650 </v>
      </c>
      <c r="G695" s="10" t="str">
        <f t="shared" si="20"/>
        <v>ON1</v>
      </c>
      <c r="H695" s="10" t="s">
        <v>21</v>
      </c>
      <c r="I695" s="10" t="s">
        <v>269</v>
      </c>
      <c r="J695" s="10" t="str">
        <f>""</f>
        <v/>
      </c>
      <c r="K695" s="10" t="str">
        <f>"PFES1162645589_0001"</f>
        <v>PFES1162645589_0001</v>
      </c>
      <c r="L695" s="10">
        <v>1</v>
      </c>
      <c r="M695" s="10">
        <v>1</v>
      </c>
    </row>
    <row r="696" spans="1:13">
      <c r="A696" s="8">
        <v>43349</v>
      </c>
      <c r="B696" s="9">
        <v>0.60625000000000007</v>
      </c>
      <c r="C696" s="10" t="str">
        <f>"FES1162645740"</f>
        <v>FES1162645740</v>
      </c>
      <c r="D696" s="10" t="s">
        <v>19</v>
      </c>
      <c r="E696" s="10" t="s">
        <v>535</v>
      </c>
      <c r="F696" s="10" t="str">
        <f>"2170650606 "</f>
        <v xml:space="preserve">2170650606 </v>
      </c>
      <c r="G696" s="10" t="str">
        <f t="shared" si="20"/>
        <v>ON1</v>
      </c>
      <c r="H696" s="10" t="s">
        <v>21</v>
      </c>
      <c r="I696" s="10" t="s">
        <v>536</v>
      </c>
      <c r="J696" s="10" t="str">
        <f>""</f>
        <v/>
      </c>
      <c r="K696" s="10" t="str">
        <f>"PFES1162645740_0001"</f>
        <v>PFES1162645740_0001</v>
      </c>
      <c r="L696" s="10">
        <v>1</v>
      </c>
      <c r="M696" s="10">
        <v>1</v>
      </c>
    </row>
    <row r="697" spans="1:13">
      <c r="A697" s="8">
        <v>43349</v>
      </c>
      <c r="B697" s="9">
        <v>0.60625000000000007</v>
      </c>
      <c r="C697" s="10" t="str">
        <f>"FES1162645677"</f>
        <v>FES1162645677</v>
      </c>
      <c r="D697" s="10" t="s">
        <v>19</v>
      </c>
      <c r="E697" s="10" t="s">
        <v>537</v>
      </c>
      <c r="F697" s="10" t="str">
        <f>"2170649037 "</f>
        <v xml:space="preserve">2170649037 </v>
      </c>
      <c r="G697" s="10" t="str">
        <f t="shared" si="20"/>
        <v>ON1</v>
      </c>
      <c r="H697" s="10" t="s">
        <v>21</v>
      </c>
      <c r="I697" s="10" t="s">
        <v>26</v>
      </c>
      <c r="J697" s="10" t="str">
        <f>""</f>
        <v/>
      </c>
      <c r="K697" s="10" t="str">
        <f>"PFES1162645677_0001"</f>
        <v>PFES1162645677_0001</v>
      </c>
      <c r="L697" s="10">
        <v>1</v>
      </c>
      <c r="M697" s="10">
        <v>1</v>
      </c>
    </row>
    <row r="698" spans="1:13">
      <c r="A698" s="8">
        <v>43349</v>
      </c>
      <c r="B698" s="9">
        <v>0.60555555555555551</v>
      </c>
      <c r="C698" s="10" t="str">
        <f>"FES1162645695"</f>
        <v>FES1162645695</v>
      </c>
      <c r="D698" s="10" t="s">
        <v>19</v>
      </c>
      <c r="E698" s="10" t="s">
        <v>212</v>
      </c>
      <c r="F698" s="10" t="str">
        <f>"2170650112 "</f>
        <v xml:space="preserve">2170650112 </v>
      </c>
      <c r="G698" s="10" t="str">
        <f t="shared" si="20"/>
        <v>ON1</v>
      </c>
      <c r="H698" s="10" t="s">
        <v>21</v>
      </c>
      <c r="I698" s="10" t="s">
        <v>211</v>
      </c>
      <c r="J698" s="10" t="str">
        <f>""</f>
        <v/>
      </c>
      <c r="K698" s="10" t="str">
        <f>"PFES1162645695_0001"</f>
        <v>PFES1162645695_0001</v>
      </c>
      <c r="L698" s="10">
        <v>1</v>
      </c>
      <c r="M698" s="10">
        <v>1</v>
      </c>
    </row>
    <row r="699" spans="1:13">
      <c r="A699" s="8">
        <v>43349</v>
      </c>
      <c r="B699" s="9">
        <v>0.60555555555555551</v>
      </c>
      <c r="C699" s="10" t="str">
        <f>"FES1162645520"</f>
        <v>FES1162645520</v>
      </c>
      <c r="D699" s="10" t="s">
        <v>19</v>
      </c>
      <c r="E699" s="10" t="s">
        <v>301</v>
      </c>
      <c r="F699" s="10" t="str">
        <f>"2170649774 "</f>
        <v xml:space="preserve">2170649774 </v>
      </c>
      <c r="G699" s="10" t="str">
        <f t="shared" si="20"/>
        <v>ON1</v>
      </c>
      <c r="H699" s="10" t="s">
        <v>21</v>
      </c>
      <c r="I699" s="10" t="s">
        <v>309</v>
      </c>
      <c r="J699" s="10" t="str">
        <f>""</f>
        <v/>
      </c>
      <c r="K699" s="10" t="str">
        <f>"PFES1162645520_0001"</f>
        <v>PFES1162645520_0001</v>
      </c>
      <c r="L699" s="10">
        <v>1</v>
      </c>
      <c r="M699" s="10">
        <v>1</v>
      </c>
    </row>
    <row r="700" spans="1:13">
      <c r="A700" s="8">
        <v>43349</v>
      </c>
      <c r="B700" s="9">
        <v>0.60486111111111118</v>
      </c>
      <c r="C700" s="10" t="str">
        <f>"FES1162645519"</f>
        <v>FES1162645519</v>
      </c>
      <c r="D700" s="10" t="s">
        <v>19</v>
      </c>
      <c r="E700" s="10" t="s">
        <v>149</v>
      </c>
      <c r="F700" s="10" t="str">
        <f>"2170649206 "</f>
        <v xml:space="preserve">2170649206 </v>
      </c>
      <c r="G700" s="10" t="str">
        <f t="shared" si="20"/>
        <v>ON1</v>
      </c>
      <c r="H700" s="10" t="s">
        <v>21</v>
      </c>
      <c r="I700" s="10" t="s">
        <v>150</v>
      </c>
      <c r="J700" s="10" t="str">
        <f>""</f>
        <v/>
      </c>
      <c r="K700" s="10" t="str">
        <f>"PFES1162645519_0001"</f>
        <v>PFES1162645519_0001</v>
      </c>
      <c r="L700" s="10">
        <v>1</v>
      </c>
      <c r="M700" s="10">
        <v>1</v>
      </c>
    </row>
    <row r="701" spans="1:13">
      <c r="A701" s="8">
        <v>43349</v>
      </c>
      <c r="B701" s="9">
        <v>0.60486111111111118</v>
      </c>
      <c r="C701" s="10" t="str">
        <f>"FES1162645529"</f>
        <v>FES1162645529</v>
      </c>
      <c r="D701" s="10" t="s">
        <v>19</v>
      </c>
      <c r="E701" s="10" t="s">
        <v>538</v>
      </c>
      <c r="F701" s="10" t="str">
        <f>"2170650439 "</f>
        <v xml:space="preserve">2170650439 </v>
      </c>
      <c r="G701" s="10" t="str">
        <f t="shared" si="20"/>
        <v>ON1</v>
      </c>
      <c r="H701" s="10" t="s">
        <v>21</v>
      </c>
      <c r="I701" s="10" t="s">
        <v>290</v>
      </c>
      <c r="J701" s="10" t="str">
        <f>""</f>
        <v/>
      </c>
      <c r="K701" s="10" t="str">
        <f>"PFES1162645529_0001"</f>
        <v>PFES1162645529_0001</v>
      </c>
      <c r="L701" s="10">
        <v>1</v>
      </c>
      <c r="M701" s="10">
        <v>1</v>
      </c>
    </row>
    <row r="702" spans="1:13">
      <c r="A702" s="8">
        <v>43349</v>
      </c>
      <c r="B702" s="9">
        <v>0.60416666666666663</v>
      </c>
      <c r="C702" s="10" t="str">
        <f>"FES1162645701"</f>
        <v>FES1162645701</v>
      </c>
      <c r="D702" s="10" t="s">
        <v>19</v>
      </c>
      <c r="E702" s="10" t="s">
        <v>39</v>
      </c>
      <c r="F702" s="10" t="str">
        <f>"21706505555 "</f>
        <v xml:space="preserve">21706505555 </v>
      </c>
      <c r="G702" s="10" t="str">
        <f t="shared" si="20"/>
        <v>ON1</v>
      </c>
      <c r="H702" s="10" t="s">
        <v>21</v>
      </c>
      <c r="I702" s="10" t="s">
        <v>40</v>
      </c>
      <c r="J702" s="10" t="str">
        <f>""</f>
        <v/>
      </c>
      <c r="K702" s="10" t="str">
        <f>"PFES1162645701_0001"</f>
        <v>PFES1162645701_0001</v>
      </c>
      <c r="L702" s="10">
        <v>1</v>
      </c>
      <c r="M702" s="10">
        <v>1</v>
      </c>
    </row>
    <row r="703" spans="1:13">
      <c r="A703" s="8">
        <v>43349</v>
      </c>
      <c r="B703" s="9">
        <v>0.60416666666666663</v>
      </c>
      <c r="C703" s="10" t="str">
        <f>"FES1162645521"</f>
        <v>FES1162645521</v>
      </c>
      <c r="D703" s="10" t="s">
        <v>19</v>
      </c>
      <c r="E703" s="10" t="s">
        <v>301</v>
      </c>
      <c r="F703" s="10" t="str">
        <f>"2170649857 "</f>
        <v xml:space="preserve">2170649857 </v>
      </c>
      <c r="G703" s="10" t="str">
        <f t="shared" si="20"/>
        <v>ON1</v>
      </c>
      <c r="H703" s="10" t="s">
        <v>21</v>
      </c>
      <c r="I703" s="10" t="s">
        <v>309</v>
      </c>
      <c r="J703" s="10" t="str">
        <f>""</f>
        <v/>
      </c>
      <c r="K703" s="10" t="str">
        <f>"PFES1162645521_0001"</f>
        <v>PFES1162645521_0001</v>
      </c>
      <c r="L703" s="10">
        <v>1</v>
      </c>
      <c r="M703" s="10">
        <v>1</v>
      </c>
    </row>
    <row r="704" spans="1:13">
      <c r="A704" s="8">
        <v>43349</v>
      </c>
      <c r="B704" s="9">
        <v>0.60416666666666663</v>
      </c>
      <c r="C704" s="10" t="str">
        <f>"FES1162645615"</f>
        <v>FES1162645615</v>
      </c>
      <c r="D704" s="10" t="s">
        <v>19</v>
      </c>
      <c r="E704" s="10" t="s">
        <v>232</v>
      </c>
      <c r="F704" s="10" t="str">
        <f>"2170650509 "</f>
        <v xml:space="preserve">2170650509 </v>
      </c>
      <c r="G704" s="10" t="str">
        <f t="shared" si="20"/>
        <v>ON1</v>
      </c>
      <c r="H704" s="10" t="s">
        <v>21</v>
      </c>
      <c r="I704" s="10" t="s">
        <v>233</v>
      </c>
      <c r="J704" s="10" t="str">
        <f>""</f>
        <v/>
      </c>
      <c r="K704" s="10" t="str">
        <f>"PFES1162645615_0001"</f>
        <v>PFES1162645615_0001</v>
      </c>
      <c r="L704" s="10">
        <v>1</v>
      </c>
      <c r="M704" s="10">
        <v>1</v>
      </c>
    </row>
    <row r="705" spans="1:13">
      <c r="A705" s="8">
        <v>43349</v>
      </c>
      <c r="B705" s="9">
        <v>0.60347222222222219</v>
      </c>
      <c r="C705" s="10" t="str">
        <f>"FES1162645559"</f>
        <v>FES1162645559</v>
      </c>
      <c r="D705" s="10" t="s">
        <v>19</v>
      </c>
      <c r="E705" s="10" t="s">
        <v>219</v>
      </c>
      <c r="F705" s="10" t="str">
        <f>"2170650483 "</f>
        <v xml:space="preserve">2170650483 </v>
      </c>
      <c r="G705" s="10" t="str">
        <f t="shared" si="20"/>
        <v>ON1</v>
      </c>
      <c r="H705" s="10" t="s">
        <v>21</v>
      </c>
      <c r="I705" s="10" t="s">
        <v>57</v>
      </c>
      <c r="J705" s="10" t="str">
        <f>""</f>
        <v/>
      </c>
      <c r="K705" s="10" t="str">
        <f>"PFES1162645559_0001"</f>
        <v>PFES1162645559_0001</v>
      </c>
      <c r="L705" s="10">
        <v>1</v>
      </c>
      <c r="M705" s="10">
        <v>1</v>
      </c>
    </row>
    <row r="706" spans="1:13">
      <c r="A706" s="8">
        <v>43349</v>
      </c>
      <c r="B706" s="9">
        <v>0.60347222222222219</v>
      </c>
      <c r="C706" s="10" t="str">
        <f>"FES1162645513"</f>
        <v>FES1162645513</v>
      </c>
      <c r="D706" s="10" t="s">
        <v>19</v>
      </c>
      <c r="E706" s="10" t="s">
        <v>137</v>
      </c>
      <c r="F706" s="10" t="str">
        <f>"2170647586 "</f>
        <v xml:space="preserve">2170647586 </v>
      </c>
      <c r="G706" s="10" t="str">
        <f t="shared" si="20"/>
        <v>ON1</v>
      </c>
      <c r="H706" s="10" t="s">
        <v>21</v>
      </c>
      <c r="I706" s="10" t="s">
        <v>138</v>
      </c>
      <c r="J706" s="10" t="str">
        <f>""</f>
        <v/>
      </c>
      <c r="K706" s="10" t="str">
        <f>"PFES1162645513_0001"</f>
        <v>PFES1162645513_0001</v>
      </c>
      <c r="L706" s="10">
        <v>1</v>
      </c>
      <c r="M706" s="10">
        <v>1</v>
      </c>
    </row>
    <row r="707" spans="1:13">
      <c r="A707" s="8">
        <v>43349</v>
      </c>
      <c r="B707" s="9">
        <v>0.60347222222222219</v>
      </c>
      <c r="C707" s="10" t="str">
        <f>"FES1162645551"</f>
        <v>FES1162645551</v>
      </c>
      <c r="D707" s="10" t="s">
        <v>19</v>
      </c>
      <c r="E707" s="10" t="s">
        <v>539</v>
      </c>
      <c r="F707" s="10" t="str">
        <f>"21706504779 "</f>
        <v xml:space="preserve">21706504779 </v>
      </c>
      <c r="G707" s="10" t="str">
        <f t="shared" si="20"/>
        <v>ON1</v>
      </c>
      <c r="H707" s="10" t="s">
        <v>21</v>
      </c>
      <c r="I707" s="10" t="s">
        <v>74</v>
      </c>
      <c r="J707" s="10" t="str">
        <f>""</f>
        <v/>
      </c>
      <c r="K707" s="10" t="str">
        <f>"PFES1162645551_0001"</f>
        <v>PFES1162645551_0001</v>
      </c>
      <c r="L707" s="10">
        <v>1</v>
      </c>
      <c r="M707" s="10">
        <v>1</v>
      </c>
    </row>
    <row r="708" spans="1:13">
      <c r="A708" s="8">
        <v>43349</v>
      </c>
      <c r="B708" s="9">
        <v>0.60277777777777775</v>
      </c>
      <c r="C708" s="10" t="str">
        <f>"FES1162645653"</f>
        <v>FES1162645653</v>
      </c>
      <c r="D708" s="10" t="s">
        <v>19</v>
      </c>
      <c r="E708" s="10" t="s">
        <v>540</v>
      </c>
      <c r="F708" s="10" t="str">
        <f>"2170650533 "</f>
        <v xml:space="preserve">2170650533 </v>
      </c>
      <c r="G708" s="10" t="str">
        <f t="shared" si="20"/>
        <v>ON1</v>
      </c>
      <c r="H708" s="10" t="s">
        <v>21</v>
      </c>
      <c r="I708" s="10" t="s">
        <v>541</v>
      </c>
      <c r="J708" s="10" t="str">
        <f>""</f>
        <v/>
      </c>
      <c r="K708" s="10" t="str">
        <f>"PFES1162645653_0001"</f>
        <v>PFES1162645653_0001</v>
      </c>
      <c r="L708" s="10">
        <v>1</v>
      </c>
      <c r="M708" s="10">
        <v>1</v>
      </c>
    </row>
    <row r="709" spans="1:13">
      <c r="A709" s="8">
        <v>43349</v>
      </c>
      <c r="B709" s="9">
        <v>0.60277777777777775</v>
      </c>
      <c r="C709" s="10" t="str">
        <f>"FES1162645672"</f>
        <v>FES1162645672</v>
      </c>
      <c r="D709" s="10" t="s">
        <v>19</v>
      </c>
      <c r="E709" s="10" t="s">
        <v>162</v>
      </c>
      <c r="F709" s="10" t="str">
        <f>"2170648849 "</f>
        <v xml:space="preserve">2170648849 </v>
      </c>
      <c r="G709" s="10" t="str">
        <f t="shared" si="20"/>
        <v>ON1</v>
      </c>
      <c r="H709" s="10" t="s">
        <v>21</v>
      </c>
      <c r="I709" s="10" t="s">
        <v>30</v>
      </c>
      <c r="J709" s="10" t="str">
        <f>""</f>
        <v/>
      </c>
      <c r="K709" s="10" t="str">
        <f>"PFES1162645672_0001"</f>
        <v>PFES1162645672_0001</v>
      </c>
      <c r="L709" s="10">
        <v>1</v>
      </c>
      <c r="M709" s="10">
        <v>1</v>
      </c>
    </row>
    <row r="710" spans="1:13">
      <c r="A710" s="8">
        <v>43349</v>
      </c>
      <c r="B710" s="9">
        <v>0.59375</v>
      </c>
      <c r="C710" s="10" t="str">
        <f>"FES1162645720"</f>
        <v>FES1162645720</v>
      </c>
      <c r="D710" s="10" t="s">
        <v>19</v>
      </c>
      <c r="E710" s="10" t="s">
        <v>445</v>
      </c>
      <c r="F710" s="10" t="str">
        <f>"2170650580 "</f>
        <v xml:space="preserve">2170650580 </v>
      </c>
      <c r="G710" s="10" t="str">
        <f t="shared" si="20"/>
        <v>ON1</v>
      </c>
      <c r="H710" s="10" t="s">
        <v>21</v>
      </c>
      <c r="I710" s="10" t="s">
        <v>206</v>
      </c>
      <c r="J710" s="10" t="str">
        <f>""</f>
        <v/>
      </c>
      <c r="K710" s="10" t="str">
        <f>"PFES1162645720_0001"</f>
        <v>PFES1162645720_0001</v>
      </c>
      <c r="L710" s="10">
        <v>1</v>
      </c>
      <c r="M710" s="10">
        <v>1</v>
      </c>
    </row>
    <row r="711" spans="1:13">
      <c r="A711" s="8">
        <v>43349</v>
      </c>
      <c r="B711" s="9">
        <v>0.59375</v>
      </c>
      <c r="C711" s="10" t="str">
        <f>"FES1162645752"</f>
        <v>FES1162645752</v>
      </c>
      <c r="D711" s="10" t="s">
        <v>19</v>
      </c>
      <c r="E711" s="10" t="s">
        <v>445</v>
      </c>
      <c r="F711" s="10" t="str">
        <f>"2170650623 "</f>
        <v xml:space="preserve">2170650623 </v>
      </c>
      <c r="G711" s="10" t="str">
        <f t="shared" si="20"/>
        <v>ON1</v>
      </c>
      <c r="H711" s="10" t="s">
        <v>21</v>
      </c>
      <c r="I711" s="10" t="s">
        <v>206</v>
      </c>
      <c r="J711" s="10" t="str">
        <f>""</f>
        <v/>
      </c>
      <c r="K711" s="10" t="str">
        <f>"PFES1162645752_0001"</f>
        <v>PFES1162645752_0001</v>
      </c>
      <c r="L711" s="10">
        <v>1</v>
      </c>
      <c r="M711" s="10">
        <v>1</v>
      </c>
    </row>
    <row r="712" spans="1:13">
      <c r="A712" s="8">
        <v>43349</v>
      </c>
      <c r="B712" s="9">
        <v>0.59375</v>
      </c>
      <c r="C712" s="10" t="str">
        <f>"FES1162645750"</f>
        <v>FES1162645750</v>
      </c>
      <c r="D712" s="10" t="s">
        <v>19</v>
      </c>
      <c r="E712" s="10" t="s">
        <v>445</v>
      </c>
      <c r="F712" s="10" t="str">
        <f>"2170650621 "</f>
        <v xml:space="preserve">2170650621 </v>
      </c>
      <c r="G712" s="10" t="str">
        <f t="shared" si="20"/>
        <v>ON1</v>
      </c>
      <c r="H712" s="10" t="s">
        <v>21</v>
      </c>
      <c r="I712" s="10" t="s">
        <v>206</v>
      </c>
      <c r="J712" s="10" t="str">
        <f>""</f>
        <v/>
      </c>
      <c r="K712" s="10" t="str">
        <f>"PFES1162645750_0001"</f>
        <v>PFES1162645750_0001</v>
      </c>
      <c r="L712" s="10">
        <v>1</v>
      </c>
      <c r="M712" s="10">
        <v>1</v>
      </c>
    </row>
    <row r="713" spans="1:13">
      <c r="A713" s="8">
        <v>43349</v>
      </c>
      <c r="B713" s="9">
        <v>0.59305555555555556</v>
      </c>
      <c r="C713" s="10" t="str">
        <f>"FES1162645726"</f>
        <v>FES1162645726</v>
      </c>
      <c r="D713" s="10" t="s">
        <v>19</v>
      </c>
      <c r="E713" s="10" t="s">
        <v>445</v>
      </c>
      <c r="F713" s="10" t="str">
        <f>"2170650590 "</f>
        <v xml:space="preserve">2170650590 </v>
      </c>
      <c r="G713" s="10" t="str">
        <f t="shared" si="20"/>
        <v>ON1</v>
      </c>
      <c r="H713" s="10" t="s">
        <v>21</v>
      </c>
      <c r="I713" s="10" t="s">
        <v>206</v>
      </c>
      <c r="J713" s="10" t="str">
        <f>""</f>
        <v/>
      </c>
      <c r="K713" s="10" t="str">
        <f>"PFES1162645726_0001"</f>
        <v>PFES1162645726_0001</v>
      </c>
      <c r="L713" s="10">
        <v>1</v>
      </c>
      <c r="M713" s="10">
        <v>1</v>
      </c>
    </row>
    <row r="714" spans="1:13">
      <c r="A714" s="8">
        <v>43349</v>
      </c>
      <c r="B714" s="9">
        <v>0.59305555555555556</v>
      </c>
      <c r="C714" s="10" t="str">
        <f>"FES1162645712"</f>
        <v>FES1162645712</v>
      </c>
      <c r="D714" s="10" t="s">
        <v>19</v>
      </c>
      <c r="E714" s="10" t="s">
        <v>445</v>
      </c>
      <c r="F714" s="10" t="str">
        <f>"2170650572 "</f>
        <v xml:space="preserve">2170650572 </v>
      </c>
      <c r="G714" s="10" t="str">
        <f t="shared" si="20"/>
        <v>ON1</v>
      </c>
      <c r="H714" s="10" t="s">
        <v>21</v>
      </c>
      <c r="I714" s="10" t="s">
        <v>206</v>
      </c>
      <c r="J714" s="10" t="str">
        <f>""</f>
        <v/>
      </c>
      <c r="K714" s="10" t="str">
        <f>"PFES1162645712_0001"</f>
        <v>PFES1162645712_0001</v>
      </c>
      <c r="L714" s="10">
        <v>1</v>
      </c>
      <c r="M714" s="10">
        <v>1</v>
      </c>
    </row>
    <row r="715" spans="1:13">
      <c r="A715" s="8">
        <v>43349</v>
      </c>
      <c r="B715" s="9">
        <v>0.59236111111111112</v>
      </c>
      <c r="C715" s="10" t="str">
        <f>"FES1162645683"</f>
        <v>FES1162645683</v>
      </c>
      <c r="D715" s="10" t="s">
        <v>19</v>
      </c>
      <c r="E715" s="10" t="s">
        <v>515</v>
      </c>
      <c r="F715" s="10" t="str">
        <f>"2170650208 "</f>
        <v xml:space="preserve">2170650208 </v>
      </c>
      <c r="G715" s="10" t="str">
        <f t="shared" si="20"/>
        <v>ON1</v>
      </c>
      <c r="H715" s="10" t="s">
        <v>21</v>
      </c>
      <c r="I715" s="10" t="s">
        <v>516</v>
      </c>
      <c r="J715" s="10" t="str">
        <f>""</f>
        <v/>
      </c>
      <c r="K715" s="10" t="str">
        <f>"PFES1162645683_0001"</f>
        <v>PFES1162645683_0001</v>
      </c>
      <c r="L715" s="10">
        <v>1</v>
      </c>
      <c r="M715" s="10">
        <v>1</v>
      </c>
    </row>
    <row r="716" spans="1:13">
      <c r="A716" s="8">
        <v>43349</v>
      </c>
      <c r="B716" s="9">
        <v>0.59236111111111112</v>
      </c>
      <c r="C716" s="10" t="str">
        <f>"FES1162645663"</f>
        <v>FES1162645663</v>
      </c>
      <c r="D716" s="10" t="s">
        <v>19</v>
      </c>
      <c r="E716" s="10" t="s">
        <v>219</v>
      </c>
      <c r="F716" s="10" t="str">
        <f>"2170648408 "</f>
        <v xml:space="preserve">2170648408 </v>
      </c>
      <c r="G716" s="10" t="str">
        <f t="shared" si="20"/>
        <v>ON1</v>
      </c>
      <c r="H716" s="10" t="s">
        <v>21</v>
      </c>
      <c r="I716" s="10" t="s">
        <v>57</v>
      </c>
      <c r="J716" s="10" t="str">
        <f>""</f>
        <v/>
      </c>
      <c r="K716" s="10" t="str">
        <f>"PFES1162645663_0001"</f>
        <v>PFES1162645663_0001</v>
      </c>
      <c r="L716" s="10">
        <v>1</v>
      </c>
      <c r="M716" s="10">
        <v>1</v>
      </c>
    </row>
    <row r="717" spans="1:13">
      <c r="A717" s="8">
        <v>43349</v>
      </c>
      <c r="B717" s="9">
        <v>0.53125</v>
      </c>
      <c r="C717" s="10" t="str">
        <f>"FES1162645588"</f>
        <v>FES1162645588</v>
      </c>
      <c r="D717" s="10" t="s">
        <v>19</v>
      </c>
      <c r="E717" s="10" t="s">
        <v>542</v>
      </c>
      <c r="F717" s="10" t="str">
        <f>"2170648631 "</f>
        <v xml:space="preserve">2170648631 </v>
      </c>
      <c r="G717" s="10" t="str">
        <f t="shared" si="20"/>
        <v>ON1</v>
      </c>
      <c r="H717" s="10" t="s">
        <v>21</v>
      </c>
      <c r="I717" s="10" t="s">
        <v>543</v>
      </c>
      <c r="J717" s="10" t="str">
        <f>""</f>
        <v/>
      </c>
      <c r="K717" s="10" t="str">
        <f>"PFES1162645588_0001"</f>
        <v>PFES1162645588_0001</v>
      </c>
      <c r="L717" s="10">
        <v>1</v>
      </c>
      <c r="M717" s="10">
        <v>1</v>
      </c>
    </row>
    <row r="718" spans="1:13">
      <c r="A718" s="8">
        <v>43349</v>
      </c>
      <c r="B718" s="9">
        <v>0.53055555555555556</v>
      </c>
      <c r="C718" s="10" t="str">
        <f>"FES1162645596"</f>
        <v>FES1162645596</v>
      </c>
      <c r="D718" s="10" t="s">
        <v>19</v>
      </c>
      <c r="E718" s="10" t="s">
        <v>544</v>
      </c>
      <c r="F718" s="10" t="str">
        <f>"2170648773 "</f>
        <v xml:space="preserve">2170648773 </v>
      </c>
      <c r="G718" s="10" t="str">
        <f t="shared" si="20"/>
        <v>ON1</v>
      </c>
      <c r="H718" s="10" t="s">
        <v>21</v>
      </c>
      <c r="I718" s="10" t="s">
        <v>76</v>
      </c>
      <c r="J718" s="10" t="str">
        <f>""</f>
        <v/>
      </c>
      <c r="K718" s="10" t="str">
        <f>"PFES1162645596_0001"</f>
        <v>PFES1162645596_0001</v>
      </c>
      <c r="L718" s="10">
        <v>1</v>
      </c>
      <c r="M718" s="10">
        <v>1</v>
      </c>
    </row>
    <row r="719" spans="1:13">
      <c r="A719" s="8">
        <v>43349</v>
      </c>
      <c r="B719" s="9">
        <v>0.53055555555555556</v>
      </c>
      <c r="C719" s="10" t="str">
        <f>"FES1162645564"</f>
        <v>FES1162645564</v>
      </c>
      <c r="D719" s="10" t="s">
        <v>19</v>
      </c>
      <c r="E719" s="10" t="s">
        <v>174</v>
      </c>
      <c r="F719" s="10" t="str">
        <f>"2170643552 "</f>
        <v xml:space="preserve">2170643552 </v>
      </c>
      <c r="G719" s="10" t="str">
        <f t="shared" ref="G719:G759" si="21">"ON1"</f>
        <v>ON1</v>
      </c>
      <c r="H719" s="10" t="s">
        <v>21</v>
      </c>
      <c r="I719" s="10" t="s">
        <v>175</v>
      </c>
      <c r="J719" s="10" t="str">
        <f>""</f>
        <v/>
      </c>
      <c r="K719" s="10" t="str">
        <f>"PFES1162645564_0001"</f>
        <v>PFES1162645564_0001</v>
      </c>
      <c r="L719" s="10">
        <v>1</v>
      </c>
      <c r="M719" s="10">
        <v>6</v>
      </c>
    </row>
    <row r="720" spans="1:13">
      <c r="A720" s="8">
        <v>43349</v>
      </c>
      <c r="B720" s="9">
        <v>0.52986111111111112</v>
      </c>
      <c r="C720" s="10" t="str">
        <f>"FES1162645631"</f>
        <v>FES1162645631</v>
      </c>
      <c r="D720" s="10" t="s">
        <v>19</v>
      </c>
      <c r="E720" s="10" t="s">
        <v>70</v>
      </c>
      <c r="F720" s="10" t="str">
        <f>"2170645276 "</f>
        <v xml:space="preserve">2170645276 </v>
      </c>
      <c r="G720" s="10" t="str">
        <f t="shared" si="21"/>
        <v>ON1</v>
      </c>
      <c r="H720" s="10" t="s">
        <v>21</v>
      </c>
      <c r="I720" s="10" t="s">
        <v>57</v>
      </c>
      <c r="J720" s="10" t="str">
        <f>""</f>
        <v/>
      </c>
      <c r="K720" s="10" t="str">
        <f>"PFES1162645631_0001"</f>
        <v>PFES1162645631_0001</v>
      </c>
      <c r="L720" s="10">
        <v>1</v>
      </c>
      <c r="M720" s="10">
        <v>1</v>
      </c>
    </row>
    <row r="721" spans="1:13">
      <c r="A721" s="8">
        <v>43349</v>
      </c>
      <c r="B721" s="9">
        <v>0.52916666666666667</v>
      </c>
      <c r="C721" s="10" t="str">
        <f>"FES1162645591"</f>
        <v>FES1162645591</v>
      </c>
      <c r="D721" s="10" t="s">
        <v>19</v>
      </c>
      <c r="E721" s="10" t="s">
        <v>65</v>
      </c>
      <c r="F721" s="10" t="str">
        <f>"2170648672 "</f>
        <v xml:space="preserve">2170648672 </v>
      </c>
      <c r="G721" s="10" t="str">
        <f t="shared" si="21"/>
        <v>ON1</v>
      </c>
      <c r="H721" s="10" t="s">
        <v>21</v>
      </c>
      <c r="I721" s="10" t="s">
        <v>66</v>
      </c>
      <c r="J721" s="10" t="str">
        <f>""</f>
        <v/>
      </c>
      <c r="K721" s="10" t="str">
        <f>"PFES1162645591_0001"</f>
        <v>PFES1162645591_0001</v>
      </c>
      <c r="L721" s="10">
        <v>1</v>
      </c>
      <c r="M721" s="10">
        <v>1</v>
      </c>
    </row>
    <row r="722" spans="1:13">
      <c r="A722" s="8">
        <v>43349</v>
      </c>
      <c r="B722" s="9">
        <v>0.52916666666666667</v>
      </c>
      <c r="C722" s="10" t="str">
        <f>"FES1162645533"</f>
        <v>FES1162645533</v>
      </c>
      <c r="D722" s="10" t="s">
        <v>19</v>
      </c>
      <c r="E722" s="10" t="s">
        <v>545</v>
      </c>
      <c r="F722" s="10" t="str">
        <f>"2170650447 "</f>
        <v xml:space="preserve">2170650447 </v>
      </c>
      <c r="G722" s="10" t="str">
        <f t="shared" si="21"/>
        <v>ON1</v>
      </c>
      <c r="H722" s="10" t="s">
        <v>21</v>
      </c>
      <c r="I722" s="10" t="s">
        <v>66</v>
      </c>
      <c r="J722" s="10" t="str">
        <f>""</f>
        <v/>
      </c>
      <c r="K722" s="10" t="str">
        <f>"PFES1162645533_0001"</f>
        <v>PFES1162645533_0001</v>
      </c>
      <c r="L722" s="10">
        <v>1</v>
      </c>
      <c r="M722" s="10">
        <v>1</v>
      </c>
    </row>
    <row r="723" spans="1:13">
      <c r="A723" s="8">
        <v>43349</v>
      </c>
      <c r="B723" s="9">
        <v>0.52847222222222223</v>
      </c>
      <c r="C723" s="10" t="str">
        <f>"FES1162645514"</f>
        <v>FES1162645514</v>
      </c>
      <c r="D723" s="10" t="s">
        <v>19</v>
      </c>
      <c r="E723" s="10" t="s">
        <v>546</v>
      </c>
      <c r="F723" s="10" t="str">
        <f>"2170647794 "</f>
        <v xml:space="preserve">2170647794 </v>
      </c>
      <c r="G723" s="10" t="str">
        <f t="shared" si="21"/>
        <v>ON1</v>
      </c>
      <c r="H723" s="10" t="s">
        <v>21</v>
      </c>
      <c r="I723" s="10" t="s">
        <v>246</v>
      </c>
      <c r="J723" s="10" t="str">
        <f>""</f>
        <v/>
      </c>
      <c r="K723" s="10" t="str">
        <f>"PFES1162645514_0001"</f>
        <v>PFES1162645514_0001</v>
      </c>
      <c r="L723" s="10">
        <v>1</v>
      </c>
      <c r="M723" s="10">
        <v>17</v>
      </c>
    </row>
    <row r="724" spans="1:13">
      <c r="A724" s="8">
        <v>43349</v>
      </c>
      <c r="B724" s="9">
        <v>0.52847222222222223</v>
      </c>
      <c r="C724" s="10" t="str">
        <f>"FES1162645562"</f>
        <v>FES1162645562</v>
      </c>
      <c r="D724" s="10" t="s">
        <v>19</v>
      </c>
      <c r="E724" s="10" t="s">
        <v>41</v>
      </c>
      <c r="F724" s="10" t="str">
        <f>"217065489 "</f>
        <v xml:space="preserve">217065489 </v>
      </c>
      <c r="G724" s="10" t="str">
        <f t="shared" si="21"/>
        <v>ON1</v>
      </c>
      <c r="H724" s="10" t="s">
        <v>21</v>
      </c>
      <c r="I724" s="10" t="s">
        <v>42</v>
      </c>
      <c r="J724" s="10" t="str">
        <f>""</f>
        <v/>
      </c>
      <c r="K724" s="10" t="str">
        <f>"PFES1162645562_0001"</f>
        <v>PFES1162645562_0001</v>
      </c>
      <c r="L724" s="10">
        <v>1</v>
      </c>
      <c r="M724" s="10">
        <v>1</v>
      </c>
    </row>
    <row r="725" spans="1:13">
      <c r="A725" s="8">
        <v>43349</v>
      </c>
      <c r="B725" s="9">
        <v>0.52777777777777779</v>
      </c>
      <c r="C725" s="10" t="str">
        <f>"FES1162645621"</f>
        <v>FES1162645621</v>
      </c>
      <c r="D725" s="10" t="s">
        <v>19</v>
      </c>
      <c r="E725" s="10" t="s">
        <v>123</v>
      </c>
      <c r="F725" s="10" t="str">
        <f>"2170650518 "</f>
        <v xml:space="preserve">2170650518 </v>
      </c>
      <c r="G725" s="10" t="str">
        <f t="shared" si="21"/>
        <v>ON1</v>
      </c>
      <c r="H725" s="10" t="s">
        <v>21</v>
      </c>
      <c r="I725" s="10" t="s">
        <v>124</v>
      </c>
      <c r="J725" s="10" t="str">
        <f>""</f>
        <v/>
      </c>
      <c r="K725" s="10" t="str">
        <f>"PFES1162645621_0001"</f>
        <v>PFES1162645621_0001</v>
      </c>
      <c r="L725" s="10">
        <v>1</v>
      </c>
      <c r="M725" s="10">
        <v>1</v>
      </c>
    </row>
    <row r="726" spans="1:13">
      <c r="A726" s="8">
        <v>43349</v>
      </c>
      <c r="B726" s="9">
        <v>0.52777777777777779</v>
      </c>
      <c r="C726" s="10" t="str">
        <f>"FES1162645510"</f>
        <v>FES1162645510</v>
      </c>
      <c r="D726" s="10" t="s">
        <v>19</v>
      </c>
      <c r="E726" s="10" t="s">
        <v>547</v>
      </c>
      <c r="F726" s="10" t="str">
        <f>"2170644742 "</f>
        <v xml:space="preserve">2170644742 </v>
      </c>
      <c r="G726" s="10" t="str">
        <f t="shared" si="21"/>
        <v>ON1</v>
      </c>
      <c r="H726" s="10" t="s">
        <v>21</v>
      </c>
      <c r="I726" s="10" t="s">
        <v>548</v>
      </c>
      <c r="J726" s="10" t="str">
        <f>""</f>
        <v/>
      </c>
      <c r="K726" s="10" t="str">
        <f>"PFES1162645510_0001"</f>
        <v>PFES1162645510_0001</v>
      </c>
      <c r="L726" s="10">
        <v>1</v>
      </c>
      <c r="M726" s="10">
        <v>15</v>
      </c>
    </row>
    <row r="727" spans="1:13">
      <c r="A727" s="8">
        <v>43349</v>
      </c>
      <c r="B727" s="9">
        <v>0.52777777777777779</v>
      </c>
      <c r="C727" s="10" t="str">
        <f>"FES1162645649"</f>
        <v>FES1162645649</v>
      </c>
      <c r="D727" s="10" t="s">
        <v>19</v>
      </c>
      <c r="E727" s="10" t="s">
        <v>65</v>
      </c>
      <c r="F727" s="10" t="str">
        <f>"2170649786 "</f>
        <v xml:space="preserve">2170649786 </v>
      </c>
      <c r="G727" s="10" t="str">
        <f t="shared" si="21"/>
        <v>ON1</v>
      </c>
      <c r="H727" s="10" t="s">
        <v>21</v>
      </c>
      <c r="I727" s="10" t="s">
        <v>66</v>
      </c>
      <c r="J727" s="10" t="str">
        <f>""</f>
        <v/>
      </c>
      <c r="K727" s="10" t="str">
        <f>"PFES1162645649_0001"</f>
        <v>PFES1162645649_0001</v>
      </c>
      <c r="L727" s="10">
        <v>1</v>
      </c>
      <c r="M727" s="10">
        <v>1</v>
      </c>
    </row>
    <row r="728" spans="1:13">
      <c r="A728" s="8">
        <v>43349</v>
      </c>
      <c r="B728" s="9">
        <v>0.52708333333333335</v>
      </c>
      <c r="C728" s="10" t="str">
        <f>"FES1162645625"</f>
        <v>FES1162645625</v>
      </c>
      <c r="D728" s="10" t="s">
        <v>19</v>
      </c>
      <c r="E728" s="10" t="s">
        <v>65</v>
      </c>
      <c r="F728" s="10" t="str">
        <f>"2170650525 "</f>
        <v xml:space="preserve">2170650525 </v>
      </c>
      <c r="G728" s="10" t="str">
        <f t="shared" si="21"/>
        <v>ON1</v>
      </c>
      <c r="H728" s="10" t="s">
        <v>21</v>
      </c>
      <c r="I728" s="10" t="s">
        <v>66</v>
      </c>
      <c r="J728" s="10" t="str">
        <f>""</f>
        <v/>
      </c>
      <c r="K728" s="10" t="str">
        <f>"PFES1162645625_0001"</f>
        <v>PFES1162645625_0001</v>
      </c>
      <c r="L728" s="10">
        <v>1</v>
      </c>
      <c r="M728" s="10">
        <v>1</v>
      </c>
    </row>
    <row r="729" spans="1:13">
      <c r="A729" s="8">
        <v>43349</v>
      </c>
      <c r="B729" s="9">
        <v>0.52708333333333335</v>
      </c>
      <c r="C729" s="10" t="str">
        <f>"FES1162645642"</f>
        <v>FES1162645642</v>
      </c>
      <c r="D729" s="10" t="s">
        <v>19</v>
      </c>
      <c r="E729" s="10" t="s">
        <v>549</v>
      </c>
      <c r="F729" s="10" t="str">
        <f>"2170648879 "</f>
        <v xml:space="preserve">2170648879 </v>
      </c>
      <c r="G729" s="10" t="str">
        <f t="shared" si="21"/>
        <v>ON1</v>
      </c>
      <c r="H729" s="10" t="s">
        <v>21</v>
      </c>
      <c r="I729" s="10" t="s">
        <v>283</v>
      </c>
      <c r="J729" s="10" t="str">
        <f>""</f>
        <v/>
      </c>
      <c r="K729" s="10" t="str">
        <f>"PFES1162645642_0001"</f>
        <v>PFES1162645642_0001</v>
      </c>
      <c r="L729" s="10">
        <v>1</v>
      </c>
      <c r="M729" s="10">
        <v>1</v>
      </c>
    </row>
    <row r="730" spans="1:13">
      <c r="A730" s="8">
        <v>43349</v>
      </c>
      <c r="B730" s="9">
        <v>0.52638888888888891</v>
      </c>
      <c r="C730" s="10" t="str">
        <f>"FES1162645640"</f>
        <v>FES1162645640</v>
      </c>
      <c r="D730" s="10" t="s">
        <v>19</v>
      </c>
      <c r="E730" s="10" t="s">
        <v>299</v>
      </c>
      <c r="F730" s="10" t="str">
        <f>"2170648713 "</f>
        <v xml:space="preserve">2170648713 </v>
      </c>
      <c r="G730" s="10" t="str">
        <f t="shared" si="21"/>
        <v>ON1</v>
      </c>
      <c r="H730" s="10" t="s">
        <v>21</v>
      </c>
      <c r="I730" s="10" t="s">
        <v>300</v>
      </c>
      <c r="J730" s="10" t="str">
        <f>""</f>
        <v/>
      </c>
      <c r="K730" s="10" t="str">
        <f>"PFES1162645640_0001"</f>
        <v>PFES1162645640_0001</v>
      </c>
      <c r="L730" s="10">
        <v>1</v>
      </c>
      <c r="M730" s="10">
        <v>1</v>
      </c>
    </row>
    <row r="731" spans="1:13">
      <c r="A731" s="8">
        <v>43349</v>
      </c>
      <c r="B731" s="9">
        <v>0.52569444444444446</v>
      </c>
      <c r="C731" s="10" t="str">
        <f>"FES1162645632"</f>
        <v>FES1162645632</v>
      </c>
      <c r="D731" s="10" t="s">
        <v>19</v>
      </c>
      <c r="E731" s="10" t="s">
        <v>549</v>
      </c>
      <c r="F731" s="10" t="str">
        <f>"2170647424 "</f>
        <v xml:space="preserve">2170647424 </v>
      </c>
      <c r="G731" s="10" t="str">
        <f t="shared" si="21"/>
        <v>ON1</v>
      </c>
      <c r="H731" s="10" t="s">
        <v>21</v>
      </c>
      <c r="I731" s="10" t="s">
        <v>283</v>
      </c>
      <c r="J731" s="10" t="str">
        <f>""</f>
        <v/>
      </c>
      <c r="K731" s="10" t="str">
        <f>"PFES1162645632_0001"</f>
        <v>PFES1162645632_0001</v>
      </c>
      <c r="L731" s="10">
        <v>1</v>
      </c>
      <c r="M731" s="10">
        <v>1</v>
      </c>
    </row>
    <row r="732" spans="1:13">
      <c r="A732" s="8">
        <v>43349</v>
      </c>
      <c r="B732" s="9">
        <v>0.52569444444444446</v>
      </c>
      <c r="C732" s="10" t="str">
        <f>"FES1162645599"</f>
        <v>FES1162645599</v>
      </c>
      <c r="D732" s="10" t="s">
        <v>19</v>
      </c>
      <c r="E732" s="10" t="s">
        <v>481</v>
      </c>
      <c r="F732" s="10" t="str">
        <f>"2170648821 "</f>
        <v xml:space="preserve">2170648821 </v>
      </c>
      <c r="G732" s="10" t="str">
        <f t="shared" si="21"/>
        <v>ON1</v>
      </c>
      <c r="H732" s="10" t="s">
        <v>21</v>
      </c>
      <c r="I732" s="10" t="s">
        <v>107</v>
      </c>
      <c r="J732" s="10" t="str">
        <f>""</f>
        <v/>
      </c>
      <c r="K732" s="10" t="str">
        <f>"PFES1162645599_0001"</f>
        <v>PFES1162645599_0001</v>
      </c>
      <c r="L732" s="10">
        <v>1</v>
      </c>
      <c r="M732" s="10">
        <v>1</v>
      </c>
    </row>
    <row r="733" spans="1:13">
      <c r="A733" s="8">
        <v>43349</v>
      </c>
      <c r="B733" s="9">
        <v>0.52500000000000002</v>
      </c>
      <c r="C733" s="10" t="str">
        <f>"FES1162645579"</f>
        <v>FES1162645579</v>
      </c>
      <c r="D733" s="10" t="s">
        <v>19</v>
      </c>
      <c r="E733" s="10" t="s">
        <v>220</v>
      </c>
      <c r="F733" s="10" t="str">
        <f>"2170648451 "</f>
        <v xml:space="preserve">2170648451 </v>
      </c>
      <c r="G733" s="10" t="str">
        <f t="shared" si="21"/>
        <v>ON1</v>
      </c>
      <c r="H733" s="10" t="s">
        <v>21</v>
      </c>
      <c r="I733" s="10" t="s">
        <v>126</v>
      </c>
      <c r="J733" s="10" t="str">
        <f>""</f>
        <v/>
      </c>
      <c r="K733" s="10" t="str">
        <f>"PFES1162645579_0001"</f>
        <v>PFES1162645579_0001</v>
      </c>
      <c r="L733" s="10">
        <v>1</v>
      </c>
      <c r="M733" s="10">
        <v>1</v>
      </c>
    </row>
    <row r="734" spans="1:13">
      <c r="A734" s="8">
        <v>43349</v>
      </c>
      <c r="B734" s="9">
        <v>0.52500000000000002</v>
      </c>
      <c r="C734" s="10" t="str">
        <f>"FES1162645654"</f>
        <v>FES1162645654</v>
      </c>
      <c r="D734" s="10" t="s">
        <v>19</v>
      </c>
      <c r="E734" s="10" t="s">
        <v>550</v>
      </c>
      <c r="F734" s="10" t="str">
        <f>"2170650534 "</f>
        <v xml:space="preserve">2170650534 </v>
      </c>
      <c r="G734" s="10" t="str">
        <f t="shared" si="21"/>
        <v>ON1</v>
      </c>
      <c r="H734" s="10" t="s">
        <v>21</v>
      </c>
      <c r="I734" s="10" t="s">
        <v>107</v>
      </c>
      <c r="J734" s="10" t="str">
        <f>""</f>
        <v/>
      </c>
      <c r="K734" s="10" t="str">
        <f>"PFES1162645654_0001"</f>
        <v>PFES1162645654_0001</v>
      </c>
      <c r="L734" s="10">
        <v>1</v>
      </c>
      <c r="M734" s="10">
        <v>1</v>
      </c>
    </row>
    <row r="735" spans="1:13">
      <c r="A735" s="8">
        <v>43349</v>
      </c>
      <c r="B735" s="9">
        <v>0.52430555555555558</v>
      </c>
      <c r="C735" s="10" t="str">
        <f>"FES1162645594"</f>
        <v>FES1162645594</v>
      </c>
      <c r="D735" s="10" t="s">
        <v>19</v>
      </c>
      <c r="E735" s="10" t="s">
        <v>299</v>
      </c>
      <c r="F735" s="10" t="str">
        <f>"2170648713 "</f>
        <v xml:space="preserve">2170648713 </v>
      </c>
      <c r="G735" s="10" t="str">
        <f t="shared" si="21"/>
        <v>ON1</v>
      </c>
      <c r="H735" s="10" t="s">
        <v>21</v>
      </c>
      <c r="I735" s="10" t="s">
        <v>300</v>
      </c>
      <c r="J735" s="10" t="str">
        <f>""</f>
        <v/>
      </c>
      <c r="K735" s="10" t="str">
        <f>"PFES1162645594_0001"</f>
        <v>PFES1162645594_0001</v>
      </c>
      <c r="L735" s="10">
        <v>1</v>
      </c>
      <c r="M735" s="10">
        <v>1</v>
      </c>
    </row>
    <row r="736" spans="1:13">
      <c r="A736" s="8">
        <v>43349</v>
      </c>
      <c r="B736" s="9">
        <v>0.52430555555555558</v>
      </c>
      <c r="C736" s="10" t="str">
        <f>"FES1162645516"</f>
        <v>FES1162645516</v>
      </c>
      <c r="D736" s="10" t="s">
        <v>19</v>
      </c>
      <c r="E736" s="10" t="s">
        <v>549</v>
      </c>
      <c r="F736" s="10" t="str">
        <f>"2170648879 "</f>
        <v xml:space="preserve">2170648879 </v>
      </c>
      <c r="G736" s="10" t="str">
        <f t="shared" si="21"/>
        <v>ON1</v>
      </c>
      <c r="H736" s="10" t="s">
        <v>21</v>
      </c>
      <c r="I736" s="10" t="s">
        <v>283</v>
      </c>
      <c r="J736" s="10" t="str">
        <f>""</f>
        <v/>
      </c>
      <c r="K736" s="10" t="str">
        <f>"PFES1162645516_0001"</f>
        <v>PFES1162645516_0001</v>
      </c>
      <c r="L736" s="10">
        <v>1</v>
      </c>
      <c r="M736" s="10">
        <v>1</v>
      </c>
    </row>
    <row r="737" spans="1:13">
      <c r="A737" s="8">
        <v>43349</v>
      </c>
      <c r="B737" s="9">
        <v>0.52361111111111114</v>
      </c>
      <c r="C737" s="10" t="str">
        <f>"FES1162645670"</f>
        <v>FES1162645670</v>
      </c>
      <c r="D737" s="10" t="s">
        <v>19</v>
      </c>
      <c r="E737" s="10" t="s">
        <v>441</v>
      </c>
      <c r="F737" s="10" t="str">
        <f>"2170648796 "</f>
        <v xml:space="preserve">2170648796 </v>
      </c>
      <c r="G737" s="10" t="str">
        <f t="shared" si="21"/>
        <v>ON1</v>
      </c>
      <c r="H737" s="10" t="s">
        <v>21</v>
      </c>
      <c r="I737" s="10" t="s">
        <v>348</v>
      </c>
      <c r="J737" s="10" t="str">
        <f>""</f>
        <v/>
      </c>
      <c r="K737" s="10" t="str">
        <f>"PFES1162645670_0001"</f>
        <v>PFES1162645670_0001</v>
      </c>
      <c r="L737" s="10">
        <v>1</v>
      </c>
      <c r="M737" s="10">
        <v>1</v>
      </c>
    </row>
    <row r="738" spans="1:13">
      <c r="A738" s="8">
        <v>43349</v>
      </c>
      <c r="B738" s="9">
        <v>0.5229166666666667</v>
      </c>
      <c r="C738" s="10" t="str">
        <f>"FES1162645645"</f>
        <v>FES1162645645</v>
      </c>
      <c r="D738" s="10" t="s">
        <v>19</v>
      </c>
      <c r="E738" s="10" t="s">
        <v>307</v>
      </c>
      <c r="F738" s="10" t="str">
        <f>"2170648956 "</f>
        <v xml:space="preserve">2170648956 </v>
      </c>
      <c r="G738" s="10" t="str">
        <f t="shared" si="21"/>
        <v>ON1</v>
      </c>
      <c r="H738" s="10" t="s">
        <v>21</v>
      </c>
      <c r="I738" s="10" t="s">
        <v>308</v>
      </c>
      <c r="J738" s="10" t="str">
        <f>""</f>
        <v/>
      </c>
      <c r="K738" s="10" t="str">
        <f>"PFES1162645645_0001"</f>
        <v>PFES1162645645_0001</v>
      </c>
      <c r="L738" s="10">
        <v>1</v>
      </c>
      <c r="M738" s="10">
        <v>1</v>
      </c>
    </row>
    <row r="739" spans="1:13">
      <c r="A739" s="8">
        <v>43349</v>
      </c>
      <c r="B739" s="9">
        <v>0.5229166666666667</v>
      </c>
      <c r="C739" s="10" t="str">
        <f>"FES1162645586"</f>
        <v>FES1162645586</v>
      </c>
      <c r="D739" s="10" t="s">
        <v>19</v>
      </c>
      <c r="E739" s="10" t="s">
        <v>315</v>
      </c>
      <c r="F739" s="10" t="str">
        <f>"2170648616 "</f>
        <v xml:space="preserve">2170648616 </v>
      </c>
      <c r="G739" s="10" t="str">
        <f t="shared" si="21"/>
        <v>ON1</v>
      </c>
      <c r="H739" s="10" t="s">
        <v>21</v>
      </c>
      <c r="I739" s="10" t="s">
        <v>277</v>
      </c>
      <c r="J739" s="10" t="str">
        <f>""</f>
        <v/>
      </c>
      <c r="K739" s="10" t="str">
        <f>"PFES1162645586_0001"</f>
        <v>PFES1162645586_0001</v>
      </c>
      <c r="L739" s="10">
        <v>1</v>
      </c>
      <c r="M739" s="10">
        <v>1</v>
      </c>
    </row>
    <row r="740" spans="1:13">
      <c r="A740" s="8">
        <v>43349</v>
      </c>
      <c r="B740" s="9">
        <v>0.52222222222222225</v>
      </c>
      <c r="C740" s="10" t="str">
        <f>"FES1162645547"</f>
        <v>FES1162645547</v>
      </c>
      <c r="D740" s="10" t="s">
        <v>19</v>
      </c>
      <c r="E740" s="10" t="s">
        <v>527</v>
      </c>
      <c r="F740" s="10" t="str">
        <f>"2170650474 "</f>
        <v xml:space="preserve">2170650474 </v>
      </c>
      <c r="G740" s="10" t="str">
        <f t="shared" si="21"/>
        <v>ON1</v>
      </c>
      <c r="H740" s="10" t="s">
        <v>21</v>
      </c>
      <c r="I740" s="10" t="s">
        <v>24</v>
      </c>
      <c r="J740" s="10" t="str">
        <f>""</f>
        <v/>
      </c>
      <c r="K740" s="10" t="str">
        <f>"PFES1162645547_0001"</f>
        <v>PFES1162645547_0001</v>
      </c>
      <c r="L740" s="10">
        <v>1</v>
      </c>
      <c r="M740" s="10">
        <v>1</v>
      </c>
    </row>
    <row r="741" spans="1:13">
      <c r="A741" s="8">
        <v>43349</v>
      </c>
      <c r="B741" s="9">
        <v>0.52222222222222225</v>
      </c>
      <c r="C741" s="10" t="str">
        <f>"FES1162645357"</f>
        <v>FES1162645357</v>
      </c>
      <c r="D741" s="10" t="s">
        <v>19</v>
      </c>
      <c r="E741" s="10" t="s">
        <v>151</v>
      </c>
      <c r="F741" s="10" t="str">
        <f>"2170650232 "</f>
        <v xml:space="preserve">2170650232 </v>
      </c>
      <c r="G741" s="10" t="str">
        <f t="shared" si="21"/>
        <v>ON1</v>
      </c>
      <c r="H741" s="10" t="s">
        <v>21</v>
      </c>
      <c r="I741" s="10" t="s">
        <v>152</v>
      </c>
      <c r="J741" s="10" t="str">
        <f>""</f>
        <v/>
      </c>
      <c r="K741" s="10" t="str">
        <f>"PFES1162645357_0001"</f>
        <v>PFES1162645357_0001</v>
      </c>
      <c r="L741" s="10">
        <v>1</v>
      </c>
      <c r="M741" s="10">
        <v>1</v>
      </c>
    </row>
    <row r="742" spans="1:13">
      <c r="A742" s="8">
        <v>43349</v>
      </c>
      <c r="B742" s="9">
        <v>0.52152777777777781</v>
      </c>
      <c r="C742" s="10" t="str">
        <f>"FES1162645628"</f>
        <v>FES1162645628</v>
      </c>
      <c r="D742" s="10" t="s">
        <v>19</v>
      </c>
      <c r="E742" s="10" t="s">
        <v>551</v>
      </c>
      <c r="F742" s="10" t="str">
        <f>"2170640744 "</f>
        <v xml:space="preserve">2170640744 </v>
      </c>
      <c r="G742" s="10" t="str">
        <f t="shared" si="21"/>
        <v>ON1</v>
      </c>
      <c r="H742" s="10" t="s">
        <v>21</v>
      </c>
      <c r="I742" s="10" t="s">
        <v>552</v>
      </c>
      <c r="J742" s="10" t="str">
        <f>""</f>
        <v/>
      </c>
      <c r="K742" s="10" t="str">
        <f>"PFES1162645628_0001"</f>
        <v>PFES1162645628_0001</v>
      </c>
      <c r="L742" s="10">
        <v>1</v>
      </c>
      <c r="M742" s="10">
        <v>1</v>
      </c>
    </row>
    <row r="743" spans="1:13">
      <c r="A743" s="8">
        <v>43349</v>
      </c>
      <c r="B743" s="9">
        <v>0.52152777777777781</v>
      </c>
      <c r="C743" s="10" t="str">
        <f>"009935791843"</f>
        <v>009935791843</v>
      </c>
      <c r="D743" s="10" t="s">
        <v>19</v>
      </c>
      <c r="E743" s="10" t="s">
        <v>401</v>
      </c>
      <c r="F743" s="10" t="str">
        <f>"1162645313 "</f>
        <v xml:space="preserve">1162645313 </v>
      </c>
      <c r="G743" s="10" t="str">
        <f t="shared" si="21"/>
        <v>ON1</v>
      </c>
      <c r="H743" s="10" t="s">
        <v>21</v>
      </c>
      <c r="I743" s="10" t="s">
        <v>402</v>
      </c>
      <c r="J743" s="10" t="str">
        <f>"RE DELIVER WRONLY PACKED BY STORES(SUNNYBOY)"</f>
        <v>RE DELIVER WRONLY PACKED BY STORES(SUNNYBOY)</v>
      </c>
      <c r="K743" s="10" t="str">
        <f>"P009935791843_0001"</f>
        <v>P009935791843_0001</v>
      </c>
      <c r="L743" s="10">
        <v>2</v>
      </c>
      <c r="M743" s="10">
        <v>5</v>
      </c>
    </row>
    <row r="744" spans="1:13">
      <c r="A744" s="8">
        <v>43349</v>
      </c>
      <c r="B744" s="9">
        <v>0.52152777777777781</v>
      </c>
      <c r="C744" s="10" t="str">
        <f>"009935791843"</f>
        <v>009935791843</v>
      </c>
      <c r="D744" s="10" t="s">
        <v>19</v>
      </c>
      <c r="E744" s="10" t="s">
        <v>401</v>
      </c>
      <c r="F744" s="10" t="str">
        <f>"1162645313 "</f>
        <v xml:space="preserve">1162645313 </v>
      </c>
      <c r="G744" s="10" t="str">
        <f t="shared" si="21"/>
        <v>ON1</v>
      </c>
      <c r="H744" s="10" t="s">
        <v>21</v>
      </c>
      <c r="I744" s="10" t="s">
        <v>402</v>
      </c>
      <c r="J744" s="10" t="str">
        <f>"RE DELIVER WRONLY PACKED BY STORES(SUNNYBOY)"</f>
        <v>RE DELIVER WRONLY PACKED BY STORES(SUNNYBOY)</v>
      </c>
      <c r="K744" s="10" t="str">
        <f>"P009935791843_0002"</f>
        <v>P009935791843_0002</v>
      </c>
      <c r="L744" s="10">
        <v>2</v>
      </c>
      <c r="M744" s="10">
        <v>5</v>
      </c>
    </row>
    <row r="745" spans="1:13">
      <c r="A745" s="8">
        <v>43349</v>
      </c>
      <c r="B745" s="9">
        <v>0.51736111111111105</v>
      </c>
      <c r="C745" s="10" t="str">
        <f>"009935791928"</f>
        <v>009935791928</v>
      </c>
      <c r="D745" s="10" t="s">
        <v>19</v>
      </c>
      <c r="E745" s="10" t="s">
        <v>27</v>
      </c>
      <c r="F745" s="10" t="str">
        <f>"1162644982 "</f>
        <v xml:space="preserve">1162644982 </v>
      </c>
      <c r="G745" s="10" t="str">
        <f t="shared" si="21"/>
        <v>ON1</v>
      </c>
      <c r="H745" s="10" t="s">
        <v>21</v>
      </c>
      <c r="I745" s="10" t="s">
        <v>28</v>
      </c>
      <c r="J745" s="10" t="str">
        <f>""</f>
        <v/>
      </c>
      <c r="K745" s="10" t="str">
        <f>"P009935791928_0001"</f>
        <v>P009935791928_0001</v>
      </c>
      <c r="L745" s="10">
        <v>1</v>
      </c>
      <c r="M745" s="10">
        <v>1</v>
      </c>
    </row>
    <row r="746" spans="1:13">
      <c r="A746" s="8">
        <v>43349</v>
      </c>
      <c r="B746" s="9">
        <v>0.51388888888888895</v>
      </c>
      <c r="C746" s="10" t="str">
        <f>"FES1162645583"</f>
        <v>FES1162645583</v>
      </c>
      <c r="D746" s="10" t="s">
        <v>19</v>
      </c>
      <c r="E746" s="10" t="s">
        <v>224</v>
      </c>
      <c r="F746" s="10" t="str">
        <f>"2170648549 "</f>
        <v xml:space="preserve">2170648549 </v>
      </c>
      <c r="G746" s="10" t="str">
        <f t="shared" si="21"/>
        <v>ON1</v>
      </c>
      <c r="H746" s="10" t="s">
        <v>21</v>
      </c>
      <c r="I746" s="10" t="s">
        <v>159</v>
      </c>
      <c r="J746" s="10" t="str">
        <f>""</f>
        <v/>
      </c>
      <c r="K746" s="10" t="str">
        <f>"PFES1162645583_0001"</f>
        <v>PFES1162645583_0001</v>
      </c>
      <c r="L746" s="10">
        <v>1</v>
      </c>
      <c r="M746" s="10">
        <v>1</v>
      </c>
    </row>
    <row r="747" spans="1:13">
      <c r="A747" s="8">
        <v>43349</v>
      </c>
      <c r="B747" s="9">
        <v>0.51388888888888895</v>
      </c>
      <c r="C747" s="10" t="str">
        <f>"FES1162645606"</f>
        <v>FES1162645606</v>
      </c>
      <c r="D747" s="10" t="s">
        <v>19</v>
      </c>
      <c r="E747" s="10" t="s">
        <v>111</v>
      </c>
      <c r="F747" s="10" t="str">
        <f>"2170650500 "</f>
        <v xml:space="preserve">2170650500 </v>
      </c>
      <c r="G747" s="10" t="str">
        <f t="shared" si="21"/>
        <v>ON1</v>
      </c>
      <c r="H747" s="10" t="s">
        <v>21</v>
      </c>
      <c r="I747" s="10" t="s">
        <v>407</v>
      </c>
      <c r="J747" s="10" t="str">
        <f>""</f>
        <v/>
      </c>
      <c r="K747" s="10" t="str">
        <f>"PFES1162645606_0001"</f>
        <v>PFES1162645606_0001</v>
      </c>
      <c r="L747" s="10">
        <v>1</v>
      </c>
      <c r="M747" s="10">
        <v>1</v>
      </c>
    </row>
    <row r="748" spans="1:13">
      <c r="A748" s="8">
        <v>43349</v>
      </c>
      <c r="B748" s="9">
        <v>0.5131944444444444</v>
      </c>
      <c r="C748" s="10" t="str">
        <f>"FES1162645561"</f>
        <v>FES1162645561</v>
      </c>
      <c r="D748" s="10" t="s">
        <v>19</v>
      </c>
      <c r="E748" s="10" t="s">
        <v>553</v>
      </c>
      <c r="F748" s="10" t="str">
        <f>"21706450487 "</f>
        <v xml:space="preserve">21706450487 </v>
      </c>
      <c r="G748" s="10" t="str">
        <f t="shared" si="21"/>
        <v>ON1</v>
      </c>
      <c r="H748" s="10" t="s">
        <v>21</v>
      </c>
      <c r="I748" s="10" t="s">
        <v>554</v>
      </c>
      <c r="J748" s="10" t="str">
        <f>""</f>
        <v/>
      </c>
      <c r="K748" s="10" t="str">
        <f>"PFES1162645561_0001"</f>
        <v>PFES1162645561_0001</v>
      </c>
      <c r="L748" s="10">
        <v>1</v>
      </c>
      <c r="M748" s="10">
        <v>1</v>
      </c>
    </row>
    <row r="749" spans="1:13">
      <c r="A749" s="8">
        <v>43349</v>
      </c>
      <c r="B749" s="9">
        <v>0.5131944444444444</v>
      </c>
      <c r="C749" s="10" t="str">
        <f>"FES1162645639"</f>
        <v>FES1162645639</v>
      </c>
      <c r="D749" s="10" t="s">
        <v>19</v>
      </c>
      <c r="E749" s="10" t="s">
        <v>39</v>
      </c>
      <c r="F749" s="10" t="str">
        <f>"2170648682 "</f>
        <v xml:space="preserve">2170648682 </v>
      </c>
      <c r="G749" s="10" t="str">
        <f t="shared" si="21"/>
        <v>ON1</v>
      </c>
      <c r="H749" s="10" t="s">
        <v>21</v>
      </c>
      <c r="I749" s="10" t="s">
        <v>40</v>
      </c>
      <c r="J749" s="10" t="str">
        <f>""</f>
        <v/>
      </c>
      <c r="K749" s="10" t="str">
        <f>"PFES1162645639_0001"</f>
        <v>PFES1162645639_0001</v>
      </c>
      <c r="L749" s="10">
        <v>1</v>
      </c>
      <c r="M749" s="10">
        <v>1</v>
      </c>
    </row>
    <row r="750" spans="1:13">
      <c r="A750" s="8">
        <v>43349</v>
      </c>
      <c r="B750" s="9">
        <v>0.51250000000000007</v>
      </c>
      <c r="C750" s="10" t="str">
        <f>"FES1162645582"</f>
        <v>FES1162645582</v>
      </c>
      <c r="D750" s="10" t="s">
        <v>19</v>
      </c>
      <c r="E750" s="10" t="s">
        <v>555</v>
      </c>
      <c r="F750" s="10" t="str">
        <f>"2170648515 "</f>
        <v xml:space="preserve">2170648515 </v>
      </c>
      <c r="G750" s="10" t="str">
        <f t="shared" si="21"/>
        <v>ON1</v>
      </c>
      <c r="H750" s="10" t="s">
        <v>21</v>
      </c>
      <c r="I750" s="10" t="s">
        <v>105</v>
      </c>
      <c r="J750" s="10" t="str">
        <f>""</f>
        <v/>
      </c>
      <c r="K750" s="10" t="str">
        <f>"PFES1162645582_0001"</f>
        <v>PFES1162645582_0001</v>
      </c>
      <c r="L750" s="10">
        <v>1</v>
      </c>
      <c r="M750" s="10">
        <v>1</v>
      </c>
    </row>
    <row r="751" spans="1:13">
      <c r="A751" s="8">
        <v>43349</v>
      </c>
      <c r="B751" s="9">
        <v>0.51250000000000007</v>
      </c>
      <c r="C751" s="10" t="str">
        <f>"FES1162645602"</f>
        <v>FES1162645602</v>
      </c>
      <c r="D751" s="10" t="s">
        <v>19</v>
      </c>
      <c r="E751" s="10" t="s">
        <v>417</v>
      </c>
      <c r="F751" s="10" t="str">
        <f>"2170648944 "</f>
        <v xml:space="preserve">2170648944 </v>
      </c>
      <c r="G751" s="10" t="str">
        <f t="shared" si="21"/>
        <v>ON1</v>
      </c>
      <c r="H751" s="10" t="s">
        <v>21</v>
      </c>
      <c r="I751" s="10" t="s">
        <v>418</v>
      </c>
      <c r="J751" s="10" t="str">
        <f>""</f>
        <v/>
      </c>
      <c r="K751" s="10" t="str">
        <f>"PFES1162645602_0001"</f>
        <v>PFES1162645602_0001</v>
      </c>
      <c r="L751" s="10">
        <v>1</v>
      </c>
      <c r="M751" s="10">
        <v>1</v>
      </c>
    </row>
    <row r="752" spans="1:13">
      <c r="A752" s="8">
        <v>43349</v>
      </c>
      <c r="B752" s="9">
        <v>0.51250000000000007</v>
      </c>
      <c r="C752" s="10" t="str">
        <f>"FES1162645535"</f>
        <v>FES1162645535</v>
      </c>
      <c r="D752" s="10" t="s">
        <v>19</v>
      </c>
      <c r="E752" s="10" t="s">
        <v>216</v>
      </c>
      <c r="F752" s="10" t="str">
        <f>"2170650450 "</f>
        <v xml:space="preserve">2170650450 </v>
      </c>
      <c r="G752" s="10" t="str">
        <f t="shared" si="21"/>
        <v>ON1</v>
      </c>
      <c r="H752" s="10" t="s">
        <v>21</v>
      </c>
      <c r="I752" s="10" t="s">
        <v>217</v>
      </c>
      <c r="J752" s="10" t="str">
        <f>""</f>
        <v/>
      </c>
      <c r="K752" s="10" t="str">
        <f>"PFES1162645535_0001"</f>
        <v>PFES1162645535_0001</v>
      </c>
      <c r="L752" s="10">
        <v>1</v>
      </c>
      <c r="M752" s="10">
        <v>1</v>
      </c>
    </row>
    <row r="753" spans="1:13">
      <c r="A753" s="8">
        <v>43349</v>
      </c>
      <c r="B753" s="9">
        <v>0.51180555555555551</v>
      </c>
      <c r="C753" s="10" t="str">
        <f>"FES1162645515"</f>
        <v>FES1162645515</v>
      </c>
      <c r="D753" s="10" t="s">
        <v>19</v>
      </c>
      <c r="E753" s="10" t="s">
        <v>139</v>
      </c>
      <c r="F753" s="10" t="str">
        <f>"2170647985 "</f>
        <v xml:space="preserve">2170647985 </v>
      </c>
      <c r="G753" s="10" t="str">
        <f t="shared" si="21"/>
        <v>ON1</v>
      </c>
      <c r="H753" s="10" t="s">
        <v>21</v>
      </c>
      <c r="I753" s="10" t="s">
        <v>140</v>
      </c>
      <c r="J753" s="10" t="str">
        <f>""</f>
        <v/>
      </c>
      <c r="K753" s="10" t="str">
        <f>"PFES1162645515_0001"</f>
        <v>PFES1162645515_0001</v>
      </c>
      <c r="L753" s="10">
        <v>1</v>
      </c>
      <c r="M753" s="10">
        <v>1</v>
      </c>
    </row>
    <row r="754" spans="1:13">
      <c r="A754" s="8">
        <v>43349</v>
      </c>
      <c r="B754" s="9">
        <v>0.51111111111111118</v>
      </c>
      <c r="C754" s="10" t="str">
        <f>"FES1162645600"</f>
        <v>FES1162645600</v>
      </c>
      <c r="D754" s="10" t="s">
        <v>19</v>
      </c>
      <c r="E754" s="10" t="s">
        <v>39</v>
      </c>
      <c r="F754" s="10" t="str">
        <f>"2170648838 "</f>
        <v xml:space="preserve">2170648838 </v>
      </c>
      <c r="G754" s="10" t="str">
        <f t="shared" si="21"/>
        <v>ON1</v>
      </c>
      <c r="H754" s="10" t="s">
        <v>21</v>
      </c>
      <c r="I754" s="10" t="s">
        <v>40</v>
      </c>
      <c r="J754" s="10" t="str">
        <f>""</f>
        <v/>
      </c>
      <c r="K754" s="10" t="str">
        <f>"PFES1162645600_0001"</f>
        <v>PFES1162645600_0001</v>
      </c>
      <c r="L754" s="10">
        <v>1</v>
      </c>
      <c r="M754" s="10">
        <v>1</v>
      </c>
    </row>
    <row r="755" spans="1:13">
      <c r="A755" s="8">
        <v>43349</v>
      </c>
      <c r="B755" s="9">
        <v>0.51111111111111118</v>
      </c>
      <c r="C755" s="10" t="str">
        <f>"FES1162645522"</f>
        <v>FES1162645522</v>
      </c>
      <c r="D755" s="10" t="s">
        <v>19</v>
      </c>
      <c r="E755" s="10" t="s">
        <v>556</v>
      </c>
      <c r="F755" s="10" t="str">
        <f>"2170650013 "</f>
        <v xml:space="preserve">2170650013 </v>
      </c>
      <c r="G755" s="10" t="str">
        <f t="shared" si="21"/>
        <v>ON1</v>
      </c>
      <c r="H755" s="10" t="s">
        <v>21</v>
      </c>
      <c r="I755" s="10" t="s">
        <v>557</v>
      </c>
      <c r="J755" s="10" t="str">
        <f>""</f>
        <v/>
      </c>
      <c r="K755" s="10" t="str">
        <f>"PFES1162645522_0001"</f>
        <v>PFES1162645522_0001</v>
      </c>
      <c r="L755" s="10">
        <v>1</v>
      </c>
      <c r="M755" s="10">
        <v>1</v>
      </c>
    </row>
    <row r="756" spans="1:13">
      <c r="A756" s="8">
        <v>43349</v>
      </c>
      <c r="B756" s="9">
        <v>0.51041666666666663</v>
      </c>
      <c r="C756" s="10" t="str">
        <f>"FES1162645666"</f>
        <v>FES1162645666</v>
      </c>
      <c r="D756" s="10" t="s">
        <v>19</v>
      </c>
      <c r="E756" s="10" t="s">
        <v>558</v>
      </c>
      <c r="F756" s="10" t="str">
        <f>"2170648614 "</f>
        <v xml:space="preserve">2170648614 </v>
      </c>
      <c r="G756" s="10" t="str">
        <f t="shared" si="21"/>
        <v>ON1</v>
      </c>
      <c r="H756" s="10" t="s">
        <v>21</v>
      </c>
      <c r="I756" s="10" t="s">
        <v>250</v>
      </c>
      <c r="J756" s="10" t="str">
        <f>""</f>
        <v/>
      </c>
      <c r="K756" s="10" t="str">
        <f>"PFES1162645666_0001"</f>
        <v>PFES1162645666_0001</v>
      </c>
      <c r="L756" s="10">
        <v>1</v>
      </c>
      <c r="M756" s="10">
        <v>1</v>
      </c>
    </row>
    <row r="757" spans="1:13">
      <c r="A757" s="8">
        <v>43349</v>
      </c>
      <c r="B757" s="9">
        <v>0.51041666666666663</v>
      </c>
      <c r="C757" s="10" t="str">
        <f>"FES1162645577"</f>
        <v>FES1162645577</v>
      </c>
      <c r="D757" s="10" t="s">
        <v>19</v>
      </c>
      <c r="E757" s="10" t="s">
        <v>559</v>
      </c>
      <c r="F757" s="10" t="str">
        <f>"2170648415 "</f>
        <v xml:space="preserve">2170648415 </v>
      </c>
      <c r="G757" s="10" t="str">
        <f t="shared" si="21"/>
        <v>ON1</v>
      </c>
      <c r="H757" s="10" t="s">
        <v>21</v>
      </c>
      <c r="I757" s="10" t="s">
        <v>53</v>
      </c>
      <c r="J757" s="10" t="str">
        <f>""</f>
        <v/>
      </c>
      <c r="K757" s="10" t="str">
        <f>"PFES1162645577_0001"</f>
        <v>PFES1162645577_0001</v>
      </c>
      <c r="L757" s="10">
        <v>1</v>
      </c>
      <c r="M757" s="10">
        <v>1</v>
      </c>
    </row>
    <row r="758" spans="1:13">
      <c r="A758" s="8">
        <v>43349</v>
      </c>
      <c r="B758" s="9">
        <v>0.51041666666666663</v>
      </c>
      <c r="C758" s="10" t="str">
        <f>"FES1162645678"</f>
        <v>FES1162645678</v>
      </c>
      <c r="D758" s="10" t="s">
        <v>19</v>
      </c>
      <c r="E758" s="10" t="s">
        <v>327</v>
      </c>
      <c r="F758" s="10" t="str">
        <f>"2170659086 "</f>
        <v xml:space="preserve">2170659086 </v>
      </c>
      <c r="G758" s="10" t="str">
        <f t="shared" si="21"/>
        <v>ON1</v>
      </c>
      <c r="H758" s="10" t="s">
        <v>21</v>
      </c>
      <c r="I758" s="10" t="s">
        <v>290</v>
      </c>
      <c r="J758" s="10" t="str">
        <f>""</f>
        <v/>
      </c>
      <c r="K758" s="10" t="str">
        <f>"PFES1162645678_0001"</f>
        <v>PFES1162645678_0001</v>
      </c>
      <c r="L758" s="10">
        <v>1</v>
      </c>
      <c r="M758" s="10">
        <v>1</v>
      </c>
    </row>
    <row r="759" spans="1:13">
      <c r="A759" s="8">
        <v>43349</v>
      </c>
      <c r="B759" s="9">
        <v>0.50972222222222219</v>
      </c>
      <c r="C759" s="10" t="str">
        <f>"FES1162645563"</f>
        <v>FES1162645563</v>
      </c>
      <c r="D759" s="10" t="s">
        <v>19</v>
      </c>
      <c r="E759" s="10" t="s">
        <v>511</v>
      </c>
      <c r="F759" s="10" t="str">
        <f>"2170650904 "</f>
        <v xml:space="preserve">2170650904 </v>
      </c>
      <c r="G759" s="10" t="str">
        <f t="shared" si="21"/>
        <v>ON1</v>
      </c>
      <c r="H759" s="10" t="s">
        <v>21</v>
      </c>
      <c r="I759" s="10" t="s">
        <v>319</v>
      </c>
      <c r="J759" s="10" t="str">
        <f>""</f>
        <v/>
      </c>
      <c r="K759" s="10" t="str">
        <f>"PFES1162645563_0001"</f>
        <v>PFES1162645563_0001</v>
      </c>
      <c r="L759" s="10">
        <v>1</v>
      </c>
      <c r="M759" s="10">
        <v>1</v>
      </c>
    </row>
    <row r="760" spans="1:13">
      <c r="A760" s="8">
        <v>43350</v>
      </c>
      <c r="B760" s="9">
        <v>0.62291666666666667</v>
      </c>
      <c r="C760" s="10" t="str">
        <f>"FES1162646029"</f>
        <v>FES1162646029</v>
      </c>
      <c r="D760" s="10" t="s">
        <v>19</v>
      </c>
      <c r="E760" s="10" t="s">
        <v>424</v>
      </c>
      <c r="F760" s="10" t="str">
        <f>"2170650710 "</f>
        <v xml:space="preserve">2170650710 </v>
      </c>
      <c r="G760" s="10" t="str">
        <f>"DBC"</f>
        <v>DBC</v>
      </c>
      <c r="H760" s="10" t="s">
        <v>21</v>
      </c>
      <c r="I760" s="10" t="s">
        <v>97</v>
      </c>
      <c r="J760" s="10" t="str">
        <f>""</f>
        <v/>
      </c>
      <c r="K760" s="10" t="str">
        <f>"PFES1162646029_0001"</f>
        <v>PFES1162646029_0001</v>
      </c>
      <c r="L760" s="10">
        <v>2</v>
      </c>
      <c r="M760" s="10">
        <v>21</v>
      </c>
    </row>
    <row r="761" spans="1:13">
      <c r="A761" s="8">
        <v>43350</v>
      </c>
      <c r="B761" s="9">
        <v>0.62291666666666667</v>
      </c>
      <c r="C761" s="10" t="str">
        <f>"FES1162645235"</f>
        <v>FES1162645235</v>
      </c>
      <c r="D761" s="10" t="s">
        <v>19</v>
      </c>
      <c r="E761" s="10" t="s">
        <v>253</v>
      </c>
      <c r="F761" s="10" t="str">
        <f>"21706500009 "</f>
        <v xml:space="preserve">21706500009 </v>
      </c>
      <c r="G761" s="10" t="str">
        <f t="shared" ref="G761:G824" si="22">"ON1"</f>
        <v>ON1</v>
      </c>
      <c r="H761" s="10" t="s">
        <v>21</v>
      </c>
      <c r="I761" s="10" t="s">
        <v>254</v>
      </c>
      <c r="J761" s="10" t="str">
        <f>""</f>
        <v/>
      </c>
      <c r="K761" s="10" t="str">
        <f>"PFES1162645235_0001"</f>
        <v>PFES1162645235_0001</v>
      </c>
      <c r="L761" s="10">
        <v>1</v>
      </c>
      <c r="M761" s="10">
        <v>1</v>
      </c>
    </row>
    <row r="762" spans="1:13">
      <c r="A762" s="8">
        <v>43350</v>
      </c>
      <c r="B762" s="9">
        <v>0.62083333333333335</v>
      </c>
      <c r="C762" s="10" t="str">
        <f>"FES1162646024"</f>
        <v>FES1162646024</v>
      </c>
      <c r="D762" s="10" t="s">
        <v>19</v>
      </c>
      <c r="E762" s="10" t="s">
        <v>560</v>
      </c>
      <c r="F762" s="10" t="str">
        <f>"21706508888 "</f>
        <v xml:space="preserve">21706508888 </v>
      </c>
      <c r="G762" s="10" t="str">
        <f t="shared" si="22"/>
        <v>ON1</v>
      </c>
      <c r="H762" s="10" t="s">
        <v>21</v>
      </c>
      <c r="I762" s="10" t="s">
        <v>561</v>
      </c>
      <c r="J762" s="10" t="str">
        <f>""</f>
        <v/>
      </c>
      <c r="K762" s="10" t="str">
        <f>"PFES1162646024_0001"</f>
        <v>PFES1162646024_0001</v>
      </c>
      <c r="L762" s="10">
        <v>1</v>
      </c>
      <c r="M762" s="10">
        <v>3</v>
      </c>
    </row>
    <row r="763" spans="1:13">
      <c r="A763" s="8">
        <v>43350</v>
      </c>
      <c r="B763" s="9">
        <v>0.62083333333333335</v>
      </c>
      <c r="C763" s="10" t="str">
        <f>"FES1162645456"</f>
        <v>FES1162645456</v>
      </c>
      <c r="D763" s="10" t="s">
        <v>19</v>
      </c>
      <c r="E763" s="10" t="s">
        <v>562</v>
      </c>
      <c r="F763" s="10" t="str">
        <f>"2170650367 "</f>
        <v xml:space="preserve">2170650367 </v>
      </c>
      <c r="G763" s="10" t="str">
        <f t="shared" si="22"/>
        <v>ON1</v>
      </c>
      <c r="H763" s="10" t="s">
        <v>21</v>
      </c>
      <c r="I763" s="10" t="s">
        <v>309</v>
      </c>
      <c r="J763" s="10" t="str">
        <f>""</f>
        <v/>
      </c>
      <c r="K763" s="10" t="str">
        <f>"PFES1162645456_0001"</f>
        <v>PFES1162645456_0001</v>
      </c>
      <c r="L763" s="10">
        <v>1</v>
      </c>
      <c r="M763" s="10">
        <v>1</v>
      </c>
    </row>
    <row r="764" spans="1:13">
      <c r="A764" s="8">
        <v>43350</v>
      </c>
      <c r="B764" s="9">
        <v>0.62083333333333335</v>
      </c>
      <c r="C764" s="10" t="str">
        <f>"FES1162645964"</f>
        <v>FES1162645964</v>
      </c>
      <c r="D764" s="10" t="s">
        <v>19</v>
      </c>
      <c r="E764" s="10" t="s">
        <v>563</v>
      </c>
      <c r="F764" s="10" t="str">
        <f>"2170638306 "</f>
        <v xml:space="preserve">2170638306 </v>
      </c>
      <c r="G764" s="10" t="str">
        <f t="shared" si="22"/>
        <v>ON1</v>
      </c>
      <c r="H764" s="10" t="s">
        <v>21</v>
      </c>
      <c r="I764" s="10" t="s">
        <v>564</v>
      </c>
      <c r="J764" s="10" t="str">
        <f>""</f>
        <v/>
      </c>
      <c r="K764" s="10" t="str">
        <f>"PFES1162645964_0001"</f>
        <v>PFES1162645964_0001</v>
      </c>
      <c r="L764" s="10">
        <v>1</v>
      </c>
      <c r="M764" s="10">
        <v>4</v>
      </c>
    </row>
    <row r="765" spans="1:13">
      <c r="A765" s="8">
        <v>43350</v>
      </c>
      <c r="B765" s="9">
        <v>0.62083333333333335</v>
      </c>
      <c r="C765" s="10" t="str">
        <f>"FES1162645984"</f>
        <v>FES1162645984</v>
      </c>
      <c r="D765" s="10" t="s">
        <v>19</v>
      </c>
      <c r="E765" s="10" t="s">
        <v>37</v>
      </c>
      <c r="F765" s="10" t="str">
        <f>"2170650568 "</f>
        <v xml:space="preserve">2170650568 </v>
      </c>
      <c r="G765" s="10" t="str">
        <f t="shared" si="22"/>
        <v>ON1</v>
      </c>
      <c r="H765" s="10" t="s">
        <v>21</v>
      </c>
      <c r="I765" s="10" t="s">
        <v>26</v>
      </c>
      <c r="J765" s="10" t="str">
        <f>""</f>
        <v/>
      </c>
      <c r="K765" s="10" t="str">
        <f>"PFES1162645984_0001"</f>
        <v>PFES1162645984_0001</v>
      </c>
      <c r="L765" s="10">
        <v>1</v>
      </c>
      <c r="M765" s="10">
        <v>1</v>
      </c>
    </row>
    <row r="766" spans="1:13">
      <c r="A766" s="8">
        <v>43350</v>
      </c>
      <c r="B766" s="9">
        <v>0.62013888888888891</v>
      </c>
      <c r="C766" s="10" t="str">
        <f>"FES1162646020"</f>
        <v>FES1162646020</v>
      </c>
      <c r="D766" s="10" t="s">
        <v>19</v>
      </c>
      <c r="E766" s="10" t="s">
        <v>224</v>
      </c>
      <c r="F766" s="10" t="str">
        <f>"2170650860 "</f>
        <v xml:space="preserve">2170650860 </v>
      </c>
      <c r="G766" s="10" t="str">
        <f t="shared" si="22"/>
        <v>ON1</v>
      </c>
      <c r="H766" s="10" t="s">
        <v>21</v>
      </c>
      <c r="I766" s="10" t="s">
        <v>225</v>
      </c>
      <c r="J766" s="10" t="str">
        <f>""</f>
        <v/>
      </c>
      <c r="K766" s="10" t="str">
        <f>"PFES1162646020_0001"</f>
        <v>PFES1162646020_0001</v>
      </c>
      <c r="L766" s="10">
        <v>1</v>
      </c>
      <c r="M766" s="10">
        <v>1</v>
      </c>
    </row>
    <row r="767" spans="1:13">
      <c r="A767" s="8">
        <v>43350</v>
      </c>
      <c r="B767" s="9">
        <v>0.61944444444444446</v>
      </c>
      <c r="C767" s="10" t="str">
        <f>"FES1162646018"</f>
        <v>FES1162646018</v>
      </c>
      <c r="D767" s="10" t="s">
        <v>19</v>
      </c>
      <c r="E767" s="10" t="s">
        <v>281</v>
      </c>
      <c r="F767" s="10" t="str">
        <f>"2170648018 "</f>
        <v xml:space="preserve">2170648018 </v>
      </c>
      <c r="G767" s="10" t="str">
        <f t="shared" si="22"/>
        <v>ON1</v>
      </c>
      <c r="H767" s="10" t="s">
        <v>21</v>
      </c>
      <c r="I767" s="10" t="s">
        <v>282</v>
      </c>
      <c r="J767" s="10" t="str">
        <f>""</f>
        <v/>
      </c>
      <c r="K767" s="10" t="str">
        <f>"PFES1162646018_0001"</f>
        <v>PFES1162646018_0001</v>
      </c>
      <c r="L767" s="10">
        <v>1</v>
      </c>
      <c r="M767" s="10">
        <v>1</v>
      </c>
    </row>
    <row r="768" spans="1:13">
      <c r="A768" s="8">
        <v>43350</v>
      </c>
      <c r="B768" s="9">
        <v>0.61944444444444446</v>
      </c>
      <c r="C768" s="10" t="str">
        <f>"FES1162645956"</f>
        <v>FES1162645956</v>
      </c>
      <c r="D768" s="10" t="s">
        <v>19</v>
      </c>
      <c r="E768" s="10" t="s">
        <v>293</v>
      </c>
      <c r="F768" s="10" t="str">
        <f>"2170644756 "</f>
        <v xml:space="preserve">2170644756 </v>
      </c>
      <c r="G768" s="10" t="str">
        <f t="shared" si="22"/>
        <v>ON1</v>
      </c>
      <c r="H768" s="10" t="s">
        <v>21</v>
      </c>
      <c r="I768" s="10" t="s">
        <v>294</v>
      </c>
      <c r="J768" s="10" t="str">
        <f>""</f>
        <v/>
      </c>
      <c r="K768" s="10" t="str">
        <f>"PFES1162645956_0001"</f>
        <v>PFES1162645956_0001</v>
      </c>
      <c r="L768" s="10">
        <v>2</v>
      </c>
      <c r="M768" s="10">
        <v>11</v>
      </c>
    </row>
    <row r="769" spans="1:13">
      <c r="A769" s="8">
        <v>43350</v>
      </c>
      <c r="B769" s="9">
        <v>0.61805555555555558</v>
      </c>
      <c r="C769" s="10" t="str">
        <f>"FES1162646015"</f>
        <v>FES1162646015</v>
      </c>
      <c r="D769" s="10" t="s">
        <v>19</v>
      </c>
      <c r="E769" s="10" t="s">
        <v>565</v>
      </c>
      <c r="F769" s="10" t="str">
        <f>"2170650887 "</f>
        <v xml:space="preserve">2170650887 </v>
      </c>
      <c r="G769" s="10" t="str">
        <f t="shared" si="22"/>
        <v>ON1</v>
      </c>
      <c r="H769" s="10" t="s">
        <v>21</v>
      </c>
      <c r="I769" s="10" t="s">
        <v>566</v>
      </c>
      <c r="J769" s="10" t="str">
        <f>""</f>
        <v/>
      </c>
      <c r="K769" s="10" t="str">
        <f>"PFES1162646015_0001"</f>
        <v>PFES1162646015_0001</v>
      </c>
      <c r="L769" s="10">
        <v>1</v>
      </c>
      <c r="M769" s="10">
        <v>4</v>
      </c>
    </row>
    <row r="770" spans="1:13">
      <c r="A770" s="8">
        <v>43350</v>
      </c>
      <c r="B770" s="9">
        <v>0.61736111111111114</v>
      </c>
      <c r="C770" s="10" t="str">
        <f>"FES1162646005"</f>
        <v>FES1162646005</v>
      </c>
      <c r="D770" s="10" t="s">
        <v>19</v>
      </c>
      <c r="E770" s="10" t="s">
        <v>378</v>
      </c>
      <c r="F770" s="10" t="str">
        <f>"2170650880 "</f>
        <v xml:space="preserve">2170650880 </v>
      </c>
      <c r="G770" s="10" t="str">
        <f t="shared" si="22"/>
        <v>ON1</v>
      </c>
      <c r="H770" s="10" t="s">
        <v>21</v>
      </c>
      <c r="I770" s="10" t="s">
        <v>379</v>
      </c>
      <c r="J770" s="10" t="str">
        <f>""</f>
        <v/>
      </c>
      <c r="K770" s="10" t="str">
        <f>"PFES1162646005_0001"</f>
        <v>PFES1162646005_0001</v>
      </c>
      <c r="L770" s="10">
        <v>1</v>
      </c>
      <c r="M770" s="10">
        <v>3</v>
      </c>
    </row>
    <row r="771" spans="1:13">
      <c r="A771" s="8">
        <v>43350</v>
      </c>
      <c r="B771" s="9">
        <v>0.6166666666666667</v>
      </c>
      <c r="C771" s="10" t="str">
        <f>"FES1162646021"</f>
        <v>FES1162646021</v>
      </c>
      <c r="D771" s="10" t="s">
        <v>19</v>
      </c>
      <c r="E771" s="10" t="s">
        <v>567</v>
      </c>
      <c r="F771" s="10" t="str">
        <f>"2170650870 "</f>
        <v xml:space="preserve">2170650870 </v>
      </c>
      <c r="G771" s="10" t="str">
        <f t="shared" si="22"/>
        <v>ON1</v>
      </c>
      <c r="H771" s="10" t="s">
        <v>21</v>
      </c>
      <c r="I771" s="10" t="s">
        <v>568</v>
      </c>
      <c r="J771" s="10" t="str">
        <f>""</f>
        <v/>
      </c>
      <c r="K771" s="10" t="str">
        <f>"PFES1162646021_0001"</f>
        <v>PFES1162646021_0001</v>
      </c>
      <c r="L771" s="10">
        <v>1</v>
      </c>
      <c r="M771" s="10">
        <v>3</v>
      </c>
    </row>
    <row r="772" spans="1:13">
      <c r="A772" s="8">
        <v>43350</v>
      </c>
      <c r="B772" s="9">
        <v>0.61527777777777781</v>
      </c>
      <c r="C772" s="10" t="str">
        <f>"FES1162646025"</f>
        <v>FES1162646025</v>
      </c>
      <c r="D772" s="10" t="s">
        <v>19</v>
      </c>
      <c r="E772" s="10" t="s">
        <v>130</v>
      </c>
      <c r="F772" s="10" t="str">
        <f>"2170650891 "</f>
        <v xml:space="preserve">2170650891 </v>
      </c>
      <c r="G772" s="10" t="str">
        <f t="shared" si="22"/>
        <v>ON1</v>
      </c>
      <c r="H772" s="10" t="s">
        <v>21</v>
      </c>
      <c r="I772" s="10" t="s">
        <v>131</v>
      </c>
      <c r="J772" s="10" t="str">
        <f>""</f>
        <v/>
      </c>
      <c r="K772" s="10" t="str">
        <f>"PFES1162646025_0001"</f>
        <v>PFES1162646025_0001</v>
      </c>
      <c r="L772" s="10">
        <v>1</v>
      </c>
      <c r="M772" s="10">
        <v>1</v>
      </c>
    </row>
    <row r="773" spans="1:13">
      <c r="A773" s="8">
        <v>43350</v>
      </c>
      <c r="B773" s="9">
        <v>0.61458333333333337</v>
      </c>
      <c r="C773" s="10" t="str">
        <f>"FES1162645993"</f>
        <v>FES1162645993</v>
      </c>
      <c r="D773" s="10" t="s">
        <v>19</v>
      </c>
      <c r="E773" s="10" t="s">
        <v>183</v>
      </c>
      <c r="F773" s="10" t="str">
        <f>"2170650073 "</f>
        <v xml:space="preserve">2170650073 </v>
      </c>
      <c r="G773" s="10" t="str">
        <f t="shared" si="22"/>
        <v>ON1</v>
      </c>
      <c r="H773" s="10" t="s">
        <v>21</v>
      </c>
      <c r="I773" s="10" t="s">
        <v>128</v>
      </c>
      <c r="J773" s="10" t="str">
        <f>""</f>
        <v/>
      </c>
      <c r="K773" s="10" t="str">
        <f>"PFES1162645993_0001"</f>
        <v>PFES1162645993_0001</v>
      </c>
      <c r="L773" s="10">
        <v>1</v>
      </c>
      <c r="M773" s="10">
        <v>6</v>
      </c>
    </row>
    <row r="774" spans="1:13">
      <c r="A774" s="8">
        <v>43350</v>
      </c>
      <c r="B774" s="9">
        <v>0.61458333333333337</v>
      </c>
      <c r="C774" s="10" t="str">
        <f>"FES1162646012"</f>
        <v>FES1162646012</v>
      </c>
      <c r="D774" s="10" t="s">
        <v>19</v>
      </c>
      <c r="E774" s="10" t="s">
        <v>569</v>
      </c>
      <c r="F774" s="10" t="str">
        <f>"2170650883 "</f>
        <v xml:space="preserve">2170650883 </v>
      </c>
      <c r="G774" s="10" t="str">
        <f t="shared" si="22"/>
        <v>ON1</v>
      </c>
      <c r="H774" s="10" t="s">
        <v>21</v>
      </c>
      <c r="I774" s="10" t="s">
        <v>554</v>
      </c>
      <c r="J774" s="10" t="str">
        <f>""</f>
        <v/>
      </c>
      <c r="K774" s="10" t="str">
        <f>"PFES1162646012_0001"</f>
        <v>PFES1162646012_0001</v>
      </c>
      <c r="L774" s="10">
        <v>1</v>
      </c>
      <c r="M774" s="10">
        <v>1</v>
      </c>
    </row>
    <row r="775" spans="1:13">
      <c r="A775" s="8">
        <v>43350</v>
      </c>
      <c r="B775" s="9">
        <v>0.61458333333333337</v>
      </c>
      <c r="C775" s="10" t="str">
        <f>"FES1162646019"</f>
        <v>FES1162646019</v>
      </c>
      <c r="D775" s="10" t="s">
        <v>19</v>
      </c>
      <c r="E775" s="10" t="s">
        <v>570</v>
      </c>
      <c r="F775" s="10" t="str">
        <f>" 2170650543"</f>
        <v xml:space="preserve"> 2170650543</v>
      </c>
      <c r="G775" s="10" t="str">
        <f t="shared" si="22"/>
        <v>ON1</v>
      </c>
      <c r="H775" s="10" t="s">
        <v>21</v>
      </c>
      <c r="I775" s="10" t="s">
        <v>571</v>
      </c>
      <c r="J775" s="10" t="str">
        <f>""</f>
        <v/>
      </c>
      <c r="K775" s="10" t="str">
        <f>"PFES1162646019_0001"</f>
        <v>PFES1162646019_0001</v>
      </c>
      <c r="L775" s="10">
        <v>1</v>
      </c>
      <c r="M775" s="10">
        <v>1</v>
      </c>
    </row>
    <row r="776" spans="1:13">
      <c r="A776" s="8">
        <v>43350</v>
      </c>
      <c r="B776" s="9">
        <v>0.61458333333333337</v>
      </c>
      <c r="C776" s="10" t="str">
        <f>"FES1162646028"</f>
        <v>FES1162646028</v>
      </c>
      <c r="D776" s="10" t="s">
        <v>19</v>
      </c>
      <c r="E776" s="10" t="s">
        <v>572</v>
      </c>
      <c r="F776" s="10" t="str">
        <f>"2170650900 "</f>
        <v xml:space="preserve">2170650900 </v>
      </c>
      <c r="G776" s="10" t="str">
        <f t="shared" si="22"/>
        <v>ON1</v>
      </c>
      <c r="H776" s="10" t="s">
        <v>21</v>
      </c>
      <c r="I776" s="10" t="s">
        <v>76</v>
      </c>
      <c r="J776" s="10" t="str">
        <f>""</f>
        <v/>
      </c>
      <c r="K776" s="10" t="str">
        <f>"PFES1162646028_0001"</f>
        <v>PFES1162646028_0001</v>
      </c>
      <c r="L776" s="10">
        <v>1</v>
      </c>
      <c r="M776" s="10">
        <v>1</v>
      </c>
    </row>
    <row r="777" spans="1:13">
      <c r="A777" s="8">
        <v>43350</v>
      </c>
      <c r="B777" s="9">
        <v>0.61388888888888882</v>
      </c>
      <c r="C777" s="10" t="str">
        <f>"FES1162646014"</f>
        <v>FES1162646014</v>
      </c>
      <c r="D777" s="10" t="s">
        <v>19</v>
      </c>
      <c r="E777" s="10" t="s">
        <v>90</v>
      </c>
      <c r="F777" s="10" t="str">
        <f>"2170650886 "</f>
        <v xml:space="preserve">2170650886 </v>
      </c>
      <c r="G777" s="10" t="str">
        <f t="shared" si="22"/>
        <v>ON1</v>
      </c>
      <c r="H777" s="10" t="s">
        <v>21</v>
      </c>
      <c r="I777" s="10" t="s">
        <v>91</v>
      </c>
      <c r="J777" s="10" t="str">
        <f>""</f>
        <v/>
      </c>
      <c r="K777" s="10" t="str">
        <f>"PFES1162646014_0001"</f>
        <v>PFES1162646014_0001</v>
      </c>
      <c r="L777" s="10">
        <v>1</v>
      </c>
      <c r="M777" s="10">
        <v>1</v>
      </c>
    </row>
    <row r="778" spans="1:13">
      <c r="A778" s="8">
        <v>43350</v>
      </c>
      <c r="B778" s="9">
        <v>0.61388888888888882</v>
      </c>
      <c r="C778" s="10" t="str">
        <f>"FES1162645888"</f>
        <v>FES1162645888</v>
      </c>
      <c r="D778" s="10" t="s">
        <v>19</v>
      </c>
      <c r="E778" s="10" t="s">
        <v>363</v>
      </c>
      <c r="F778" s="10" t="str">
        <f>"2170646955 "</f>
        <v xml:space="preserve">2170646955 </v>
      </c>
      <c r="G778" s="10" t="str">
        <f t="shared" si="22"/>
        <v>ON1</v>
      </c>
      <c r="H778" s="10" t="s">
        <v>21</v>
      </c>
      <c r="I778" s="10" t="s">
        <v>177</v>
      </c>
      <c r="J778" s="10" t="str">
        <f>""</f>
        <v/>
      </c>
      <c r="K778" s="10" t="str">
        <f>"PFES1162645888_0001"</f>
        <v>PFES1162645888_0001</v>
      </c>
      <c r="L778" s="10">
        <v>1</v>
      </c>
      <c r="M778" s="10">
        <v>2</v>
      </c>
    </row>
    <row r="779" spans="1:13">
      <c r="A779" s="8">
        <v>43350</v>
      </c>
      <c r="B779" s="9">
        <v>0.61319444444444449</v>
      </c>
      <c r="C779" s="10" t="str">
        <f>"FES1162646011"</f>
        <v>FES1162646011</v>
      </c>
      <c r="D779" s="10" t="s">
        <v>19</v>
      </c>
      <c r="E779" s="10" t="s">
        <v>174</v>
      </c>
      <c r="F779" s="10" t="str">
        <f>"2170650882 "</f>
        <v xml:space="preserve">2170650882 </v>
      </c>
      <c r="G779" s="10" t="str">
        <f t="shared" si="22"/>
        <v>ON1</v>
      </c>
      <c r="H779" s="10" t="s">
        <v>21</v>
      </c>
      <c r="I779" s="10" t="s">
        <v>175</v>
      </c>
      <c r="J779" s="10" t="str">
        <f>""</f>
        <v/>
      </c>
      <c r="K779" s="10" t="str">
        <f>"PFES1162646011_0001"</f>
        <v>PFES1162646011_0001</v>
      </c>
      <c r="L779" s="10">
        <v>1</v>
      </c>
      <c r="M779" s="10">
        <v>1</v>
      </c>
    </row>
    <row r="780" spans="1:13">
      <c r="A780" s="8">
        <v>43350</v>
      </c>
      <c r="B780" s="9">
        <v>0.61319444444444449</v>
      </c>
      <c r="C780" s="10" t="str">
        <f>"FES1162645996"</f>
        <v>FES1162645996</v>
      </c>
      <c r="D780" s="10" t="s">
        <v>19</v>
      </c>
      <c r="E780" s="10" t="s">
        <v>487</v>
      </c>
      <c r="F780" s="10" t="str">
        <f>"2170606575 "</f>
        <v xml:space="preserve">2170606575 </v>
      </c>
      <c r="G780" s="10" t="str">
        <f t="shared" si="22"/>
        <v>ON1</v>
      </c>
      <c r="H780" s="10" t="s">
        <v>21</v>
      </c>
      <c r="I780" s="10" t="s">
        <v>189</v>
      </c>
      <c r="J780" s="10" t="str">
        <f>""</f>
        <v/>
      </c>
      <c r="K780" s="10" t="str">
        <f>"PFES1162645996_0001"</f>
        <v>PFES1162645996_0001</v>
      </c>
      <c r="L780" s="10">
        <v>1</v>
      </c>
      <c r="M780" s="10">
        <v>3</v>
      </c>
    </row>
    <row r="781" spans="1:13">
      <c r="A781" s="8">
        <v>43350</v>
      </c>
      <c r="B781" s="9">
        <v>0.61319444444444449</v>
      </c>
      <c r="C781" s="10" t="str">
        <f>"FES1162645973"</f>
        <v>FES1162645973</v>
      </c>
      <c r="D781" s="10" t="s">
        <v>19</v>
      </c>
      <c r="E781" s="10" t="s">
        <v>94</v>
      </c>
      <c r="F781" s="10" t="str">
        <f>"2170646370 "</f>
        <v xml:space="preserve">2170646370 </v>
      </c>
      <c r="G781" s="10" t="str">
        <f t="shared" si="22"/>
        <v>ON1</v>
      </c>
      <c r="H781" s="10" t="s">
        <v>21</v>
      </c>
      <c r="I781" s="10" t="s">
        <v>95</v>
      </c>
      <c r="J781" s="10" t="str">
        <f>""</f>
        <v/>
      </c>
      <c r="K781" s="10" t="str">
        <f>"PFES1162645973_0001"</f>
        <v>PFES1162645973_0001</v>
      </c>
      <c r="L781" s="10">
        <v>1</v>
      </c>
      <c r="M781" s="10">
        <v>3</v>
      </c>
    </row>
    <row r="782" spans="1:13">
      <c r="A782" s="8">
        <v>43350</v>
      </c>
      <c r="B782" s="9">
        <v>0.61249999999999993</v>
      </c>
      <c r="C782" s="10" t="str">
        <f>"FES1162646004"</f>
        <v>FES1162646004</v>
      </c>
      <c r="D782" s="10" t="s">
        <v>19</v>
      </c>
      <c r="E782" s="10" t="s">
        <v>315</v>
      </c>
      <c r="F782" s="10" t="str">
        <f>"2170650868 "</f>
        <v xml:space="preserve">2170650868 </v>
      </c>
      <c r="G782" s="10" t="str">
        <f t="shared" si="22"/>
        <v>ON1</v>
      </c>
      <c r="H782" s="10" t="s">
        <v>21</v>
      </c>
      <c r="I782" s="10" t="s">
        <v>277</v>
      </c>
      <c r="J782" s="10" t="str">
        <f>""</f>
        <v/>
      </c>
      <c r="K782" s="10" t="str">
        <f>"PFES1162646004_0001"</f>
        <v>PFES1162646004_0001</v>
      </c>
      <c r="L782" s="10">
        <v>1</v>
      </c>
      <c r="M782" s="10">
        <v>3</v>
      </c>
    </row>
    <row r="783" spans="1:13">
      <c r="A783" s="8">
        <v>43350</v>
      </c>
      <c r="B783" s="9">
        <v>0.61249999999999993</v>
      </c>
      <c r="C783" s="10" t="str">
        <f>"FES1162645970"</f>
        <v>FES1162645970</v>
      </c>
      <c r="D783" s="10" t="s">
        <v>19</v>
      </c>
      <c r="E783" s="10" t="s">
        <v>462</v>
      </c>
      <c r="F783" s="10" t="str">
        <f>"217064523 "</f>
        <v xml:space="preserve">217064523 </v>
      </c>
      <c r="G783" s="10" t="str">
        <f t="shared" si="22"/>
        <v>ON1</v>
      </c>
      <c r="H783" s="10" t="s">
        <v>21</v>
      </c>
      <c r="I783" s="10" t="s">
        <v>290</v>
      </c>
      <c r="J783" s="10" t="str">
        <f>""</f>
        <v/>
      </c>
      <c r="K783" s="10" t="str">
        <f>"PFES1162645970_0001"</f>
        <v>PFES1162645970_0001</v>
      </c>
      <c r="L783" s="10">
        <v>2</v>
      </c>
      <c r="M783" s="10">
        <v>17</v>
      </c>
    </row>
    <row r="784" spans="1:13">
      <c r="A784" s="8">
        <v>43350</v>
      </c>
      <c r="B784" s="9">
        <v>0.6118055555555556</v>
      </c>
      <c r="C784" s="10" t="str">
        <f>"FES1162645979"</f>
        <v>FES1162645979</v>
      </c>
      <c r="D784" s="10" t="s">
        <v>19</v>
      </c>
      <c r="E784" s="10" t="s">
        <v>534</v>
      </c>
      <c r="F784" s="10" t="str">
        <f>"2170650843 "</f>
        <v xml:space="preserve">2170650843 </v>
      </c>
      <c r="G784" s="10" t="str">
        <f t="shared" si="22"/>
        <v>ON1</v>
      </c>
      <c r="H784" s="10" t="s">
        <v>21</v>
      </c>
      <c r="I784" s="10" t="s">
        <v>400</v>
      </c>
      <c r="J784" s="10" t="str">
        <f>""</f>
        <v/>
      </c>
      <c r="K784" s="10" t="str">
        <f>"PFES1162645979_0001"</f>
        <v>PFES1162645979_0001</v>
      </c>
      <c r="L784" s="10">
        <v>1</v>
      </c>
      <c r="M784" s="10">
        <v>2</v>
      </c>
    </row>
    <row r="785" spans="1:13">
      <c r="A785" s="8">
        <v>43350</v>
      </c>
      <c r="B785" s="9">
        <v>0.6118055555555556</v>
      </c>
      <c r="C785" s="10" t="str">
        <f>"FES1162646013"</f>
        <v>FES1162646013</v>
      </c>
      <c r="D785" s="10" t="s">
        <v>19</v>
      </c>
      <c r="E785" s="10" t="s">
        <v>397</v>
      </c>
      <c r="F785" s="10" t="str">
        <f>"21706508844 "</f>
        <v xml:space="preserve">21706508844 </v>
      </c>
      <c r="G785" s="10" t="str">
        <f t="shared" si="22"/>
        <v>ON1</v>
      </c>
      <c r="H785" s="10" t="s">
        <v>21</v>
      </c>
      <c r="I785" s="10" t="s">
        <v>89</v>
      </c>
      <c r="J785" s="10" t="str">
        <f>""</f>
        <v/>
      </c>
      <c r="K785" s="10" t="str">
        <f>"PFES1162646013_0001"</f>
        <v>PFES1162646013_0001</v>
      </c>
      <c r="L785" s="10">
        <v>1</v>
      </c>
      <c r="M785" s="10">
        <v>2</v>
      </c>
    </row>
    <row r="786" spans="1:13">
      <c r="A786" s="8">
        <v>43350</v>
      </c>
      <c r="B786" s="9">
        <v>0.61041666666666672</v>
      </c>
      <c r="C786" s="10" t="str">
        <f>"FES1162646008"</f>
        <v>FES1162646008</v>
      </c>
      <c r="D786" s="10" t="s">
        <v>19</v>
      </c>
      <c r="E786" s="10" t="s">
        <v>415</v>
      </c>
      <c r="F786" s="10" t="str">
        <f>"2170650877 "</f>
        <v xml:space="preserve">2170650877 </v>
      </c>
      <c r="G786" s="10" t="str">
        <f t="shared" si="22"/>
        <v>ON1</v>
      </c>
      <c r="H786" s="10" t="s">
        <v>21</v>
      </c>
      <c r="I786" s="10" t="s">
        <v>150</v>
      </c>
      <c r="J786" s="10" t="str">
        <f>""</f>
        <v/>
      </c>
      <c r="K786" s="10" t="str">
        <f>"PFES1162646008_0001"</f>
        <v>PFES1162646008_0001</v>
      </c>
      <c r="L786" s="10">
        <v>1</v>
      </c>
      <c r="M786" s="10">
        <v>7</v>
      </c>
    </row>
    <row r="787" spans="1:13">
      <c r="A787" s="8">
        <v>43350</v>
      </c>
      <c r="B787" s="9">
        <v>0.60972222222222217</v>
      </c>
      <c r="C787" s="10" t="str">
        <f>"FES1162646026"</f>
        <v>FES1162646026</v>
      </c>
      <c r="D787" s="10" t="s">
        <v>19</v>
      </c>
      <c r="E787" s="10" t="s">
        <v>232</v>
      </c>
      <c r="F787" s="10" t="str">
        <f>"2170650893 "</f>
        <v xml:space="preserve">2170650893 </v>
      </c>
      <c r="G787" s="10" t="str">
        <f t="shared" si="22"/>
        <v>ON1</v>
      </c>
      <c r="H787" s="10" t="s">
        <v>21</v>
      </c>
      <c r="I787" s="10" t="s">
        <v>233</v>
      </c>
      <c r="J787" s="10" t="str">
        <f>""</f>
        <v/>
      </c>
      <c r="K787" s="10" t="str">
        <f>"PFES1162646026_0001"</f>
        <v>PFES1162646026_0001</v>
      </c>
      <c r="L787" s="10">
        <v>1</v>
      </c>
      <c r="M787" s="10">
        <v>3</v>
      </c>
    </row>
    <row r="788" spans="1:13">
      <c r="A788" s="8">
        <v>43350</v>
      </c>
      <c r="B788" s="9">
        <v>0.60833333333333328</v>
      </c>
      <c r="C788" s="10" t="str">
        <f>"FES1162645994"</f>
        <v>FES1162645994</v>
      </c>
      <c r="D788" s="10" t="s">
        <v>19</v>
      </c>
      <c r="E788" s="10" t="s">
        <v>357</v>
      </c>
      <c r="F788" s="10" t="str">
        <f>"2170650390 "</f>
        <v xml:space="preserve">2170650390 </v>
      </c>
      <c r="G788" s="10" t="str">
        <f t="shared" si="22"/>
        <v>ON1</v>
      </c>
      <c r="H788" s="10" t="s">
        <v>21</v>
      </c>
      <c r="I788" s="10" t="s">
        <v>283</v>
      </c>
      <c r="J788" s="10" t="str">
        <f>""</f>
        <v/>
      </c>
      <c r="K788" s="10" t="str">
        <f>"PFES1162645994_0001"</f>
        <v>PFES1162645994_0001</v>
      </c>
      <c r="L788" s="10">
        <v>1</v>
      </c>
      <c r="M788" s="10">
        <v>3</v>
      </c>
    </row>
    <row r="789" spans="1:13">
      <c r="A789" s="8">
        <v>43350</v>
      </c>
      <c r="B789" s="9">
        <v>0.60763888888888895</v>
      </c>
      <c r="C789" s="10" t="str">
        <f>"FES1162645998"</f>
        <v>FES1162645998</v>
      </c>
      <c r="D789" s="10" t="s">
        <v>19</v>
      </c>
      <c r="E789" s="10" t="s">
        <v>228</v>
      </c>
      <c r="F789" s="10" t="str">
        <f>"2170650713 "</f>
        <v xml:space="preserve">2170650713 </v>
      </c>
      <c r="G789" s="10" t="str">
        <f t="shared" si="22"/>
        <v>ON1</v>
      </c>
      <c r="H789" s="10" t="s">
        <v>21</v>
      </c>
      <c r="I789" s="10" t="s">
        <v>229</v>
      </c>
      <c r="J789" s="10" t="str">
        <f>""</f>
        <v/>
      </c>
      <c r="K789" s="10" t="str">
        <f>"PFES1162645998_0001"</f>
        <v>PFES1162645998_0001</v>
      </c>
      <c r="L789" s="10">
        <v>1</v>
      </c>
      <c r="M789" s="10">
        <v>2</v>
      </c>
    </row>
    <row r="790" spans="1:13">
      <c r="A790" s="8">
        <v>43350</v>
      </c>
      <c r="B790" s="9">
        <v>0.60625000000000007</v>
      </c>
      <c r="C790" s="10" t="str">
        <f>"FES1162645997"</f>
        <v>FES1162645997</v>
      </c>
      <c r="D790" s="10" t="s">
        <v>19</v>
      </c>
      <c r="E790" s="10" t="s">
        <v>39</v>
      </c>
      <c r="F790" s="10" t="str">
        <f>"2170650707 "</f>
        <v xml:space="preserve">2170650707 </v>
      </c>
      <c r="G790" s="10" t="str">
        <f t="shared" si="22"/>
        <v>ON1</v>
      </c>
      <c r="H790" s="10" t="s">
        <v>21</v>
      </c>
      <c r="I790" s="10" t="s">
        <v>40</v>
      </c>
      <c r="J790" s="10" t="str">
        <f>""</f>
        <v/>
      </c>
      <c r="K790" s="10" t="str">
        <f>"PFES1162645997_0001"</f>
        <v>PFES1162645997_0001</v>
      </c>
      <c r="L790" s="10">
        <v>1</v>
      </c>
      <c r="M790" s="10">
        <v>8</v>
      </c>
    </row>
    <row r="791" spans="1:13">
      <c r="A791" s="8">
        <v>43350</v>
      </c>
      <c r="B791" s="9">
        <v>0.59791666666666665</v>
      </c>
      <c r="C791" s="10" t="str">
        <f>"FES1162645969"</f>
        <v>FES1162645969</v>
      </c>
      <c r="D791" s="10" t="s">
        <v>19</v>
      </c>
      <c r="E791" s="10" t="s">
        <v>310</v>
      </c>
      <c r="F791" s="10" t="str">
        <f>"2170645579 "</f>
        <v xml:space="preserve">2170645579 </v>
      </c>
      <c r="G791" s="10" t="str">
        <f t="shared" si="22"/>
        <v>ON1</v>
      </c>
      <c r="H791" s="10" t="s">
        <v>21</v>
      </c>
      <c r="I791" s="10" t="s">
        <v>78</v>
      </c>
      <c r="J791" s="10" t="str">
        <f>""</f>
        <v/>
      </c>
      <c r="K791" s="10" t="str">
        <f>"PFES1162645969_0001"</f>
        <v>PFES1162645969_0001</v>
      </c>
      <c r="L791" s="10">
        <v>1</v>
      </c>
      <c r="M791" s="10">
        <v>3</v>
      </c>
    </row>
    <row r="792" spans="1:13">
      <c r="A792" s="8">
        <v>43350</v>
      </c>
      <c r="B792" s="9">
        <v>0.59722222222222221</v>
      </c>
      <c r="C792" s="10" t="str">
        <f>"FES1162645992"</f>
        <v>FES1162645992</v>
      </c>
      <c r="D792" s="10" t="s">
        <v>19</v>
      </c>
      <c r="E792" s="10" t="s">
        <v>220</v>
      </c>
      <c r="F792" s="10" t="str">
        <f>"2170650837 "</f>
        <v xml:space="preserve">2170650837 </v>
      </c>
      <c r="G792" s="10" t="str">
        <f t="shared" si="22"/>
        <v>ON1</v>
      </c>
      <c r="H792" s="10" t="s">
        <v>21</v>
      </c>
      <c r="I792" s="10" t="s">
        <v>126</v>
      </c>
      <c r="J792" s="10" t="str">
        <f>""</f>
        <v/>
      </c>
      <c r="K792" s="10" t="str">
        <f>"PFES1162645992_0001"</f>
        <v>PFES1162645992_0001</v>
      </c>
      <c r="L792" s="10">
        <v>1</v>
      </c>
      <c r="M792" s="10">
        <v>3</v>
      </c>
    </row>
    <row r="793" spans="1:13">
      <c r="A793" s="8">
        <v>43350</v>
      </c>
      <c r="B793" s="9">
        <v>0.59652777777777777</v>
      </c>
      <c r="C793" s="10" t="str">
        <f>"FES1162645978"</f>
        <v>FES1162645978</v>
      </c>
      <c r="D793" s="10" t="s">
        <v>19</v>
      </c>
      <c r="E793" s="10" t="s">
        <v>90</v>
      </c>
      <c r="F793" s="10" t="str">
        <f>"2170650841 "</f>
        <v xml:space="preserve">2170650841 </v>
      </c>
      <c r="G793" s="10" t="str">
        <f t="shared" si="22"/>
        <v>ON1</v>
      </c>
      <c r="H793" s="10" t="s">
        <v>21</v>
      </c>
      <c r="I793" s="10" t="s">
        <v>91</v>
      </c>
      <c r="J793" s="10" t="str">
        <f>""</f>
        <v/>
      </c>
      <c r="K793" s="10" t="str">
        <f>"PFES1162645978_0001"</f>
        <v>PFES1162645978_0001</v>
      </c>
      <c r="L793" s="10">
        <v>1</v>
      </c>
      <c r="M793" s="10">
        <v>1</v>
      </c>
    </row>
    <row r="794" spans="1:13">
      <c r="A794" s="8">
        <v>43350</v>
      </c>
      <c r="B794" s="9">
        <v>0.59652777777777777</v>
      </c>
      <c r="C794" s="10" t="str">
        <f>"FES1162646002"</f>
        <v>FES1162646002</v>
      </c>
      <c r="D794" s="10" t="s">
        <v>19</v>
      </c>
      <c r="E794" s="10" t="s">
        <v>307</v>
      </c>
      <c r="F794" s="10" t="str">
        <f>"2170650864 "</f>
        <v xml:space="preserve">2170650864 </v>
      </c>
      <c r="G794" s="10" t="str">
        <f t="shared" si="22"/>
        <v>ON1</v>
      </c>
      <c r="H794" s="10" t="s">
        <v>21</v>
      </c>
      <c r="I794" s="10" t="s">
        <v>308</v>
      </c>
      <c r="J794" s="10" t="str">
        <f>""</f>
        <v/>
      </c>
      <c r="K794" s="10" t="str">
        <f>"PFES1162646002_0001"</f>
        <v>PFES1162646002_0001</v>
      </c>
      <c r="L794" s="10">
        <v>1</v>
      </c>
      <c r="M794" s="10">
        <v>1</v>
      </c>
    </row>
    <row r="795" spans="1:13">
      <c r="A795" s="8">
        <v>43350</v>
      </c>
      <c r="B795" s="9">
        <v>0.59583333333333333</v>
      </c>
      <c r="C795" s="10" t="str">
        <f>"FES1162645987"</f>
        <v>FES1162645987</v>
      </c>
      <c r="D795" s="10" t="s">
        <v>19</v>
      </c>
      <c r="E795" s="10" t="s">
        <v>98</v>
      </c>
      <c r="F795" s="10" t="str">
        <f>"2170650833 "</f>
        <v xml:space="preserve">2170650833 </v>
      </c>
      <c r="G795" s="10" t="str">
        <f t="shared" si="22"/>
        <v>ON1</v>
      </c>
      <c r="H795" s="10" t="s">
        <v>21</v>
      </c>
      <c r="I795" s="10" t="s">
        <v>74</v>
      </c>
      <c r="J795" s="10" t="str">
        <f>""</f>
        <v/>
      </c>
      <c r="K795" s="10" t="str">
        <f>"PFES1162645987_0001"</f>
        <v>PFES1162645987_0001</v>
      </c>
      <c r="L795" s="10">
        <v>1</v>
      </c>
      <c r="M795" s="10">
        <v>1</v>
      </c>
    </row>
    <row r="796" spans="1:13">
      <c r="A796" s="8">
        <v>43350</v>
      </c>
      <c r="B796" s="9">
        <v>0.59583333333333333</v>
      </c>
      <c r="C796" s="10" t="str">
        <f>"FES1162645950"</f>
        <v>FES1162645950</v>
      </c>
      <c r="D796" s="10" t="s">
        <v>19</v>
      </c>
      <c r="E796" s="10" t="s">
        <v>253</v>
      </c>
      <c r="F796" s="10" t="str">
        <f>"2170650745 "</f>
        <v xml:space="preserve">2170650745 </v>
      </c>
      <c r="G796" s="10" t="str">
        <f t="shared" si="22"/>
        <v>ON1</v>
      </c>
      <c r="H796" s="10" t="s">
        <v>21</v>
      </c>
      <c r="I796" s="10" t="s">
        <v>254</v>
      </c>
      <c r="J796" s="10" t="str">
        <f>""</f>
        <v/>
      </c>
      <c r="K796" s="10" t="str">
        <f>"PFES1162645950_0001"</f>
        <v>PFES1162645950_0001</v>
      </c>
      <c r="L796" s="10">
        <v>1</v>
      </c>
      <c r="M796" s="10">
        <v>3</v>
      </c>
    </row>
    <row r="797" spans="1:13">
      <c r="A797" s="8">
        <v>43350</v>
      </c>
      <c r="B797" s="9">
        <v>0.59583333333333333</v>
      </c>
      <c r="C797" s="10" t="str">
        <f>"FES1162645988"</f>
        <v>FES1162645988</v>
      </c>
      <c r="D797" s="10" t="s">
        <v>19</v>
      </c>
      <c r="E797" s="10" t="s">
        <v>98</v>
      </c>
      <c r="F797" s="10" t="str">
        <f>"2170650852 "</f>
        <v xml:space="preserve">2170650852 </v>
      </c>
      <c r="G797" s="10" t="str">
        <f t="shared" si="22"/>
        <v>ON1</v>
      </c>
      <c r="H797" s="10" t="s">
        <v>21</v>
      </c>
      <c r="I797" s="10" t="s">
        <v>74</v>
      </c>
      <c r="J797" s="10" t="str">
        <f>""</f>
        <v/>
      </c>
      <c r="K797" s="10" t="str">
        <f>"PFES1162645988_0001"</f>
        <v>PFES1162645988_0001</v>
      </c>
      <c r="L797" s="10">
        <v>1</v>
      </c>
      <c r="M797" s="10">
        <v>1</v>
      </c>
    </row>
    <row r="798" spans="1:13">
      <c r="A798" s="8">
        <v>43350</v>
      </c>
      <c r="B798" s="9">
        <v>0.59513888888888888</v>
      </c>
      <c r="C798" s="10" t="str">
        <f>"FES1162646001"</f>
        <v>FES1162646001</v>
      </c>
      <c r="D798" s="10" t="s">
        <v>19</v>
      </c>
      <c r="E798" s="10" t="s">
        <v>103</v>
      </c>
      <c r="F798" s="10" t="str">
        <f>"2170635561 "</f>
        <v xml:space="preserve">2170635561 </v>
      </c>
      <c r="G798" s="10" t="str">
        <f t="shared" si="22"/>
        <v>ON1</v>
      </c>
      <c r="H798" s="10" t="s">
        <v>21</v>
      </c>
      <c r="I798" s="10" t="s">
        <v>433</v>
      </c>
      <c r="J798" s="10" t="str">
        <f>""</f>
        <v/>
      </c>
      <c r="K798" s="10" t="str">
        <f>"PFES1162646001_0001"</f>
        <v>PFES1162646001_0001</v>
      </c>
      <c r="L798" s="10">
        <v>1</v>
      </c>
      <c r="M798" s="10">
        <v>1</v>
      </c>
    </row>
    <row r="799" spans="1:13">
      <c r="A799" s="8">
        <v>43350</v>
      </c>
      <c r="B799" s="9">
        <v>0.59513888888888888</v>
      </c>
      <c r="C799" s="10" t="str">
        <f>"FES1162645977"</f>
        <v>FES1162645977</v>
      </c>
      <c r="D799" s="10" t="s">
        <v>19</v>
      </c>
      <c r="E799" s="10" t="s">
        <v>125</v>
      </c>
      <c r="F799" s="10" t="str">
        <f>"2170650838 "</f>
        <v xml:space="preserve">2170650838 </v>
      </c>
      <c r="G799" s="10" t="str">
        <f t="shared" si="22"/>
        <v>ON1</v>
      </c>
      <c r="H799" s="10" t="s">
        <v>21</v>
      </c>
      <c r="I799" s="10" t="s">
        <v>126</v>
      </c>
      <c r="J799" s="10" t="str">
        <f>""</f>
        <v/>
      </c>
      <c r="K799" s="10" t="str">
        <f>"PFES1162645977_0001"</f>
        <v>PFES1162645977_0001</v>
      </c>
      <c r="L799" s="10">
        <v>1</v>
      </c>
      <c r="M799" s="10">
        <v>1</v>
      </c>
    </row>
    <row r="800" spans="1:13">
      <c r="A800" s="8">
        <v>43350</v>
      </c>
      <c r="B800" s="9">
        <v>0.59513888888888888</v>
      </c>
      <c r="C800" s="10" t="str">
        <f>"FES1162645905"</f>
        <v>FES1162645905</v>
      </c>
      <c r="D800" s="10" t="s">
        <v>19</v>
      </c>
      <c r="E800" s="10" t="s">
        <v>313</v>
      </c>
      <c r="F800" s="10" t="str">
        <f>"2170649663 "</f>
        <v xml:space="preserve">2170649663 </v>
      </c>
      <c r="G800" s="10" t="str">
        <f t="shared" si="22"/>
        <v>ON1</v>
      </c>
      <c r="H800" s="10" t="s">
        <v>21</v>
      </c>
      <c r="I800" s="10" t="s">
        <v>24</v>
      </c>
      <c r="J800" s="10" t="str">
        <f>""</f>
        <v/>
      </c>
      <c r="K800" s="10" t="str">
        <f>"PFES1162645905_0001"</f>
        <v>PFES1162645905_0001</v>
      </c>
      <c r="L800" s="10">
        <v>1</v>
      </c>
      <c r="M800" s="10">
        <v>1</v>
      </c>
    </row>
    <row r="801" spans="1:13">
      <c r="A801" s="8">
        <v>43350</v>
      </c>
      <c r="B801" s="9">
        <v>0.59444444444444444</v>
      </c>
      <c r="C801" s="10" t="str">
        <f>"FES1162645821"</f>
        <v>FES1162645821</v>
      </c>
      <c r="D801" s="10" t="s">
        <v>19</v>
      </c>
      <c r="E801" s="10" t="s">
        <v>573</v>
      </c>
      <c r="F801" s="10" t="str">
        <f>"2170649073 "</f>
        <v xml:space="preserve">2170649073 </v>
      </c>
      <c r="G801" s="10" t="str">
        <f t="shared" si="22"/>
        <v>ON1</v>
      </c>
      <c r="H801" s="10" t="s">
        <v>21</v>
      </c>
      <c r="I801" s="10" t="s">
        <v>105</v>
      </c>
      <c r="J801" s="10" t="str">
        <f>""</f>
        <v/>
      </c>
      <c r="K801" s="10" t="str">
        <f>"PFES1162645821_0001"</f>
        <v>PFES1162645821_0001</v>
      </c>
      <c r="L801" s="10">
        <v>1</v>
      </c>
      <c r="M801" s="10">
        <v>9</v>
      </c>
    </row>
    <row r="802" spans="1:13">
      <c r="A802" s="8">
        <v>43350</v>
      </c>
      <c r="B802" s="9">
        <v>0.59375</v>
      </c>
      <c r="C802" s="10" t="str">
        <f>"FES1162645944"</f>
        <v>FES1162645944</v>
      </c>
      <c r="D802" s="10" t="s">
        <v>19</v>
      </c>
      <c r="E802" s="10" t="s">
        <v>153</v>
      </c>
      <c r="F802" s="10" t="str">
        <f>"2170650818 "</f>
        <v xml:space="preserve">2170650818 </v>
      </c>
      <c r="G802" s="10" t="str">
        <f t="shared" si="22"/>
        <v>ON1</v>
      </c>
      <c r="H802" s="10" t="s">
        <v>21</v>
      </c>
      <c r="I802" s="10" t="s">
        <v>154</v>
      </c>
      <c r="J802" s="10" t="str">
        <f>""</f>
        <v/>
      </c>
      <c r="K802" s="10" t="str">
        <f>"PFES1162645944_0001"</f>
        <v>PFES1162645944_0001</v>
      </c>
      <c r="L802" s="10">
        <v>1</v>
      </c>
      <c r="M802" s="10">
        <v>9</v>
      </c>
    </row>
    <row r="803" spans="1:13">
      <c r="A803" s="8">
        <v>43350</v>
      </c>
      <c r="B803" s="9">
        <v>0.59305555555555556</v>
      </c>
      <c r="C803" s="10" t="str">
        <f>"FES1162645974"</f>
        <v>FES1162645974</v>
      </c>
      <c r="D803" s="10" t="s">
        <v>19</v>
      </c>
      <c r="E803" s="10" t="s">
        <v>511</v>
      </c>
      <c r="F803" s="10" t="str">
        <f>"2170646405 "</f>
        <v xml:space="preserve">2170646405 </v>
      </c>
      <c r="G803" s="10" t="str">
        <f t="shared" si="22"/>
        <v>ON1</v>
      </c>
      <c r="H803" s="10" t="s">
        <v>21</v>
      </c>
      <c r="I803" s="10" t="s">
        <v>319</v>
      </c>
      <c r="J803" s="10" t="str">
        <f>""</f>
        <v/>
      </c>
      <c r="K803" s="10" t="str">
        <f>"PFES1162645974_0001"</f>
        <v>PFES1162645974_0001</v>
      </c>
      <c r="L803" s="10">
        <v>1</v>
      </c>
      <c r="M803" s="10">
        <v>3</v>
      </c>
    </row>
    <row r="804" spans="1:13">
      <c r="A804" s="8">
        <v>43350</v>
      </c>
      <c r="B804" s="9">
        <v>0.59166666666666667</v>
      </c>
      <c r="C804" s="10" t="str">
        <f>"FES1162645962"</f>
        <v>FES1162645962</v>
      </c>
      <c r="D804" s="10" t="s">
        <v>19</v>
      </c>
      <c r="E804" s="10" t="s">
        <v>574</v>
      </c>
      <c r="F804" s="10" t="str">
        <f>"2170646926 "</f>
        <v xml:space="preserve">2170646926 </v>
      </c>
      <c r="G804" s="10" t="str">
        <f t="shared" si="22"/>
        <v>ON1</v>
      </c>
      <c r="H804" s="10" t="s">
        <v>21</v>
      </c>
      <c r="I804" s="10" t="s">
        <v>277</v>
      </c>
      <c r="J804" s="10" t="str">
        <f>""</f>
        <v/>
      </c>
      <c r="K804" s="10" t="str">
        <f>"PFES1162645962_0001"</f>
        <v>PFES1162645962_0001</v>
      </c>
      <c r="L804" s="10">
        <v>1</v>
      </c>
      <c r="M804" s="10">
        <v>11</v>
      </c>
    </row>
    <row r="805" spans="1:13">
      <c r="A805" s="8">
        <v>43350</v>
      </c>
      <c r="B805" s="9">
        <v>0.59027777777777779</v>
      </c>
      <c r="C805" s="10" t="str">
        <f>"FES1162645952"</f>
        <v>FES1162645952</v>
      </c>
      <c r="D805" s="10" t="s">
        <v>19</v>
      </c>
      <c r="E805" s="10" t="s">
        <v>511</v>
      </c>
      <c r="F805" s="10" t="str">
        <f>"2170650830 "</f>
        <v xml:space="preserve">2170650830 </v>
      </c>
      <c r="G805" s="10" t="str">
        <f t="shared" si="22"/>
        <v>ON1</v>
      </c>
      <c r="H805" s="10" t="s">
        <v>21</v>
      </c>
      <c r="I805" s="10" t="s">
        <v>319</v>
      </c>
      <c r="J805" s="10" t="str">
        <f>""</f>
        <v/>
      </c>
      <c r="K805" s="10" t="str">
        <f>"PFES1162645952_0001"</f>
        <v>PFES1162645952_0001</v>
      </c>
      <c r="L805" s="10">
        <v>1</v>
      </c>
      <c r="M805" s="10">
        <v>12</v>
      </c>
    </row>
    <row r="806" spans="1:13">
      <c r="A806" s="8">
        <v>43350</v>
      </c>
      <c r="B806" s="9">
        <v>0.58611111111111114</v>
      </c>
      <c r="C806" s="10" t="str">
        <f>"FES1162645878"</f>
        <v>FES1162645878</v>
      </c>
      <c r="D806" s="10" t="s">
        <v>19</v>
      </c>
      <c r="E806" s="10" t="s">
        <v>575</v>
      </c>
      <c r="F806" s="10" t="str">
        <f>"2170650728 "</f>
        <v xml:space="preserve">2170650728 </v>
      </c>
      <c r="G806" s="10" t="str">
        <f t="shared" si="22"/>
        <v>ON1</v>
      </c>
      <c r="H806" s="10" t="s">
        <v>21</v>
      </c>
      <c r="I806" s="10" t="s">
        <v>34</v>
      </c>
      <c r="J806" s="10" t="str">
        <f>""</f>
        <v/>
      </c>
      <c r="K806" s="10" t="str">
        <f>"PFES1162645878_0001"</f>
        <v>PFES1162645878_0001</v>
      </c>
      <c r="L806" s="10">
        <v>1</v>
      </c>
      <c r="M806" s="10">
        <v>1</v>
      </c>
    </row>
    <row r="807" spans="1:13">
      <c r="A807" s="8">
        <v>43350</v>
      </c>
      <c r="B807" s="9">
        <v>0.58472222222222225</v>
      </c>
      <c r="C807" s="10" t="str">
        <f>"FES1162645946"</f>
        <v>FES1162645946</v>
      </c>
      <c r="D807" s="10" t="s">
        <v>19</v>
      </c>
      <c r="E807" s="10" t="s">
        <v>37</v>
      </c>
      <c r="F807" s="10" t="str">
        <f>"2170650821 "</f>
        <v xml:space="preserve">2170650821 </v>
      </c>
      <c r="G807" s="10" t="str">
        <f t="shared" si="22"/>
        <v>ON1</v>
      </c>
      <c r="H807" s="10" t="s">
        <v>21</v>
      </c>
      <c r="I807" s="10" t="s">
        <v>26</v>
      </c>
      <c r="J807" s="10" t="str">
        <f>""</f>
        <v/>
      </c>
      <c r="K807" s="10" t="str">
        <f>"PFES1162645946_0001"</f>
        <v>PFES1162645946_0001</v>
      </c>
      <c r="L807" s="10">
        <v>1</v>
      </c>
      <c r="M807" s="10">
        <v>1</v>
      </c>
    </row>
    <row r="808" spans="1:13">
      <c r="A808" s="8">
        <v>43350</v>
      </c>
      <c r="B808" s="9">
        <v>0.58472222222222225</v>
      </c>
      <c r="C808" s="10" t="str">
        <f>"FES1162645975"</f>
        <v>FES1162645975</v>
      </c>
      <c r="D808" s="10" t="s">
        <v>19</v>
      </c>
      <c r="E808" s="10" t="s">
        <v>356</v>
      </c>
      <c r="F808" s="10" t="str">
        <f>"2170647654 "</f>
        <v xml:space="preserve">2170647654 </v>
      </c>
      <c r="G808" s="10" t="str">
        <f t="shared" si="22"/>
        <v>ON1</v>
      </c>
      <c r="H808" s="10" t="s">
        <v>21</v>
      </c>
      <c r="I808" s="10" t="s">
        <v>277</v>
      </c>
      <c r="J808" s="10" t="str">
        <f>""</f>
        <v/>
      </c>
      <c r="K808" s="10" t="str">
        <f>"PFES1162645975_0001"</f>
        <v>PFES1162645975_0001</v>
      </c>
      <c r="L808" s="10">
        <v>1</v>
      </c>
      <c r="M808" s="10">
        <v>2</v>
      </c>
    </row>
    <row r="809" spans="1:13">
      <c r="A809" s="8">
        <v>43350</v>
      </c>
      <c r="B809" s="9">
        <v>0.58472222222222225</v>
      </c>
      <c r="C809" s="10" t="str">
        <f>"FES1162645886"</f>
        <v>FES1162645886</v>
      </c>
      <c r="D809" s="10" t="s">
        <v>19</v>
      </c>
      <c r="E809" s="10" t="s">
        <v>576</v>
      </c>
      <c r="F809" s="10" t="str">
        <f>"2170649428 "</f>
        <v xml:space="preserve">2170649428 </v>
      </c>
      <c r="G809" s="10" t="str">
        <f t="shared" si="22"/>
        <v>ON1</v>
      </c>
      <c r="H809" s="10" t="s">
        <v>21</v>
      </c>
      <c r="I809" s="10" t="s">
        <v>554</v>
      </c>
      <c r="J809" s="10" t="str">
        <f>""</f>
        <v/>
      </c>
      <c r="K809" s="10" t="str">
        <f>"PFES1162645886_0001"</f>
        <v>PFES1162645886_0001</v>
      </c>
      <c r="L809" s="10">
        <v>1</v>
      </c>
      <c r="M809" s="10">
        <v>1</v>
      </c>
    </row>
    <row r="810" spans="1:13">
      <c r="A810" s="8">
        <v>43350</v>
      </c>
      <c r="B810" s="9">
        <v>0.58402777777777781</v>
      </c>
      <c r="C810" s="10" t="str">
        <f>"FES1162645927"</f>
        <v>FES1162645927</v>
      </c>
      <c r="D810" s="10" t="s">
        <v>19</v>
      </c>
      <c r="E810" s="10" t="s">
        <v>251</v>
      </c>
      <c r="F810" s="10" t="str">
        <f>"2170650803 "</f>
        <v xml:space="preserve">2170650803 </v>
      </c>
      <c r="G810" s="10" t="str">
        <f t="shared" si="22"/>
        <v>ON1</v>
      </c>
      <c r="H810" s="10" t="s">
        <v>21</v>
      </c>
      <c r="I810" s="10" t="s">
        <v>252</v>
      </c>
      <c r="J810" s="10" t="str">
        <f>""</f>
        <v/>
      </c>
      <c r="K810" s="10" t="str">
        <f>"PFES1162645927_0001"</f>
        <v>PFES1162645927_0001</v>
      </c>
      <c r="L810" s="10">
        <v>1</v>
      </c>
      <c r="M810" s="10">
        <v>1</v>
      </c>
    </row>
    <row r="811" spans="1:13">
      <c r="A811" s="8">
        <v>43350</v>
      </c>
      <c r="B811" s="9">
        <v>0.58402777777777781</v>
      </c>
      <c r="C811" s="10" t="str">
        <f>"FES1162645976"</f>
        <v>FES1162645976</v>
      </c>
      <c r="D811" s="10" t="s">
        <v>19</v>
      </c>
      <c r="E811" s="10" t="s">
        <v>272</v>
      </c>
      <c r="F811" s="10" t="str">
        <f>"2170643576 "</f>
        <v xml:space="preserve">2170643576 </v>
      </c>
      <c r="G811" s="10" t="str">
        <f t="shared" si="22"/>
        <v>ON1</v>
      </c>
      <c r="H811" s="10" t="s">
        <v>21</v>
      </c>
      <c r="I811" s="10" t="s">
        <v>273</v>
      </c>
      <c r="J811" s="10" t="str">
        <f>""</f>
        <v/>
      </c>
      <c r="K811" s="10" t="str">
        <f>"PFES1162645976_0001"</f>
        <v>PFES1162645976_0001</v>
      </c>
      <c r="L811" s="10">
        <v>1</v>
      </c>
      <c r="M811" s="10">
        <v>6</v>
      </c>
    </row>
    <row r="812" spans="1:13">
      <c r="A812" s="8">
        <v>43350</v>
      </c>
      <c r="B812" s="9">
        <v>0.58333333333333337</v>
      </c>
      <c r="C812" s="10" t="str">
        <f>"FES1162645999"</f>
        <v>FES1162645999</v>
      </c>
      <c r="D812" s="10" t="s">
        <v>19</v>
      </c>
      <c r="E812" s="10" t="s">
        <v>540</v>
      </c>
      <c r="F812" s="10" t="str">
        <f>"2170650861 "</f>
        <v xml:space="preserve">2170650861 </v>
      </c>
      <c r="G812" s="10" t="str">
        <f t="shared" si="22"/>
        <v>ON1</v>
      </c>
      <c r="H812" s="10" t="s">
        <v>21</v>
      </c>
      <c r="I812" s="10" t="s">
        <v>541</v>
      </c>
      <c r="J812" s="10" t="str">
        <f>""</f>
        <v/>
      </c>
      <c r="K812" s="10" t="str">
        <f>"PFES1162645999_0001"</f>
        <v>PFES1162645999_0001</v>
      </c>
      <c r="L812" s="10">
        <v>1</v>
      </c>
      <c r="M812" s="10">
        <v>1</v>
      </c>
    </row>
    <row r="813" spans="1:13">
      <c r="A813" s="8">
        <v>43350</v>
      </c>
      <c r="B813" s="9">
        <v>0.58263888888888882</v>
      </c>
      <c r="C813" s="10" t="str">
        <f>"FES1162645903"</f>
        <v>FES1162645903</v>
      </c>
      <c r="D813" s="10" t="s">
        <v>19</v>
      </c>
      <c r="E813" s="10" t="s">
        <v>419</v>
      </c>
      <c r="F813" s="10" t="str">
        <f>"2170648777 "</f>
        <v xml:space="preserve">2170648777 </v>
      </c>
      <c r="G813" s="10" t="str">
        <f t="shared" si="22"/>
        <v>ON1</v>
      </c>
      <c r="H813" s="10" t="s">
        <v>21</v>
      </c>
      <c r="I813" s="10" t="s">
        <v>420</v>
      </c>
      <c r="J813" s="10" t="str">
        <f>""</f>
        <v/>
      </c>
      <c r="K813" s="10" t="str">
        <f>"PFES1162645903_0001"</f>
        <v>PFES1162645903_0001</v>
      </c>
      <c r="L813" s="10">
        <v>1</v>
      </c>
      <c r="M813" s="10">
        <v>3</v>
      </c>
    </row>
    <row r="814" spans="1:13">
      <c r="A814" s="8">
        <v>43350</v>
      </c>
      <c r="B814" s="9">
        <v>0.57847222222222217</v>
      </c>
      <c r="C814" s="10" t="str">
        <f>"FES1162645893"</f>
        <v>FES1162645893</v>
      </c>
      <c r="D814" s="10" t="s">
        <v>19</v>
      </c>
      <c r="E814" s="10" t="s">
        <v>453</v>
      </c>
      <c r="F814" s="10" t="str">
        <f>"2170648289 "</f>
        <v xml:space="preserve">2170648289 </v>
      </c>
      <c r="G814" s="10" t="str">
        <f t="shared" si="22"/>
        <v>ON1</v>
      </c>
      <c r="H814" s="10" t="s">
        <v>21</v>
      </c>
      <c r="I814" s="10" t="s">
        <v>269</v>
      </c>
      <c r="J814" s="10" t="str">
        <f>"FRAGILE OIL"</f>
        <v>FRAGILE OIL</v>
      </c>
      <c r="K814" s="10" t="str">
        <f>"PFES1162645893_0001"</f>
        <v>PFES1162645893_0001</v>
      </c>
      <c r="L814" s="10">
        <v>2</v>
      </c>
      <c r="M814" s="10">
        <v>4</v>
      </c>
    </row>
    <row r="815" spans="1:13">
      <c r="A815" s="8">
        <v>43350</v>
      </c>
      <c r="B815" s="9">
        <v>0.57708333333333328</v>
      </c>
      <c r="C815" s="10" t="str">
        <f>"FES1162645958"</f>
        <v>FES1162645958</v>
      </c>
      <c r="D815" s="10" t="s">
        <v>19</v>
      </c>
      <c r="E815" s="10" t="s">
        <v>577</v>
      </c>
      <c r="F815" s="10" t="str">
        <f>"2170648578 "</f>
        <v xml:space="preserve">2170648578 </v>
      </c>
      <c r="G815" s="10" t="str">
        <f t="shared" si="22"/>
        <v>ON1</v>
      </c>
      <c r="H815" s="10" t="s">
        <v>21</v>
      </c>
      <c r="I815" s="10" t="s">
        <v>26</v>
      </c>
      <c r="J815" s="10" t="str">
        <f>""</f>
        <v/>
      </c>
      <c r="K815" s="10" t="str">
        <f>"PFES1162645958_0001"</f>
        <v>PFES1162645958_0001</v>
      </c>
      <c r="L815" s="10">
        <v>1</v>
      </c>
      <c r="M815" s="10">
        <v>6</v>
      </c>
    </row>
    <row r="816" spans="1:13">
      <c r="A816" s="8">
        <v>43350</v>
      </c>
      <c r="B816" s="9">
        <v>0.57361111111111118</v>
      </c>
      <c r="C816" s="10" t="str">
        <f>"FES1162645972"</f>
        <v>FES1162645972</v>
      </c>
      <c r="D816" s="10" t="s">
        <v>19</v>
      </c>
      <c r="E816" s="10" t="s">
        <v>192</v>
      </c>
      <c r="F816" s="10" t="str">
        <f>"2170645889 "</f>
        <v xml:space="preserve">2170645889 </v>
      </c>
      <c r="G816" s="10" t="str">
        <f t="shared" si="22"/>
        <v>ON1</v>
      </c>
      <c r="H816" s="10" t="s">
        <v>21</v>
      </c>
      <c r="I816" s="10" t="s">
        <v>193</v>
      </c>
      <c r="J816" s="10" t="str">
        <f>""</f>
        <v/>
      </c>
      <c r="K816" s="10" t="str">
        <f>"PFES1162645972_0001"</f>
        <v>PFES1162645972_0001</v>
      </c>
      <c r="L816" s="10">
        <v>1</v>
      </c>
      <c r="M816" s="10">
        <v>8</v>
      </c>
    </row>
    <row r="817" spans="1:13">
      <c r="A817" s="8">
        <v>43350</v>
      </c>
      <c r="B817" s="9">
        <v>0.57222222222222219</v>
      </c>
      <c r="C817" s="10" t="str">
        <f>"FES1162646000"</f>
        <v>FES1162646000</v>
      </c>
      <c r="D817" s="10" t="s">
        <v>19</v>
      </c>
      <c r="E817" s="10" t="s">
        <v>123</v>
      </c>
      <c r="F817" s="10" t="str">
        <f>"2170650862 "</f>
        <v xml:space="preserve">2170650862 </v>
      </c>
      <c r="G817" s="10" t="str">
        <f t="shared" si="22"/>
        <v>ON1</v>
      </c>
      <c r="H817" s="10" t="s">
        <v>21</v>
      </c>
      <c r="I817" s="10" t="s">
        <v>124</v>
      </c>
      <c r="J817" s="10" t="str">
        <f>""</f>
        <v/>
      </c>
      <c r="K817" s="10" t="str">
        <f>"PFES1162646000_0001"</f>
        <v>PFES1162646000_0001</v>
      </c>
      <c r="L817" s="10">
        <v>1</v>
      </c>
      <c r="M817" s="10">
        <v>5</v>
      </c>
    </row>
    <row r="818" spans="1:13">
      <c r="A818" s="8">
        <v>43350</v>
      </c>
      <c r="B818" s="9">
        <v>0.5708333333333333</v>
      </c>
      <c r="C818" s="10" t="str">
        <f>"FES1162645873"</f>
        <v>FES1162645873</v>
      </c>
      <c r="D818" s="10" t="s">
        <v>19</v>
      </c>
      <c r="E818" s="10" t="s">
        <v>578</v>
      </c>
      <c r="F818" s="10" t="str">
        <f>"2170650761 "</f>
        <v xml:space="preserve">2170650761 </v>
      </c>
      <c r="G818" s="10" t="str">
        <f t="shared" si="22"/>
        <v>ON1</v>
      </c>
      <c r="H818" s="10" t="s">
        <v>21</v>
      </c>
      <c r="I818" s="10" t="s">
        <v>579</v>
      </c>
      <c r="J818" s="10" t="str">
        <f>""</f>
        <v/>
      </c>
      <c r="K818" s="10" t="str">
        <f>"PFES1162645873_0001"</f>
        <v>PFES1162645873_0001</v>
      </c>
      <c r="L818" s="10">
        <v>1</v>
      </c>
      <c r="M818" s="10">
        <v>8</v>
      </c>
    </row>
    <row r="819" spans="1:13">
      <c r="A819" s="8">
        <v>43350</v>
      </c>
      <c r="B819" s="9">
        <v>0.56180555555555556</v>
      </c>
      <c r="C819" s="10" t="str">
        <f>"FES1162645982"</f>
        <v>FES1162645982</v>
      </c>
      <c r="D819" s="10" t="s">
        <v>19</v>
      </c>
      <c r="E819" s="10" t="s">
        <v>194</v>
      </c>
      <c r="F819" s="10" t="str">
        <f>"2170650846 "</f>
        <v xml:space="preserve">2170650846 </v>
      </c>
      <c r="G819" s="10" t="str">
        <f t="shared" si="22"/>
        <v>ON1</v>
      </c>
      <c r="H819" s="10" t="s">
        <v>21</v>
      </c>
      <c r="I819" s="10" t="s">
        <v>195</v>
      </c>
      <c r="J819" s="10" t="str">
        <f>""</f>
        <v/>
      </c>
      <c r="K819" s="10" t="str">
        <f>"PFES1162645982_0001"</f>
        <v>PFES1162645982_0001</v>
      </c>
      <c r="L819" s="10">
        <v>1</v>
      </c>
      <c r="M819" s="10">
        <v>1</v>
      </c>
    </row>
    <row r="820" spans="1:13">
      <c r="A820" s="8">
        <v>43350</v>
      </c>
      <c r="B820" s="9">
        <v>0.56180555555555556</v>
      </c>
      <c r="C820" s="10" t="str">
        <f>"FES1162645980"</f>
        <v>FES1162645980</v>
      </c>
      <c r="D820" s="10" t="s">
        <v>19</v>
      </c>
      <c r="E820" s="10" t="s">
        <v>90</v>
      </c>
      <c r="F820" s="10" t="str">
        <f>"2170650844 "</f>
        <v xml:space="preserve">2170650844 </v>
      </c>
      <c r="G820" s="10" t="str">
        <f t="shared" si="22"/>
        <v>ON1</v>
      </c>
      <c r="H820" s="10" t="s">
        <v>21</v>
      </c>
      <c r="I820" s="10" t="s">
        <v>91</v>
      </c>
      <c r="J820" s="10" t="str">
        <f>""</f>
        <v/>
      </c>
      <c r="K820" s="10" t="str">
        <f>"PFES1162645980_0001"</f>
        <v>PFES1162645980_0001</v>
      </c>
      <c r="L820" s="10">
        <v>1</v>
      </c>
      <c r="M820" s="10">
        <v>1</v>
      </c>
    </row>
    <row r="821" spans="1:13">
      <c r="A821" s="8">
        <v>43350</v>
      </c>
      <c r="B821" s="9">
        <v>0.56180555555555556</v>
      </c>
      <c r="C821" s="10" t="str">
        <f>"FES1162645986"</f>
        <v>FES1162645986</v>
      </c>
      <c r="D821" s="10" t="s">
        <v>19</v>
      </c>
      <c r="E821" s="10" t="s">
        <v>580</v>
      </c>
      <c r="F821" s="10" t="str">
        <f>"2170650854 "</f>
        <v xml:space="preserve">2170650854 </v>
      </c>
      <c r="G821" s="10" t="str">
        <f t="shared" si="22"/>
        <v>ON1</v>
      </c>
      <c r="H821" s="10" t="s">
        <v>21</v>
      </c>
      <c r="I821" s="10" t="s">
        <v>581</v>
      </c>
      <c r="J821" s="10" t="str">
        <f>""</f>
        <v/>
      </c>
      <c r="K821" s="10" t="str">
        <f>"PFES1162645986_0001"</f>
        <v>PFES1162645986_0001</v>
      </c>
      <c r="L821" s="10">
        <v>1</v>
      </c>
      <c r="M821" s="10">
        <v>1</v>
      </c>
    </row>
    <row r="822" spans="1:13">
      <c r="A822" s="8">
        <v>43350</v>
      </c>
      <c r="B822" s="9">
        <v>0.56111111111111112</v>
      </c>
      <c r="C822" s="10" t="str">
        <f>"FES1162645951"</f>
        <v>FES1162645951</v>
      </c>
      <c r="D822" s="10" t="s">
        <v>19</v>
      </c>
      <c r="E822" s="10" t="s">
        <v>371</v>
      </c>
      <c r="F822" s="10" t="str">
        <f>"2170650829 "</f>
        <v xml:space="preserve">2170650829 </v>
      </c>
      <c r="G822" s="10" t="str">
        <f t="shared" si="22"/>
        <v>ON1</v>
      </c>
      <c r="H822" s="10" t="s">
        <v>21</v>
      </c>
      <c r="I822" s="10" t="s">
        <v>105</v>
      </c>
      <c r="J822" s="10" t="str">
        <f>""</f>
        <v/>
      </c>
      <c r="K822" s="10" t="str">
        <f>"PFES1162645951_0001"</f>
        <v>PFES1162645951_0001</v>
      </c>
      <c r="L822" s="10">
        <v>1</v>
      </c>
      <c r="M822" s="10">
        <v>1</v>
      </c>
    </row>
    <row r="823" spans="1:13">
      <c r="A823" s="8">
        <v>43350</v>
      </c>
      <c r="B823" s="9">
        <v>0.56041666666666667</v>
      </c>
      <c r="C823" s="10" t="str">
        <f>"FES1162645916"</f>
        <v>FES1162645916</v>
      </c>
      <c r="D823" s="10" t="s">
        <v>19</v>
      </c>
      <c r="E823" s="10" t="s">
        <v>582</v>
      </c>
      <c r="F823" s="10" t="str">
        <f>"2170650780 "</f>
        <v xml:space="preserve">2170650780 </v>
      </c>
      <c r="G823" s="10" t="str">
        <f t="shared" si="22"/>
        <v>ON1</v>
      </c>
      <c r="H823" s="10" t="s">
        <v>21</v>
      </c>
      <c r="I823" s="10" t="s">
        <v>53</v>
      </c>
      <c r="J823" s="10" t="str">
        <f>""</f>
        <v/>
      </c>
      <c r="K823" s="10" t="str">
        <f>"PFES1162645916_0001"</f>
        <v>PFES1162645916_0001</v>
      </c>
      <c r="L823" s="10">
        <v>1</v>
      </c>
      <c r="M823" s="10">
        <v>1</v>
      </c>
    </row>
    <row r="824" spans="1:13">
      <c r="A824" s="8">
        <v>43350</v>
      </c>
      <c r="B824" s="9">
        <v>0.56041666666666667</v>
      </c>
      <c r="C824" s="10" t="str">
        <f>"FES1162645708"</f>
        <v>FES1162645708</v>
      </c>
      <c r="D824" s="10" t="s">
        <v>19</v>
      </c>
      <c r="E824" s="10" t="s">
        <v>38</v>
      </c>
      <c r="F824" s="10" t="str">
        <f>"2170650562 "</f>
        <v xml:space="preserve">2170650562 </v>
      </c>
      <c r="G824" s="10" t="str">
        <f t="shared" si="22"/>
        <v>ON1</v>
      </c>
      <c r="H824" s="10" t="s">
        <v>21</v>
      </c>
      <c r="I824" s="10" t="s">
        <v>26</v>
      </c>
      <c r="J824" s="10" t="str">
        <f>""</f>
        <v/>
      </c>
      <c r="K824" s="10" t="str">
        <f>"PFES1162645708_0001"</f>
        <v>PFES1162645708_0001</v>
      </c>
      <c r="L824" s="10">
        <v>1</v>
      </c>
      <c r="M824" s="10">
        <v>1</v>
      </c>
    </row>
    <row r="825" spans="1:13">
      <c r="A825" s="8">
        <v>43350</v>
      </c>
      <c r="B825" s="9">
        <v>0.53333333333333333</v>
      </c>
      <c r="C825" s="10" t="str">
        <f>"FES1162645917"</f>
        <v>FES1162645917</v>
      </c>
      <c r="D825" s="10" t="s">
        <v>19</v>
      </c>
      <c r="E825" s="10" t="s">
        <v>583</v>
      </c>
      <c r="F825" s="10" t="str">
        <f>"2170648233 "</f>
        <v xml:space="preserve">2170648233 </v>
      </c>
      <c r="G825" s="10" t="str">
        <f>"DBC"</f>
        <v>DBC</v>
      </c>
      <c r="H825" s="10" t="s">
        <v>21</v>
      </c>
      <c r="I825" s="10" t="s">
        <v>584</v>
      </c>
      <c r="J825" s="10" t="str">
        <f>""</f>
        <v/>
      </c>
      <c r="K825" s="10" t="str">
        <f>"PFES1162645917_0001"</f>
        <v>PFES1162645917_0001</v>
      </c>
      <c r="L825" s="10">
        <v>4</v>
      </c>
      <c r="M825" s="10">
        <v>44</v>
      </c>
    </row>
    <row r="826" spans="1:13">
      <c r="A826" s="8">
        <v>43350</v>
      </c>
      <c r="B826" s="9">
        <v>0.53055555555555556</v>
      </c>
      <c r="C826" s="10" t="str">
        <f>"FES1162645942"</f>
        <v>FES1162645942</v>
      </c>
      <c r="D826" s="10" t="s">
        <v>19</v>
      </c>
      <c r="E826" s="10" t="s">
        <v>56</v>
      </c>
      <c r="F826" s="10" t="str">
        <f>"2170650815 "</f>
        <v xml:space="preserve">2170650815 </v>
      </c>
      <c r="G826" s="10" t="str">
        <f>"DBC"</f>
        <v>DBC</v>
      </c>
      <c r="H826" s="10" t="s">
        <v>21</v>
      </c>
      <c r="I826" s="10" t="s">
        <v>57</v>
      </c>
      <c r="J826" s="10" t="str">
        <f>""</f>
        <v/>
      </c>
      <c r="K826" s="10" t="str">
        <f>"PFES1162645942_0001"</f>
        <v>PFES1162645942_0001</v>
      </c>
      <c r="L826" s="10">
        <v>1</v>
      </c>
      <c r="M826" s="10">
        <v>21</v>
      </c>
    </row>
    <row r="827" spans="1:13">
      <c r="A827" s="8">
        <v>43350</v>
      </c>
      <c r="B827" s="9">
        <v>0.52986111111111112</v>
      </c>
      <c r="C827" s="10" t="str">
        <f>"FES1162645892"</f>
        <v>FES1162645892</v>
      </c>
      <c r="D827" s="10" t="s">
        <v>19</v>
      </c>
      <c r="E827" s="10" t="s">
        <v>585</v>
      </c>
      <c r="F827" s="10" t="str">
        <f>"2170648215 "</f>
        <v xml:space="preserve">2170648215 </v>
      </c>
      <c r="G827" s="10" t="str">
        <f>"DBC"</f>
        <v>DBC</v>
      </c>
      <c r="H827" s="10" t="s">
        <v>21</v>
      </c>
      <c r="I827" s="10" t="s">
        <v>586</v>
      </c>
      <c r="J827" s="10" t="str">
        <f>""</f>
        <v/>
      </c>
      <c r="K827" s="10" t="str">
        <f>"PFES1162645892_0001"</f>
        <v>PFES1162645892_0001</v>
      </c>
      <c r="L827" s="10">
        <v>2</v>
      </c>
      <c r="M827" s="10">
        <v>38</v>
      </c>
    </row>
    <row r="828" spans="1:13">
      <c r="A828" s="8">
        <v>43350</v>
      </c>
      <c r="B828" s="9">
        <v>0.52847222222222223</v>
      </c>
      <c r="C828" s="10" t="str">
        <f>"FES1162645875"</f>
        <v>FES1162645875</v>
      </c>
      <c r="D828" s="10" t="s">
        <v>19</v>
      </c>
      <c r="E828" s="10" t="s">
        <v>224</v>
      </c>
      <c r="F828" s="10" t="str">
        <f>"2170650693 "</f>
        <v xml:space="preserve">2170650693 </v>
      </c>
      <c r="G828" s="10" t="str">
        <f t="shared" ref="G828:G891" si="23">"ON1"</f>
        <v>ON1</v>
      </c>
      <c r="H828" s="10" t="s">
        <v>21</v>
      </c>
      <c r="I828" s="10" t="s">
        <v>225</v>
      </c>
      <c r="J828" s="10" t="str">
        <f>""</f>
        <v/>
      </c>
      <c r="K828" s="10" t="str">
        <f>"PFES1162645875_0001"</f>
        <v>PFES1162645875_0001</v>
      </c>
      <c r="L828" s="10">
        <v>1</v>
      </c>
      <c r="M828" s="10">
        <v>6</v>
      </c>
    </row>
    <row r="829" spans="1:13">
      <c r="A829" s="8">
        <v>43350</v>
      </c>
      <c r="B829" s="9">
        <v>0.52708333333333335</v>
      </c>
      <c r="C829" s="10" t="str">
        <f>"FES1162645928"</f>
        <v>FES1162645928</v>
      </c>
      <c r="D829" s="10" t="s">
        <v>19</v>
      </c>
      <c r="E829" s="10" t="s">
        <v>587</v>
      </c>
      <c r="F829" s="10" t="str">
        <f>"2170647903 "</f>
        <v xml:space="preserve">2170647903 </v>
      </c>
      <c r="G829" s="10" t="str">
        <f t="shared" si="23"/>
        <v>ON1</v>
      </c>
      <c r="H829" s="10" t="s">
        <v>21</v>
      </c>
      <c r="I829" s="10" t="s">
        <v>588</v>
      </c>
      <c r="J829" s="10" t="str">
        <f>""</f>
        <v/>
      </c>
      <c r="K829" s="10" t="str">
        <f>"PFES1162645928_0001"</f>
        <v>PFES1162645928_0001</v>
      </c>
      <c r="L829" s="10">
        <v>1</v>
      </c>
      <c r="M829" s="10">
        <v>6</v>
      </c>
    </row>
    <row r="830" spans="1:13">
      <c r="A830" s="8">
        <v>43350</v>
      </c>
      <c r="B830" s="9">
        <v>0.52569444444444446</v>
      </c>
      <c r="C830" s="10" t="str">
        <f>"FES1162645959"</f>
        <v>FES1162645959</v>
      </c>
      <c r="D830" s="10" t="s">
        <v>19</v>
      </c>
      <c r="E830" s="10" t="s">
        <v>84</v>
      </c>
      <c r="F830" s="10" t="str">
        <f>"2170646367 "</f>
        <v xml:space="preserve">2170646367 </v>
      </c>
      <c r="G830" s="10" t="str">
        <f t="shared" si="23"/>
        <v>ON1</v>
      </c>
      <c r="H830" s="10" t="s">
        <v>21</v>
      </c>
      <c r="I830" s="10" t="s">
        <v>85</v>
      </c>
      <c r="J830" s="10" t="str">
        <f>""</f>
        <v/>
      </c>
      <c r="K830" s="10" t="str">
        <f>"PFES1162645959_0001"</f>
        <v>PFES1162645959_0001</v>
      </c>
      <c r="L830" s="10">
        <v>1</v>
      </c>
      <c r="M830" s="10">
        <v>4</v>
      </c>
    </row>
    <row r="831" spans="1:13">
      <c r="A831" s="8">
        <v>43350</v>
      </c>
      <c r="B831" s="9">
        <v>0.52430555555555558</v>
      </c>
      <c r="C831" s="10" t="str">
        <f>"FES1162645963"</f>
        <v>FES1162645963</v>
      </c>
      <c r="D831" s="10" t="s">
        <v>19</v>
      </c>
      <c r="E831" s="10" t="s">
        <v>589</v>
      </c>
      <c r="F831" s="10" t="str">
        <f>"2170645459 "</f>
        <v xml:space="preserve">2170645459 </v>
      </c>
      <c r="G831" s="10" t="str">
        <f t="shared" si="23"/>
        <v>ON1</v>
      </c>
      <c r="H831" s="10" t="s">
        <v>21</v>
      </c>
      <c r="I831" s="10" t="s">
        <v>97</v>
      </c>
      <c r="J831" s="10" t="str">
        <f>""</f>
        <v/>
      </c>
      <c r="K831" s="10" t="str">
        <f>"PFES1162645963_0001"</f>
        <v>PFES1162645963_0001</v>
      </c>
      <c r="L831" s="10">
        <v>1</v>
      </c>
      <c r="M831" s="10">
        <v>6</v>
      </c>
    </row>
    <row r="832" spans="1:13">
      <c r="A832" s="8">
        <v>43350</v>
      </c>
      <c r="B832" s="9">
        <v>0.5229166666666667</v>
      </c>
      <c r="C832" s="10" t="str">
        <f>"FES1162645966"</f>
        <v>FES1162645966</v>
      </c>
      <c r="D832" s="10" t="s">
        <v>19</v>
      </c>
      <c r="E832" s="10" t="s">
        <v>174</v>
      </c>
      <c r="F832" s="10" t="str">
        <f>"2170644243 "</f>
        <v xml:space="preserve">2170644243 </v>
      </c>
      <c r="G832" s="10" t="str">
        <f t="shared" si="23"/>
        <v>ON1</v>
      </c>
      <c r="H832" s="10" t="s">
        <v>21</v>
      </c>
      <c r="I832" s="10" t="s">
        <v>175</v>
      </c>
      <c r="J832" s="10" t="str">
        <f>""</f>
        <v/>
      </c>
      <c r="K832" s="10" t="str">
        <f>"PFES1162645966_0001"</f>
        <v>PFES1162645966_0001</v>
      </c>
      <c r="L832" s="10">
        <v>1</v>
      </c>
      <c r="M832" s="10">
        <v>4</v>
      </c>
    </row>
    <row r="833" spans="1:13">
      <c r="A833" s="8">
        <v>43350</v>
      </c>
      <c r="B833" s="9">
        <v>0.52152777777777781</v>
      </c>
      <c r="C833" s="10" t="str">
        <f>"FES1162645967"</f>
        <v>FES1162645967</v>
      </c>
      <c r="D833" s="10" t="s">
        <v>19</v>
      </c>
      <c r="E833" s="10" t="s">
        <v>590</v>
      </c>
      <c r="F833" s="10" t="str">
        <f>"2170644759 "</f>
        <v xml:space="preserve">2170644759 </v>
      </c>
      <c r="G833" s="10" t="str">
        <f t="shared" si="23"/>
        <v>ON1</v>
      </c>
      <c r="H833" s="10" t="s">
        <v>21</v>
      </c>
      <c r="I833" s="10" t="s">
        <v>591</v>
      </c>
      <c r="J833" s="10" t="str">
        <f>""</f>
        <v/>
      </c>
      <c r="K833" s="10" t="str">
        <f>"PFES1162645967_0001"</f>
        <v>PFES1162645967_0001</v>
      </c>
      <c r="L833" s="10">
        <v>1</v>
      </c>
      <c r="M833" s="10">
        <v>18</v>
      </c>
    </row>
    <row r="834" spans="1:13">
      <c r="A834" s="8">
        <v>43350</v>
      </c>
      <c r="B834" s="9">
        <v>0.52083333333333337</v>
      </c>
      <c r="C834" s="10" t="str">
        <f>"FES1162645834"</f>
        <v>FES1162645834</v>
      </c>
      <c r="D834" s="10" t="s">
        <v>19</v>
      </c>
      <c r="E834" s="10" t="s">
        <v>39</v>
      </c>
      <c r="F834" s="10" t="str">
        <f>"2170650697 "</f>
        <v xml:space="preserve">2170650697 </v>
      </c>
      <c r="G834" s="10" t="str">
        <f t="shared" si="23"/>
        <v>ON1</v>
      </c>
      <c r="H834" s="10" t="s">
        <v>21</v>
      </c>
      <c r="I834" s="10" t="s">
        <v>40</v>
      </c>
      <c r="J834" s="10" t="str">
        <f>""</f>
        <v/>
      </c>
      <c r="K834" s="10" t="str">
        <f>"PFES1162645834_0001"</f>
        <v>PFES1162645834_0001</v>
      </c>
      <c r="L834" s="10">
        <v>1</v>
      </c>
      <c r="M834" s="10">
        <v>5</v>
      </c>
    </row>
    <row r="835" spans="1:13">
      <c r="A835" s="8">
        <v>43350</v>
      </c>
      <c r="B835" s="9">
        <v>0.51944444444444449</v>
      </c>
      <c r="C835" s="10" t="str">
        <f>"FES1162645961"</f>
        <v>FES1162645961</v>
      </c>
      <c r="D835" s="10" t="s">
        <v>19</v>
      </c>
      <c r="E835" s="10" t="s">
        <v>41</v>
      </c>
      <c r="F835" s="10" t="str">
        <f>"2170644855 "</f>
        <v xml:space="preserve">2170644855 </v>
      </c>
      <c r="G835" s="10" t="str">
        <f t="shared" si="23"/>
        <v>ON1</v>
      </c>
      <c r="H835" s="10" t="s">
        <v>21</v>
      </c>
      <c r="I835" s="10" t="s">
        <v>42</v>
      </c>
      <c r="J835" s="10" t="str">
        <f>""</f>
        <v/>
      </c>
      <c r="K835" s="10" t="str">
        <f>"PFES1162645961_0001"</f>
        <v>PFES1162645961_0001</v>
      </c>
      <c r="L835" s="10">
        <v>1</v>
      </c>
      <c r="M835" s="10">
        <v>3</v>
      </c>
    </row>
    <row r="836" spans="1:13">
      <c r="A836" s="8">
        <v>43350</v>
      </c>
      <c r="B836" s="9">
        <v>0.51527777777777783</v>
      </c>
      <c r="C836" s="10" t="str">
        <f>"FES1162645933"</f>
        <v>FES1162645933</v>
      </c>
      <c r="D836" s="10" t="s">
        <v>19</v>
      </c>
      <c r="E836" s="10" t="s">
        <v>592</v>
      </c>
      <c r="F836" s="10" t="str">
        <f>"2170650808 "</f>
        <v xml:space="preserve">2170650808 </v>
      </c>
      <c r="G836" s="10" t="str">
        <f t="shared" si="23"/>
        <v>ON1</v>
      </c>
      <c r="H836" s="10" t="s">
        <v>21</v>
      </c>
      <c r="I836" s="10" t="s">
        <v>159</v>
      </c>
      <c r="J836" s="10" t="str">
        <f>""</f>
        <v/>
      </c>
      <c r="K836" s="10" t="str">
        <f>"PFES1162645933_0001"</f>
        <v>PFES1162645933_0001</v>
      </c>
      <c r="L836" s="10">
        <v>1</v>
      </c>
      <c r="M836" s="10">
        <v>1</v>
      </c>
    </row>
    <row r="837" spans="1:13">
      <c r="A837" s="8">
        <v>43350</v>
      </c>
      <c r="B837" s="9">
        <v>0.51458333333333328</v>
      </c>
      <c r="C837" s="10" t="str">
        <f>"FES1162645877"</f>
        <v>FES1162645877</v>
      </c>
      <c r="D837" s="10" t="s">
        <v>19</v>
      </c>
      <c r="E837" s="10" t="s">
        <v>593</v>
      </c>
      <c r="F837" s="10" t="str">
        <f>"2170650721 "</f>
        <v xml:space="preserve">2170650721 </v>
      </c>
      <c r="G837" s="10" t="str">
        <f t="shared" si="23"/>
        <v>ON1</v>
      </c>
      <c r="H837" s="10" t="s">
        <v>21</v>
      </c>
      <c r="I837" s="10" t="s">
        <v>193</v>
      </c>
      <c r="J837" s="10" t="str">
        <f>""</f>
        <v/>
      </c>
      <c r="K837" s="10" t="str">
        <f>"PFES1162645877_0001"</f>
        <v>PFES1162645877_0001</v>
      </c>
      <c r="L837" s="10">
        <v>1</v>
      </c>
      <c r="M837" s="10">
        <v>1</v>
      </c>
    </row>
    <row r="838" spans="1:13">
      <c r="A838" s="8">
        <v>43350</v>
      </c>
      <c r="B838" s="9">
        <v>0.51458333333333328</v>
      </c>
      <c r="C838" s="10" t="str">
        <f>"FES1162645918"</f>
        <v>FES1162645918</v>
      </c>
      <c r="D838" s="10" t="s">
        <v>19</v>
      </c>
      <c r="E838" s="10" t="s">
        <v>41</v>
      </c>
      <c r="F838" s="10" t="str">
        <f>"2170650455 "</f>
        <v xml:space="preserve">2170650455 </v>
      </c>
      <c r="G838" s="10" t="str">
        <f t="shared" si="23"/>
        <v>ON1</v>
      </c>
      <c r="H838" s="10" t="s">
        <v>21</v>
      </c>
      <c r="I838" s="10" t="s">
        <v>42</v>
      </c>
      <c r="J838" s="10" t="str">
        <f>""</f>
        <v/>
      </c>
      <c r="K838" s="10" t="str">
        <f>"PFES1162645918_0001"</f>
        <v>PFES1162645918_0001</v>
      </c>
      <c r="L838" s="10">
        <v>1</v>
      </c>
      <c r="M838" s="10">
        <v>1</v>
      </c>
    </row>
    <row r="839" spans="1:13">
      <c r="A839" s="8">
        <v>43350</v>
      </c>
      <c r="B839" s="9">
        <v>0.51458333333333328</v>
      </c>
      <c r="C839" s="10" t="str">
        <f>"FES1162645955"</f>
        <v>FES1162645955</v>
      </c>
      <c r="D839" s="10" t="s">
        <v>19</v>
      </c>
      <c r="E839" s="10" t="s">
        <v>123</v>
      </c>
      <c r="F839" s="10" t="str">
        <f>"2170650839 "</f>
        <v xml:space="preserve">2170650839 </v>
      </c>
      <c r="G839" s="10" t="str">
        <f t="shared" si="23"/>
        <v>ON1</v>
      </c>
      <c r="H839" s="10" t="s">
        <v>21</v>
      </c>
      <c r="I839" s="10" t="s">
        <v>124</v>
      </c>
      <c r="J839" s="10" t="str">
        <f>""</f>
        <v/>
      </c>
      <c r="K839" s="10" t="str">
        <f>"PFES1162645955_0001"</f>
        <v>PFES1162645955_0001</v>
      </c>
      <c r="L839" s="10">
        <v>1</v>
      </c>
      <c r="M839" s="10">
        <v>1</v>
      </c>
    </row>
    <row r="840" spans="1:13">
      <c r="A840" s="8">
        <v>43350</v>
      </c>
      <c r="B840" s="9">
        <v>0.51388888888888895</v>
      </c>
      <c r="C840" s="10" t="str">
        <f>"FES1162645940"</f>
        <v>FES1162645940</v>
      </c>
      <c r="D840" s="10" t="s">
        <v>19</v>
      </c>
      <c r="E840" s="10" t="s">
        <v>594</v>
      </c>
      <c r="F840" s="10" t="str">
        <f>"2170650812 "</f>
        <v xml:space="preserve">2170650812 </v>
      </c>
      <c r="G840" s="10" t="str">
        <f t="shared" si="23"/>
        <v>ON1</v>
      </c>
      <c r="H840" s="10" t="s">
        <v>21</v>
      </c>
      <c r="I840" s="10" t="s">
        <v>91</v>
      </c>
      <c r="J840" s="10" t="str">
        <f>""</f>
        <v/>
      </c>
      <c r="K840" s="10" t="str">
        <f>"PFES1162645940_0001"</f>
        <v>PFES1162645940_0001</v>
      </c>
      <c r="L840" s="10">
        <v>1</v>
      </c>
      <c r="M840" s="10">
        <v>1</v>
      </c>
    </row>
    <row r="841" spans="1:13">
      <c r="A841" s="8">
        <v>43350</v>
      </c>
      <c r="B841" s="9">
        <v>0.51388888888888895</v>
      </c>
      <c r="C841" s="10" t="str">
        <f>"FES1162645935"</f>
        <v>FES1162645935</v>
      </c>
      <c r="D841" s="10" t="s">
        <v>19</v>
      </c>
      <c r="E841" s="10" t="s">
        <v>595</v>
      </c>
      <c r="F841" s="10" t="str">
        <f>"2170650810 "</f>
        <v xml:space="preserve">2170650810 </v>
      </c>
      <c r="G841" s="10" t="str">
        <f t="shared" si="23"/>
        <v>ON1</v>
      </c>
      <c r="H841" s="10" t="s">
        <v>21</v>
      </c>
      <c r="I841" s="10" t="s">
        <v>164</v>
      </c>
      <c r="J841" s="10" t="str">
        <f>""</f>
        <v/>
      </c>
      <c r="K841" s="10" t="str">
        <f>"PFES1162645935_0001"</f>
        <v>PFES1162645935_0001</v>
      </c>
      <c r="L841" s="10">
        <v>1</v>
      </c>
      <c r="M841" s="10">
        <v>1</v>
      </c>
    </row>
    <row r="842" spans="1:13">
      <c r="A842" s="8">
        <v>43350</v>
      </c>
      <c r="B842" s="9">
        <v>0.5131944444444444</v>
      </c>
      <c r="C842" s="10" t="str">
        <f>"FES1162645897"</f>
        <v>FES1162645897</v>
      </c>
      <c r="D842" s="10" t="s">
        <v>19</v>
      </c>
      <c r="E842" s="10" t="s">
        <v>447</v>
      </c>
      <c r="F842" s="10" t="str">
        <f>"2170648411 "</f>
        <v xml:space="preserve">2170648411 </v>
      </c>
      <c r="G842" s="10" t="str">
        <f t="shared" si="23"/>
        <v>ON1</v>
      </c>
      <c r="H842" s="10" t="s">
        <v>21</v>
      </c>
      <c r="I842" s="10" t="s">
        <v>448</v>
      </c>
      <c r="J842" s="10" t="str">
        <f>""</f>
        <v/>
      </c>
      <c r="K842" s="10" t="str">
        <f>"PFES1162645897_0001"</f>
        <v>PFES1162645897_0001</v>
      </c>
      <c r="L842" s="10">
        <v>1</v>
      </c>
      <c r="M842" s="10">
        <v>1</v>
      </c>
    </row>
    <row r="843" spans="1:13">
      <c r="A843" s="8">
        <v>43350</v>
      </c>
      <c r="B843" s="9">
        <v>0.5131944444444444</v>
      </c>
      <c r="C843" s="10" t="str">
        <f>"FES1162645931"</f>
        <v>FES1162645931</v>
      </c>
      <c r="D843" s="10" t="s">
        <v>19</v>
      </c>
      <c r="E843" s="10" t="s">
        <v>220</v>
      </c>
      <c r="F843" s="10" t="str">
        <f>"2170650782 "</f>
        <v xml:space="preserve">2170650782 </v>
      </c>
      <c r="G843" s="10" t="str">
        <f t="shared" si="23"/>
        <v>ON1</v>
      </c>
      <c r="H843" s="10" t="s">
        <v>21</v>
      </c>
      <c r="I843" s="10" t="s">
        <v>126</v>
      </c>
      <c r="J843" s="10" t="str">
        <f>""</f>
        <v/>
      </c>
      <c r="K843" s="10" t="str">
        <f>"PFES1162645931_0001"</f>
        <v>PFES1162645931_0001</v>
      </c>
      <c r="L843" s="10">
        <v>1</v>
      </c>
      <c r="M843" s="10">
        <v>1</v>
      </c>
    </row>
    <row r="844" spans="1:13">
      <c r="A844" s="8">
        <v>43350</v>
      </c>
      <c r="B844" s="9">
        <v>0.5131944444444444</v>
      </c>
      <c r="C844" s="10" t="str">
        <f>"FES1162645890"</f>
        <v>FES1162645890</v>
      </c>
      <c r="D844" s="10" t="s">
        <v>19</v>
      </c>
      <c r="E844" s="10" t="s">
        <v>555</v>
      </c>
      <c r="F844" s="10" t="str">
        <f>"2170648194 "</f>
        <v xml:space="preserve">2170648194 </v>
      </c>
      <c r="G844" s="10" t="str">
        <f t="shared" si="23"/>
        <v>ON1</v>
      </c>
      <c r="H844" s="10" t="s">
        <v>21</v>
      </c>
      <c r="I844" s="10" t="s">
        <v>105</v>
      </c>
      <c r="J844" s="10" t="str">
        <f>""</f>
        <v/>
      </c>
      <c r="K844" s="10" t="str">
        <f>"PFES1162645890_0001"</f>
        <v>PFES1162645890_0001</v>
      </c>
      <c r="L844" s="10">
        <v>1</v>
      </c>
      <c r="M844" s="10">
        <v>1</v>
      </c>
    </row>
    <row r="845" spans="1:13">
      <c r="A845" s="8">
        <v>43350</v>
      </c>
      <c r="B845" s="9">
        <v>0.51250000000000007</v>
      </c>
      <c r="C845" s="10" t="str">
        <f>"FES1162645948"</f>
        <v>FES1162645948</v>
      </c>
      <c r="D845" s="10" t="s">
        <v>19</v>
      </c>
      <c r="E845" s="10" t="s">
        <v>141</v>
      </c>
      <c r="F845" s="10" t="str">
        <f>"2170650828 "</f>
        <v xml:space="preserve">2170650828 </v>
      </c>
      <c r="G845" s="10" t="str">
        <f t="shared" si="23"/>
        <v>ON1</v>
      </c>
      <c r="H845" s="10" t="s">
        <v>21</v>
      </c>
      <c r="I845" s="10" t="s">
        <v>91</v>
      </c>
      <c r="J845" s="10" t="str">
        <f>""</f>
        <v/>
      </c>
      <c r="K845" s="10" t="str">
        <f>"PFES1162645948_0001"</f>
        <v>PFES1162645948_0001</v>
      </c>
      <c r="L845" s="10">
        <v>1</v>
      </c>
      <c r="M845" s="10">
        <v>1</v>
      </c>
    </row>
    <row r="846" spans="1:13">
      <c r="A846" s="8">
        <v>43350</v>
      </c>
      <c r="B846" s="9">
        <v>0.51250000000000007</v>
      </c>
      <c r="C846" s="10" t="str">
        <f>"FES1162645947"</f>
        <v>FES1162645947</v>
      </c>
      <c r="D846" s="10" t="s">
        <v>19</v>
      </c>
      <c r="E846" s="10" t="s">
        <v>149</v>
      </c>
      <c r="F846" s="10" t="str">
        <f>"2170650826 "</f>
        <v xml:space="preserve">2170650826 </v>
      </c>
      <c r="G846" s="10" t="str">
        <f t="shared" si="23"/>
        <v>ON1</v>
      </c>
      <c r="H846" s="10" t="s">
        <v>21</v>
      </c>
      <c r="I846" s="10" t="s">
        <v>150</v>
      </c>
      <c r="J846" s="10" t="str">
        <f>""</f>
        <v/>
      </c>
      <c r="K846" s="10" t="str">
        <f>"PFES1162645947_0001"</f>
        <v>PFES1162645947_0001</v>
      </c>
      <c r="L846" s="10">
        <v>1</v>
      </c>
      <c r="M846" s="10">
        <v>1</v>
      </c>
    </row>
    <row r="847" spans="1:13">
      <c r="A847" s="8">
        <v>43350</v>
      </c>
      <c r="B847" s="9">
        <v>0.51180555555555551</v>
      </c>
      <c r="C847" s="10" t="str">
        <f>"FES1162645934"</f>
        <v>FES1162645934</v>
      </c>
      <c r="D847" s="10" t="s">
        <v>19</v>
      </c>
      <c r="E847" s="10" t="s">
        <v>592</v>
      </c>
      <c r="F847" s="10" t="str">
        <f>"2170650809 "</f>
        <v xml:space="preserve">2170650809 </v>
      </c>
      <c r="G847" s="10" t="str">
        <f t="shared" si="23"/>
        <v>ON1</v>
      </c>
      <c r="H847" s="10" t="s">
        <v>21</v>
      </c>
      <c r="I847" s="10" t="s">
        <v>159</v>
      </c>
      <c r="J847" s="10" t="str">
        <f>""</f>
        <v/>
      </c>
      <c r="K847" s="10" t="str">
        <f>"PFES1162645934_0001"</f>
        <v>PFES1162645934_0001</v>
      </c>
      <c r="L847" s="10">
        <v>1</v>
      </c>
      <c r="M847" s="10">
        <v>1</v>
      </c>
    </row>
    <row r="848" spans="1:13">
      <c r="A848" s="8">
        <v>43350</v>
      </c>
      <c r="B848" s="9">
        <v>0.50138888888888888</v>
      </c>
      <c r="C848" s="10" t="str">
        <f>"FES1162645900"</f>
        <v>FES1162645900</v>
      </c>
      <c r="D848" s="10" t="s">
        <v>19</v>
      </c>
      <c r="E848" s="10" t="s">
        <v>116</v>
      </c>
      <c r="F848" s="10" t="str">
        <f>"2170648596 "</f>
        <v xml:space="preserve">2170648596 </v>
      </c>
      <c r="G848" s="10" t="str">
        <f t="shared" si="23"/>
        <v>ON1</v>
      </c>
      <c r="H848" s="10" t="s">
        <v>21</v>
      </c>
      <c r="I848" s="10" t="s">
        <v>117</v>
      </c>
      <c r="J848" s="10" t="str">
        <f>""</f>
        <v/>
      </c>
      <c r="K848" s="10" t="str">
        <f>"PFES1162645900_0001"</f>
        <v>PFES1162645900_0001</v>
      </c>
      <c r="L848" s="10">
        <v>1</v>
      </c>
      <c r="M848" s="10">
        <v>1</v>
      </c>
    </row>
    <row r="849" spans="1:13">
      <c r="A849" s="8">
        <v>43350</v>
      </c>
      <c r="B849" s="9">
        <v>0.50069444444444444</v>
      </c>
      <c r="C849" s="10" t="str">
        <f>"FES1162645906"</f>
        <v>FES1162645906</v>
      </c>
      <c r="D849" s="10" t="s">
        <v>19</v>
      </c>
      <c r="E849" s="10" t="s">
        <v>445</v>
      </c>
      <c r="F849" s="10" t="str">
        <f>"2170650758 "</f>
        <v xml:space="preserve">2170650758 </v>
      </c>
      <c r="G849" s="10" t="str">
        <f t="shared" si="23"/>
        <v>ON1</v>
      </c>
      <c r="H849" s="10" t="s">
        <v>21</v>
      </c>
      <c r="I849" s="10" t="s">
        <v>206</v>
      </c>
      <c r="J849" s="10" t="str">
        <f>""</f>
        <v/>
      </c>
      <c r="K849" s="10" t="str">
        <f>"PFES1162645906_0001"</f>
        <v>PFES1162645906_0001</v>
      </c>
      <c r="L849" s="10">
        <v>1</v>
      </c>
      <c r="M849" s="10">
        <v>1</v>
      </c>
    </row>
    <row r="850" spans="1:13">
      <c r="A850" s="8">
        <v>43350</v>
      </c>
      <c r="B850" s="9">
        <v>0.50069444444444444</v>
      </c>
      <c r="C850" s="10" t="str">
        <f>"FES1162645846"</f>
        <v>FES1162645846</v>
      </c>
      <c r="D850" s="10" t="s">
        <v>19</v>
      </c>
      <c r="E850" s="10" t="s">
        <v>596</v>
      </c>
      <c r="F850" s="10" t="str">
        <f>"2170650720 "</f>
        <v xml:space="preserve">2170650720 </v>
      </c>
      <c r="G850" s="10" t="str">
        <f t="shared" si="23"/>
        <v>ON1</v>
      </c>
      <c r="H850" s="10" t="s">
        <v>21</v>
      </c>
      <c r="I850" s="10" t="s">
        <v>229</v>
      </c>
      <c r="J850" s="10" t="str">
        <f>""</f>
        <v/>
      </c>
      <c r="K850" s="10" t="str">
        <f>"PFES1162645846_0001"</f>
        <v>PFES1162645846_0001</v>
      </c>
      <c r="L850" s="10">
        <v>1</v>
      </c>
      <c r="M850" s="10">
        <v>12</v>
      </c>
    </row>
    <row r="851" spans="1:13">
      <c r="A851" s="8">
        <v>43350</v>
      </c>
      <c r="B851" s="9">
        <v>0.50069444444444444</v>
      </c>
      <c r="C851" s="10" t="str">
        <f>"FES1162645847"</f>
        <v>FES1162645847</v>
      </c>
      <c r="D851" s="10" t="s">
        <v>19</v>
      </c>
      <c r="E851" s="10" t="s">
        <v>336</v>
      </c>
      <c r="F851" s="10" t="str">
        <f>"2170645847 "</f>
        <v xml:space="preserve">2170645847 </v>
      </c>
      <c r="G851" s="10" t="str">
        <f t="shared" si="23"/>
        <v>ON1</v>
      </c>
      <c r="H851" s="10" t="s">
        <v>21</v>
      </c>
      <c r="I851" s="10" t="s">
        <v>117</v>
      </c>
      <c r="J851" s="10" t="str">
        <f>""</f>
        <v/>
      </c>
      <c r="K851" s="10" t="str">
        <f>"PFES1162645847_0001"</f>
        <v>PFES1162645847_0001</v>
      </c>
      <c r="L851" s="10">
        <v>1</v>
      </c>
      <c r="M851" s="10">
        <v>1</v>
      </c>
    </row>
    <row r="852" spans="1:13">
      <c r="A852" s="8">
        <v>43350</v>
      </c>
      <c r="B852" s="9">
        <v>0.50069444444444444</v>
      </c>
      <c r="C852" s="10" t="str">
        <f>"FES1162645891"</f>
        <v>FES1162645891</v>
      </c>
      <c r="D852" s="10" t="s">
        <v>19</v>
      </c>
      <c r="E852" s="10" t="s">
        <v>281</v>
      </c>
      <c r="F852" s="10" t="str">
        <f>"2170648209 "</f>
        <v xml:space="preserve">2170648209 </v>
      </c>
      <c r="G852" s="10" t="str">
        <f t="shared" si="23"/>
        <v>ON1</v>
      </c>
      <c r="H852" s="10" t="s">
        <v>21</v>
      </c>
      <c r="I852" s="10" t="s">
        <v>282</v>
      </c>
      <c r="J852" s="10" t="str">
        <f>""</f>
        <v/>
      </c>
      <c r="K852" s="10" t="str">
        <f>"PFES1162645891_0001"</f>
        <v>PFES1162645891_0001</v>
      </c>
      <c r="L852" s="10">
        <v>1</v>
      </c>
      <c r="M852" s="10">
        <v>1</v>
      </c>
    </row>
    <row r="853" spans="1:13">
      <c r="A853" s="8">
        <v>43350</v>
      </c>
      <c r="B853" s="9">
        <v>0.5</v>
      </c>
      <c r="C853" s="10" t="str">
        <f>"FES1162645926"</f>
        <v>FES1162645926</v>
      </c>
      <c r="D853" s="10" t="s">
        <v>19</v>
      </c>
      <c r="E853" s="10" t="s">
        <v>160</v>
      </c>
      <c r="F853" s="10" t="str">
        <f>"2170650802 "</f>
        <v xml:space="preserve">2170650802 </v>
      </c>
      <c r="G853" s="10" t="str">
        <f t="shared" si="23"/>
        <v>ON1</v>
      </c>
      <c r="H853" s="10" t="s">
        <v>21</v>
      </c>
      <c r="I853" s="10" t="s">
        <v>161</v>
      </c>
      <c r="J853" s="10" t="str">
        <f>""</f>
        <v/>
      </c>
      <c r="K853" s="10" t="str">
        <f>"PFES1162645926_0001"</f>
        <v>PFES1162645926_0001</v>
      </c>
      <c r="L853" s="10">
        <v>1</v>
      </c>
      <c r="M853" s="10">
        <v>1</v>
      </c>
    </row>
    <row r="854" spans="1:13">
      <c r="A854" s="8">
        <v>43350</v>
      </c>
      <c r="B854" s="9">
        <v>0.5</v>
      </c>
      <c r="C854" s="10" t="str">
        <f>"FES1162645911"</f>
        <v>FES1162645911</v>
      </c>
      <c r="D854" s="10" t="s">
        <v>19</v>
      </c>
      <c r="E854" s="10" t="s">
        <v>597</v>
      </c>
      <c r="F854" s="10" t="str">
        <f>"2170650776 "</f>
        <v xml:space="preserve">2170650776 </v>
      </c>
      <c r="G854" s="10" t="str">
        <f t="shared" si="23"/>
        <v>ON1</v>
      </c>
      <c r="H854" s="10" t="s">
        <v>21</v>
      </c>
      <c r="I854" s="10" t="s">
        <v>598</v>
      </c>
      <c r="J854" s="10" t="str">
        <f>""</f>
        <v/>
      </c>
      <c r="K854" s="10" t="str">
        <f>"PFES1162645911_0001"</f>
        <v>PFES1162645911_0001</v>
      </c>
      <c r="L854" s="10">
        <v>1</v>
      </c>
      <c r="M854" s="10">
        <v>1</v>
      </c>
    </row>
    <row r="855" spans="1:13">
      <c r="A855" s="8">
        <v>43350</v>
      </c>
      <c r="B855" s="9">
        <v>0.5</v>
      </c>
      <c r="C855" s="10" t="str">
        <f>"FES1162645919"</f>
        <v>FES1162645919</v>
      </c>
      <c r="D855" s="10" t="s">
        <v>19</v>
      </c>
      <c r="E855" s="10" t="s">
        <v>125</v>
      </c>
      <c r="F855" s="10" t="str">
        <f>"21706450785 "</f>
        <v xml:space="preserve">21706450785 </v>
      </c>
      <c r="G855" s="10" t="str">
        <f t="shared" si="23"/>
        <v>ON1</v>
      </c>
      <c r="H855" s="10" t="s">
        <v>21</v>
      </c>
      <c r="I855" s="10" t="s">
        <v>126</v>
      </c>
      <c r="J855" s="10" t="str">
        <f>""</f>
        <v/>
      </c>
      <c r="K855" s="10" t="str">
        <f>"PFES1162645919_0001"</f>
        <v>PFES1162645919_0001</v>
      </c>
      <c r="L855" s="10">
        <v>1</v>
      </c>
      <c r="M855" s="10">
        <v>1</v>
      </c>
    </row>
    <row r="856" spans="1:13">
      <c r="A856" s="8">
        <v>43350</v>
      </c>
      <c r="B856" s="9">
        <v>0.4993055555555555</v>
      </c>
      <c r="C856" s="10" t="str">
        <f>"FES1162645889"</f>
        <v>FES1162645889</v>
      </c>
      <c r="D856" s="10" t="s">
        <v>19</v>
      </c>
      <c r="E856" s="10" t="s">
        <v>599</v>
      </c>
      <c r="F856" s="10" t="str">
        <f>"2170647487 "</f>
        <v xml:space="preserve">2170647487 </v>
      </c>
      <c r="G856" s="10" t="str">
        <f t="shared" si="23"/>
        <v>ON1</v>
      </c>
      <c r="H856" s="10" t="s">
        <v>21</v>
      </c>
      <c r="I856" s="10" t="s">
        <v>187</v>
      </c>
      <c r="J856" s="10" t="str">
        <f>""</f>
        <v/>
      </c>
      <c r="K856" s="10" t="str">
        <f>"PFES1162645889_0001"</f>
        <v>PFES1162645889_0001</v>
      </c>
      <c r="L856" s="10">
        <v>1</v>
      </c>
      <c r="M856" s="10">
        <v>1</v>
      </c>
    </row>
    <row r="857" spans="1:13">
      <c r="A857" s="8">
        <v>43350</v>
      </c>
      <c r="B857" s="9">
        <v>0.4993055555555555</v>
      </c>
      <c r="C857" s="10" t="str">
        <f>"FES1162645880"</f>
        <v>FES1162645880</v>
      </c>
      <c r="D857" s="10" t="s">
        <v>19</v>
      </c>
      <c r="E857" s="10" t="s">
        <v>600</v>
      </c>
      <c r="F857" s="10" t="str">
        <f>"2170650757 "</f>
        <v xml:space="preserve">2170650757 </v>
      </c>
      <c r="G857" s="10" t="str">
        <f t="shared" si="23"/>
        <v>ON1</v>
      </c>
      <c r="H857" s="10" t="s">
        <v>21</v>
      </c>
      <c r="I857" s="10" t="s">
        <v>601</v>
      </c>
      <c r="J857" s="10" t="str">
        <f>""</f>
        <v/>
      </c>
      <c r="K857" s="10" t="str">
        <f>"PFES1162645880_0001"</f>
        <v>PFES1162645880_0001</v>
      </c>
      <c r="L857" s="10">
        <v>1</v>
      </c>
      <c r="M857" s="10">
        <v>1</v>
      </c>
    </row>
    <row r="858" spans="1:13">
      <c r="A858" s="8">
        <v>43350</v>
      </c>
      <c r="B858" s="9">
        <v>0.49861111111111112</v>
      </c>
      <c r="C858" s="10" t="str">
        <f>"FES1162645882"</f>
        <v>FES1162645882</v>
      </c>
      <c r="D858" s="10" t="s">
        <v>19</v>
      </c>
      <c r="E858" s="10" t="s">
        <v>602</v>
      </c>
      <c r="F858" s="10" t="str">
        <f>"2170650759 "</f>
        <v xml:space="preserve">2170650759 </v>
      </c>
      <c r="G858" s="10" t="str">
        <f t="shared" si="23"/>
        <v>ON1</v>
      </c>
      <c r="H858" s="10" t="s">
        <v>21</v>
      </c>
      <c r="I858" s="10" t="s">
        <v>603</v>
      </c>
      <c r="J858" s="10" t="str">
        <f>""</f>
        <v/>
      </c>
      <c r="K858" s="10" t="str">
        <f>"PFES1162645882_0001"</f>
        <v>PFES1162645882_0001</v>
      </c>
      <c r="L858" s="10">
        <v>1</v>
      </c>
      <c r="M858" s="10">
        <v>5</v>
      </c>
    </row>
    <row r="859" spans="1:13">
      <c r="A859" s="8">
        <v>43350</v>
      </c>
      <c r="B859" s="9">
        <v>0.49861111111111112</v>
      </c>
      <c r="C859" s="10" t="str">
        <f>"FES1162645902"</f>
        <v>FES1162645902</v>
      </c>
      <c r="D859" s="10" t="s">
        <v>19</v>
      </c>
      <c r="E859" s="10" t="s">
        <v>604</v>
      </c>
      <c r="F859" s="10" t="str">
        <f>"2170648758 "</f>
        <v xml:space="preserve">2170648758 </v>
      </c>
      <c r="G859" s="10" t="str">
        <f t="shared" si="23"/>
        <v>ON1</v>
      </c>
      <c r="H859" s="10" t="s">
        <v>21</v>
      </c>
      <c r="I859" s="10" t="s">
        <v>486</v>
      </c>
      <c r="J859" s="10" t="str">
        <f>""</f>
        <v/>
      </c>
      <c r="K859" s="10" t="str">
        <f>"PFES1162645902_0001"</f>
        <v>PFES1162645902_0001</v>
      </c>
      <c r="L859" s="10">
        <v>1</v>
      </c>
      <c r="M859" s="10">
        <v>1</v>
      </c>
    </row>
    <row r="860" spans="1:13">
      <c r="A860" s="8">
        <v>43350</v>
      </c>
      <c r="B860" s="9">
        <v>0.49861111111111112</v>
      </c>
      <c r="C860" s="10" t="str">
        <f>"FES1162645912"</f>
        <v>FES1162645912</v>
      </c>
      <c r="D860" s="10" t="s">
        <v>19</v>
      </c>
      <c r="E860" s="10" t="s">
        <v>605</v>
      </c>
      <c r="F860" s="10" t="str">
        <f>"2170650777 "</f>
        <v xml:space="preserve">2170650777 </v>
      </c>
      <c r="G860" s="10" t="str">
        <f t="shared" si="23"/>
        <v>ON1</v>
      </c>
      <c r="H860" s="10" t="s">
        <v>21</v>
      </c>
      <c r="I860" s="10" t="s">
        <v>606</v>
      </c>
      <c r="J860" s="10" t="str">
        <f>""</f>
        <v/>
      </c>
      <c r="K860" s="10" t="str">
        <f>"PFES1162645912_0001"</f>
        <v>PFES1162645912_0001</v>
      </c>
      <c r="L860" s="10">
        <v>1</v>
      </c>
      <c r="M860" s="10">
        <v>1</v>
      </c>
    </row>
    <row r="861" spans="1:13">
      <c r="A861" s="8">
        <v>43350</v>
      </c>
      <c r="B861" s="9">
        <v>0.49791666666666662</v>
      </c>
      <c r="C861" s="10" t="str">
        <f>"FES1162645867"</f>
        <v>FES1162645867</v>
      </c>
      <c r="D861" s="10" t="s">
        <v>19</v>
      </c>
      <c r="E861" s="10" t="s">
        <v>607</v>
      </c>
      <c r="F861" s="10" t="str">
        <f>"2170650714 "</f>
        <v xml:space="preserve">2170650714 </v>
      </c>
      <c r="G861" s="10" t="str">
        <f t="shared" si="23"/>
        <v>ON1</v>
      </c>
      <c r="H861" s="10" t="s">
        <v>21</v>
      </c>
      <c r="I861" s="10" t="s">
        <v>24</v>
      </c>
      <c r="J861" s="10" t="str">
        <f>""</f>
        <v/>
      </c>
      <c r="K861" s="10" t="str">
        <f>"PFES1162645867_0001"</f>
        <v>PFES1162645867_0001</v>
      </c>
      <c r="L861" s="10">
        <v>1</v>
      </c>
      <c r="M861" s="10">
        <v>1</v>
      </c>
    </row>
    <row r="862" spans="1:13">
      <c r="A862" s="8">
        <v>43350</v>
      </c>
      <c r="B862" s="9">
        <v>0.49791666666666662</v>
      </c>
      <c r="C862" s="10" t="str">
        <f>"FES1162645829"</f>
        <v>FES1162645829</v>
      </c>
      <c r="D862" s="10" t="s">
        <v>19</v>
      </c>
      <c r="E862" s="10" t="s">
        <v>398</v>
      </c>
      <c r="F862" s="10" t="str">
        <f>"2170650583 "</f>
        <v xml:space="preserve">2170650583 </v>
      </c>
      <c r="G862" s="10" t="str">
        <f t="shared" si="23"/>
        <v>ON1</v>
      </c>
      <c r="H862" s="10" t="s">
        <v>21</v>
      </c>
      <c r="I862" s="10" t="s">
        <v>89</v>
      </c>
      <c r="J862" s="10" t="str">
        <f>""</f>
        <v/>
      </c>
      <c r="K862" s="10" t="str">
        <f>"PFES1162645829_0001"</f>
        <v>PFES1162645829_0001</v>
      </c>
      <c r="L862" s="10">
        <v>1</v>
      </c>
      <c r="M862" s="10">
        <v>1</v>
      </c>
    </row>
    <row r="863" spans="1:13">
      <c r="A863" s="8">
        <v>43350</v>
      </c>
      <c r="B863" s="9">
        <v>0.49722222222222223</v>
      </c>
      <c r="C863" s="10" t="str">
        <f>"FES1162645851"</f>
        <v>FES1162645851</v>
      </c>
      <c r="D863" s="10" t="s">
        <v>19</v>
      </c>
      <c r="E863" s="10" t="s">
        <v>326</v>
      </c>
      <c r="F863" s="10" t="str">
        <f>"2170650734 "</f>
        <v xml:space="preserve">2170650734 </v>
      </c>
      <c r="G863" s="10" t="str">
        <f t="shared" si="23"/>
        <v>ON1</v>
      </c>
      <c r="H863" s="10" t="s">
        <v>21</v>
      </c>
      <c r="I863" s="10" t="s">
        <v>277</v>
      </c>
      <c r="J863" s="10" t="str">
        <f>""</f>
        <v/>
      </c>
      <c r="K863" s="10" t="str">
        <f>"PFES1162645851_0001"</f>
        <v>PFES1162645851_0001</v>
      </c>
      <c r="L863" s="10">
        <v>1</v>
      </c>
      <c r="M863" s="10">
        <v>1</v>
      </c>
    </row>
    <row r="864" spans="1:13">
      <c r="A864" s="8">
        <v>43350</v>
      </c>
      <c r="B864" s="9">
        <v>0.49722222222222223</v>
      </c>
      <c r="C864" s="10" t="str">
        <f>"FES1162645852"</f>
        <v>FES1162645852</v>
      </c>
      <c r="D864" s="10" t="s">
        <v>19</v>
      </c>
      <c r="E864" s="10" t="s">
        <v>151</v>
      </c>
      <c r="F864" s="10" t="str">
        <f>"2170650735 "</f>
        <v xml:space="preserve">2170650735 </v>
      </c>
      <c r="G864" s="10" t="str">
        <f t="shared" si="23"/>
        <v>ON1</v>
      </c>
      <c r="H864" s="10" t="s">
        <v>21</v>
      </c>
      <c r="I864" s="10" t="s">
        <v>152</v>
      </c>
      <c r="J864" s="10" t="str">
        <f>""</f>
        <v/>
      </c>
      <c r="K864" s="10" t="str">
        <f>"PFES1162645852_0001"</f>
        <v>PFES1162645852_0001</v>
      </c>
      <c r="L864" s="10">
        <v>1</v>
      </c>
      <c r="M864" s="10">
        <v>4</v>
      </c>
    </row>
    <row r="865" spans="1:13">
      <c r="A865" s="8">
        <v>43350</v>
      </c>
      <c r="B865" s="9">
        <v>0.49722222222222223</v>
      </c>
      <c r="C865" s="10" t="str">
        <f>"FES1162645850"</f>
        <v>FES1162645850</v>
      </c>
      <c r="D865" s="10" t="s">
        <v>19</v>
      </c>
      <c r="E865" s="10" t="s">
        <v>576</v>
      </c>
      <c r="F865" s="10" t="str">
        <f>"2170645921 "</f>
        <v xml:space="preserve">2170645921 </v>
      </c>
      <c r="G865" s="10" t="str">
        <f t="shared" si="23"/>
        <v>ON1</v>
      </c>
      <c r="H865" s="10" t="s">
        <v>21</v>
      </c>
      <c r="I865" s="10" t="s">
        <v>554</v>
      </c>
      <c r="J865" s="10" t="str">
        <f>""</f>
        <v/>
      </c>
      <c r="K865" s="10" t="str">
        <f>"PFES1162645850_0001"</f>
        <v>PFES1162645850_0001</v>
      </c>
      <c r="L865" s="10">
        <v>1</v>
      </c>
      <c r="M865" s="10">
        <v>1</v>
      </c>
    </row>
    <row r="866" spans="1:13">
      <c r="A866" s="8">
        <v>43350</v>
      </c>
      <c r="B866" s="9">
        <v>0.49652777777777773</v>
      </c>
      <c r="C866" s="10" t="str">
        <f>"FES1162645814"</f>
        <v>FES1162645814</v>
      </c>
      <c r="D866" s="10" t="s">
        <v>19</v>
      </c>
      <c r="E866" s="10" t="s">
        <v>608</v>
      </c>
      <c r="F866" s="10" t="str">
        <f>"2170642860 "</f>
        <v xml:space="preserve">2170642860 </v>
      </c>
      <c r="G866" s="10" t="str">
        <f t="shared" si="23"/>
        <v>ON1</v>
      </c>
      <c r="H866" s="10" t="s">
        <v>21</v>
      </c>
      <c r="I866" s="10" t="s">
        <v>609</v>
      </c>
      <c r="J866" s="10" t="str">
        <f>""</f>
        <v/>
      </c>
      <c r="K866" s="10" t="str">
        <f>"PFES1162645814_0001"</f>
        <v>PFES1162645814_0001</v>
      </c>
      <c r="L866" s="10">
        <v>1</v>
      </c>
      <c r="M866" s="10">
        <v>1</v>
      </c>
    </row>
    <row r="867" spans="1:13">
      <c r="A867" s="8">
        <v>43350</v>
      </c>
      <c r="B867" s="9">
        <v>0.49652777777777773</v>
      </c>
      <c r="C867" s="10" t="str">
        <f>"FES1162645936"</f>
        <v>FES1162645936</v>
      </c>
      <c r="D867" s="10" t="s">
        <v>19</v>
      </c>
      <c r="E867" s="10" t="s">
        <v>422</v>
      </c>
      <c r="F867" s="10" t="str">
        <f>"2170650811 "</f>
        <v xml:space="preserve">2170650811 </v>
      </c>
      <c r="G867" s="10" t="str">
        <f t="shared" si="23"/>
        <v>ON1</v>
      </c>
      <c r="H867" s="10" t="s">
        <v>21</v>
      </c>
      <c r="I867" s="10" t="s">
        <v>42</v>
      </c>
      <c r="J867" s="10" t="str">
        <f>""</f>
        <v/>
      </c>
      <c r="K867" s="10" t="str">
        <f>"PFES1162645936_0001"</f>
        <v>PFES1162645936_0001</v>
      </c>
      <c r="L867" s="10">
        <v>1</v>
      </c>
      <c r="M867" s="10">
        <v>1</v>
      </c>
    </row>
    <row r="868" spans="1:13">
      <c r="A868" s="8">
        <v>43350</v>
      </c>
      <c r="B868" s="9">
        <v>0.49652777777777773</v>
      </c>
      <c r="C868" s="10" t="str">
        <f>"FES1162645833"</f>
        <v>FES1162645833</v>
      </c>
      <c r="D868" s="10" t="s">
        <v>19</v>
      </c>
      <c r="E868" s="10" t="s">
        <v>610</v>
      </c>
      <c r="F868" s="10" t="str">
        <f>"2170650692 "</f>
        <v xml:space="preserve">2170650692 </v>
      </c>
      <c r="G868" s="10" t="str">
        <f t="shared" si="23"/>
        <v>ON1</v>
      </c>
      <c r="H868" s="10" t="s">
        <v>21</v>
      </c>
      <c r="I868" s="10" t="s">
        <v>124</v>
      </c>
      <c r="J868" s="10" t="str">
        <f>""</f>
        <v/>
      </c>
      <c r="K868" s="10" t="str">
        <f>"PFES1162645833_0001"</f>
        <v>PFES1162645833_0001</v>
      </c>
      <c r="L868" s="10">
        <v>1</v>
      </c>
      <c r="M868" s="10">
        <v>11</v>
      </c>
    </row>
    <row r="869" spans="1:13">
      <c r="A869" s="8">
        <v>43350</v>
      </c>
      <c r="B869" s="9">
        <v>0.49583333333333335</v>
      </c>
      <c r="C869" s="10" t="str">
        <f>"FES1162645848"</f>
        <v>FES1162645848</v>
      </c>
      <c r="D869" s="10" t="s">
        <v>19</v>
      </c>
      <c r="E869" s="10" t="s">
        <v>144</v>
      </c>
      <c r="F869" s="10" t="str">
        <f>"2170650727 "</f>
        <v xml:space="preserve">2170650727 </v>
      </c>
      <c r="G869" s="10" t="str">
        <f t="shared" si="23"/>
        <v>ON1</v>
      </c>
      <c r="H869" s="10" t="s">
        <v>21</v>
      </c>
      <c r="I869" s="10" t="s">
        <v>145</v>
      </c>
      <c r="J869" s="10" t="str">
        <f>""</f>
        <v/>
      </c>
      <c r="K869" s="10" t="str">
        <f>"PFES1162645848_0001"</f>
        <v>PFES1162645848_0001</v>
      </c>
      <c r="L869" s="10">
        <v>1</v>
      </c>
      <c r="M869" s="10">
        <v>7</v>
      </c>
    </row>
    <row r="870" spans="1:13">
      <c r="A870" s="8">
        <v>43350</v>
      </c>
      <c r="B870" s="9">
        <v>0.49305555555555558</v>
      </c>
      <c r="C870" s="10" t="str">
        <f>"FES1162645887"</f>
        <v>FES1162645887</v>
      </c>
      <c r="D870" s="10" t="s">
        <v>19</v>
      </c>
      <c r="E870" s="10" t="s">
        <v>120</v>
      </c>
      <c r="F870" s="10" t="str">
        <f>"2170646501 "</f>
        <v xml:space="preserve">2170646501 </v>
      </c>
      <c r="G870" s="10" t="str">
        <f t="shared" si="23"/>
        <v>ON1</v>
      </c>
      <c r="H870" s="10" t="s">
        <v>21</v>
      </c>
      <c r="I870" s="10" t="s">
        <v>66</v>
      </c>
      <c r="J870" s="10" t="str">
        <f>""</f>
        <v/>
      </c>
      <c r="K870" s="10" t="str">
        <f>"PFES1162645887_0001"</f>
        <v>PFES1162645887_0001</v>
      </c>
      <c r="L870" s="10">
        <v>1</v>
      </c>
      <c r="M870" s="10">
        <v>7</v>
      </c>
    </row>
    <row r="871" spans="1:13">
      <c r="A871" s="8">
        <v>43350</v>
      </c>
      <c r="B871" s="9">
        <v>0.4916666666666667</v>
      </c>
      <c r="C871" s="10" t="str">
        <f>"FES1162645925"</f>
        <v>FES1162645925</v>
      </c>
      <c r="D871" s="10" t="s">
        <v>19</v>
      </c>
      <c r="E871" s="10" t="s">
        <v>27</v>
      </c>
      <c r="F871" s="10" t="str">
        <f>"2170650801 "</f>
        <v xml:space="preserve">2170650801 </v>
      </c>
      <c r="G871" s="10" t="str">
        <f t="shared" si="23"/>
        <v>ON1</v>
      </c>
      <c r="H871" s="10" t="s">
        <v>21</v>
      </c>
      <c r="I871" s="10" t="s">
        <v>28</v>
      </c>
      <c r="J871" s="10" t="str">
        <f>""</f>
        <v/>
      </c>
      <c r="K871" s="10" t="str">
        <f>"PFES1162645925_0001"</f>
        <v>PFES1162645925_0001</v>
      </c>
      <c r="L871" s="10">
        <v>1</v>
      </c>
      <c r="M871" s="10">
        <v>1</v>
      </c>
    </row>
    <row r="872" spans="1:13">
      <c r="A872" s="8">
        <v>43350</v>
      </c>
      <c r="B872" s="9">
        <v>0.49027777777777781</v>
      </c>
      <c r="C872" s="10" t="str">
        <f>"FES1162645930"</f>
        <v>FES1162645930</v>
      </c>
      <c r="D872" s="10" t="s">
        <v>19</v>
      </c>
      <c r="E872" s="10" t="s">
        <v>419</v>
      </c>
      <c r="F872" s="10" t="str">
        <f>"2170648777 "</f>
        <v xml:space="preserve">2170648777 </v>
      </c>
      <c r="G872" s="10" t="str">
        <f t="shared" si="23"/>
        <v>ON1</v>
      </c>
      <c r="H872" s="10" t="s">
        <v>21</v>
      </c>
      <c r="I872" s="10" t="s">
        <v>420</v>
      </c>
      <c r="J872" s="10" t="str">
        <f>""</f>
        <v/>
      </c>
      <c r="K872" s="10" t="str">
        <f>"PFES1162645930_0001"</f>
        <v>PFES1162645930_0001</v>
      </c>
      <c r="L872" s="10">
        <v>1</v>
      </c>
      <c r="M872" s="10">
        <v>11</v>
      </c>
    </row>
    <row r="873" spans="1:13">
      <c r="A873" s="8">
        <v>43350</v>
      </c>
      <c r="B873" s="9">
        <v>0.48958333333333331</v>
      </c>
      <c r="C873" s="10" t="str">
        <f>"FES1162645908"</f>
        <v>FES1162645908</v>
      </c>
      <c r="D873" s="10" t="s">
        <v>19</v>
      </c>
      <c r="E873" s="10" t="s">
        <v>611</v>
      </c>
      <c r="F873" s="10" t="str">
        <f>"2170650771 "</f>
        <v xml:space="preserve">2170650771 </v>
      </c>
      <c r="G873" s="10" t="str">
        <f t="shared" si="23"/>
        <v>ON1</v>
      </c>
      <c r="H873" s="10" t="s">
        <v>21</v>
      </c>
      <c r="I873" s="10" t="s">
        <v>189</v>
      </c>
      <c r="J873" s="10" t="str">
        <f>""</f>
        <v/>
      </c>
      <c r="K873" s="10" t="str">
        <f>"PFES1162645908_0001"</f>
        <v>PFES1162645908_0001</v>
      </c>
      <c r="L873" s="10">
        <v>1</v>
      </c>
      <c r="M873" s="10">
        <v>3</v>
      </c>
    </row>
    <row r="874" spans="1:13">
      <c r="A874" s="8">
        <v>43350</v>
      </c>
      <c r="B874" s="9">
        <v>0.48819444444444443</v>
      </c>
      <c r="C874" s="10" t="str">
        <f>"FES1162645866"</f>
        <v>FES1162645866</v>
      </c>
      <c r="D874" s="10" t="s">
        <v>19</v>
      </c>
      <c r="E874" s="10" t="s">
        <v>607</v>
      </c>
      <c r="F874" s="10" t="str">
        <f>"2170650711 "</f>
        <v xml:space="preserve">2170650711 </v>
      </c>
      <c r="G874" s="10" t="str">
        <f t="shared" si="23"/>
        <v>ON1</v>
      </c>
      <c r="H874" s="10" t="s">
        <v>21</v>
      </c>
      <c r="I874" s="10" t="s">
        <v>24</v>
      </c>
      <c r="J874" s="10" t="str">
        <f>""</f>
        <v/>
      </c>
      <c r="K874" s="10" t="str">
        <f>"PFES1162645866_0001"</f>
        <v>PFES1162645866_0001</v>
      </c>
      <c r="L874" s="10">
        <v>1</v>
      </c>
      <c r="M874" s="10">
        <v>2</v>
      </c>
    </row>
    <row r="875" spans="1:13">
      <c r="A875" s="8">
        <v>43350</v>
      </c>
      <c r="B875" s="9">
        <v>0.48749999999999999</v>
      </c>
      <c r="C875" s="10" t="str">
        <f>"FES1162645837"</f>
        <v>FES1162645837</v>
      </c>
      <c r="D875" s="10" t="s">
        <v>19</v>
      </c>
      <c r="E875" s="10" t="s">
        <v>361</v>
      </c>
      <c r="F875" s="10" t="str">
        <f>"2170650704 "</f>
        <v xml:space="preserve">2170650704 </v>
      </c>
      <c r="G875" s="10" t="str">
        <f t="shared" si="23"/>
        <v>ON1</v>
      </c>
      <c r="H875" s="10" t="s">
        <v>21</v>
      </c>
      <c r="I875" s="10" t="s">
        <v>107</v>
      </c>
      <c r="J875" s="10" t="str">
        <f>""</f>
        <v/>
      </c>
      <c r="K875" s="10" t="str">
        <f>"PFES1162645837_0001"</f>
        <v>PFES1162645837_0001</v>
      </c>
      <c r="L875" s="10">
        <v>1</v>
      </c>
      <c r="M875" s="10">
        <v>6</v>
      </c>
    </row>
    <row r="876" spans="1:13">
      <c r="A876" s="8">
        <v>43350</v>
      </c>
      <c r="B876" s="9">
        <v>0.4861111111111111</v>
      </c>
      <c r="C876" s="10" t="str">
        <f>"FES1162645840"</f>
        <v>FES1162645840</v>
      </c>
      <c r="D876" s="10" t="s">
        <v>19</v>
      </c>
      <c r="E876" s="10" t="s">
        <v>58</v>
      </c>
      <c r="F876" s="10" t="str">
        <f>"2170650709 "</f>
        <v xml:space="preserve">2170650709 </v>
      </c>
      <c r="G876" s="10" t="str">
        <f t="shared" si="23"/>
        <v>ON1</v>
      </c>
      <c r="H876" s="10" t="s">
        <v>21</v>
      </c>
      <c r="I876" s="10" t="s">
        <v>30</v>
      </c>
      <c r="J876" s="10" t="str">
        <f>""</f>
        <v/>
      </c>
      <c r="K876" s="10" t="str">
        <f>"PFES1162645840_0001"</f>
        <v>PFES1162645840_0001</v>
      </c>
      <c r="L876" s="10">
        <v>1</v>
      </c>
      <c r="M876" s="10">
        <v>1</v>
      </c>
    </row>
    <row r="877" spans="1:13">
      <c r="A877" s="8">
        <v>43350</v>
      </c>
      <c r="B877" s="9">
        <v>0.48541666666666666</v>
      </c>
      <c r="C877" s="10" t="str">
        <f>"FES1162645813"</f>
        <v>FES1162645813</v>
      </c>
      <c r="D877" s="10" t="s">
        <v>19</v>
      </c>
      <c r="E877" s="10" t="s">
        <v>228</v>
      </c>
      <c r="F877" s="10" t="str">
        <f>"2170650688 "</f>
        <v xml:space="preserve">2170650688 </v>
      </c>
      <c r="G877" s="10" t="str">
        <f t="shared" si="23"/>
        <v>ON1</v>
      </c>
      <c r="H877" s="10" t="s">
        <v>21</v>
      </c>
      <c r="I877" s="10" t="s">
        <v>229</v>
      </c>
      <c r="J877" s="10" t="str">
        <f>""</f>
        <v/>
      </c>
      <c r="K877" s="10" t="str">
        <f>"PFES1162645813_0001"</f>
        <v>PFES1162645813_0001</v>
      </c>
      <c r="L877" s="10">
        <v>1</v>
      </c>
      <c r="M877" s="10">
        <v>3</v>
      </c>
    </row>
    <row r="878" spans="1:13">
      <c r="A878" s="8">
        <v>43350</v>
      </c>
      <c r="B878" s="9">
        <v>0.48402777777777778</v>
      </c>
      <c r="C878" s="10" t="str">
        <f>"FES1162645869"</f>
        <v>FES1162645869</v>
      </c>
      <c r="D878" s="10" t="s">
        <v>19</v>
      </c>
      <c r="E878" s="10" t="s">
        <v>612</v>
      </c>
      <c r="F878" s="10" t="str">
        <f>"2170650749 "</f>
        <v xml:space="preserve">2170650749 </v>
      </c>
      <c r="G878" s="10" t="str">
        <f t="shared" si="23"/>
        <v>ON1</v>
      </c>
      <c r="H878" s="10" t="s">
        <v>21</v>
      </c>
      <c r="I878" s="10" t="s">
        <v>613</v>
      </c>
      <c r="J878" s="10" t="str">
        <f>""</f>
        <v/>
      </c>
      <c r="K878" s="10" t="str">
        <f>"PFES1162645869_0001"</f>
        <v>PFES1162645869_0001</v>
      </c>
      <c r="L878" s="10">
        <v>1</v>
      </c>
      <c r="M878" s="10">
        <v>4</v>
      </c>
    </row>
    <row r="879" spans="1:13">
      <c r="A879" s="8">
        <v>43350</v>
      </c>
      <c r="B879" s="9">
        <v>0.48333333333333334</v>
      </c>
      <c r="C879" s="10" t="str">
        <f>"FES1162645842"</f>
        <v>FES1162645842</v>
      </c>
      <c r="D879" s="10" t="s">
        <v>19</v>
      </c>
      <c r="E879" s="10" t="s">
        <v>228</v>
      </c>
      <c r="F879" s="10" t="str">
        <f>"2170650713 "</f>
        <v xml:space="preserve">2170650713 </v>
      </c>
      <c r="G879" s="10" t="str">
        <f t="shared" si="23"/>
        <v>ON1</v>
      </c>
      <c r="H879" s="10" t="s">
        <v>21</v>
      </c>
      <c r="I879" s="10" t="s">
        <v>229</v>
      </c>
      <c r="J879" s="10" t="str">
        <f>""</f>
        <v/>
      </c>
      <c r="K879" s="10" t="str">
        <f>"PFES1162645842_0001"</f>
        <v>PFES1162645842_0001</v>
      </c>
      <c r="L879" s="10">
        <v>1</v>
      </c>
      <c r="M879" s="10">
        <v>3</v>
      </c>
    </row>
    <row r="880" spans="1:13">
      <c r="A880" s="8">
        <v>43350</v>
      </c>
      <c r="B880" s="9">
        <v>0.48194444444444445</v>
      </c>
      <c r="C880" s="10" t="str">
        <f>"FES1162645838"</f>
        <v>FES1162645838</v>
      </c>
      <c r="D880" s="10" t="s">
        <v>19</v>
      </c>
      <c r="E880" s="10" t="s">
        <v>358</v>
      </c>
      <c r="F880" s="10" t="str">
        <f>"2170650705 "</f>
        <v xml:space="preserve">2170650705 </v>
      </c>
      <c r="G880" s="10" t="str">
        <f t="shared" si="23"/>
        <v>ON1</v>
      </c>
      <c r="H880" s="10" t="s">
        <v>21</v>
      </c>
      <c r="I880" s="10" t="s">
        <v>42</v>
      </c>
      <c r="J880" s="10" t="str">
        <f>""</f>
        <v/>
      </c>
      <c r="K880" s="10" t="str">
        <f>"PFES1162645838_0001"</f>
        <v>PFES1162645838_0001</v>
      </c>
      <c r="L880" s="10">
        <v>1</v>
      </c>
      <c r="M880" s="10">
        <v>5</v>
      </c>
    </row>
    <row r="881" spans="1:13">
      <c r="A881" s="8">
        <v>43350</v>
      </c>
      <c r="B881" s="9">
        <v>0.48055555555555557</v>
      </c>
      <c r="C881" s="10" t="str">
        <f>"FES1162645802"</f>
        <v>FES1162645802</v>
      </c>
      <c r="D881" s="10" t="s">
        <v>19</v>
      </c>
      <c r="E881" s="10" t="s">
        <v>614</v>
      </c>
      <c r="F881" s="10" t="str">
        <f>"2170650681 "</f>
        <v xml:space="preserve">2170650681 </v>
      </c>
      <c r="G881" s="10" t="str">
        <f t="shared" si="23"/>
        <v>ON1</v>
      </c>
      <c r="H881" s="10" t="s">
        <v>21</v>
      </c>
      <c r="I881" s="10" t="s">
        <v>189</v>
      </c>
      <c r="J881" s="10" t="str">
        <f>""</f>
        <v/>
      </c>
      <c r="K881" s="10" t="str">
        <f>"PFES1162645802_0001"</f>
        <v>PFES1162645802_0001</v>
      </c>
      <c r="L881" s="10">
        <v>1</v>
      </c>
      <c r="M881" s="10">
        <v>3</v>
      </c>
    </row>
    <row r="882" spans="1:13">
      <c r="A882" s="8">
        <v>43350</v>
      </c>
      <c r="B882" s="9">
        <v>0.47986111111111113</v>
      </c>
      <c r="C882" s="10" t="str">
        <f>"FES1162645822"</f>
        <v>FES1162645822</v>
      </c>
      <c r="D882" s="10" t="s">
        <v>19</v>
      </c>
      <c r="E882" s="10" t="s">
        <v>573</v>
      </c>
      <c r="F882" s="10" t="str">
        <f>"2170649076 "</f>
        <v xml:space="preserve">2170649076 </v>
      </c>
      <c r="G882" s="10" t="str">
        <f t="shared" si="23"/>
        <v>ON1</v>
      </c>
      <c r="H882" s="10" t="s">
        <v>21</v>
      </c>
      <c r="I882" s="10" t="s">
        <v>105</v>
      </c>
      <c r="J882" s="10" t="str">
        <f>""</f>
        <v/>
      </c>
      <c r="K882" s="10" t="str">
        <f>"PFES1162645822_0001"</f>
        <v>PFES1162645822_0001</v>
      </c>
      <c r="L882" s="10">
        <v>1</v>
      </c>
      <c r="M882" s="10">
        <v>7</v>
      </c>
    </row>
    <row r="883" spans="1:13">
      <c r="A883" s="8">
        <v>43350</v>
      </c>
      <c r="B883" s="9">
        <v>0.47847222222222219</v>
      </c>
      <c r="C883" s="10" t="str">
        <f>"FES1162645832"</f>
        <v>FES1162645832</v>
      </c>
      <c r="D883" s="10" t="s">
        <v>19</v>
      </c>
      <c r="E883" s="10" t="s">
        <v>615</v>
      </c>
      <c r="F883" s="10" t="str">
        <f>"2170650689 "</f>
        <v xml:space="preserve">2170650689 </v>
      </c>
      <c r="G883" s="10" t="str">
        <f t="shared" si="23"/>
        <v>ON1</v>
      </c>
      <c r="H883" s="10" t="s">
        <v>21</v>
      </c>
      <c r="I883" s="10" t="s">
        <v>57</v>
      </c>
      <c r="J883" s="10" t="str">
        <f>""</f>
        <v/>
      </c>
      <c r="K883" s="10" t="str">
        <f>"PFES1162645832_0001"</f>
        <v>PFES1162645832_0001</v>
      </c>
      <c r="L883" s="10">
        <v>1</v>
      </c>
      <c r="M883" s="10">
        <v>3</v>
      </c>
    </row>
    <row r="884" spans="1:13">
      <c r="A884" s="8">
        <v>43350</v>
      </c>
      <c r="B884" s="9">
        <v>0.4770833333333333</v>
      </c>
      <c r="C884" s="10" t="str">
        <f>"FES1162645854"</f>
        <v>FES1162645854</v>
      </c>
      <c r="D884" s="10" t="s">
        <v>19</v>
      </c>
      <c r="E884" s="10" t="s">
        <v>616</v>
      </c>
      <c r="F884" s="10" t="str">
        <f>"2170650738 "</f>
        <v xml:space="preserve">2170650738 </v>
      </c>
      <c r="G884" s="10" t="str">
        <f t="shared" si="23"/>
        <v>ON1</v>
      </c>
      <c r="H884" s="10" t="s">
        <v>21</v>
      </c>
      <c r="I884" s="10" t="s">
        <v>617</v>
      </c>
      <c r="J884" s="10" t="str">
        <f>""</f>
        <v/>
      </c>
      <c r="K884" s="10" t="str">
        <f>"PFES1162645854_0001"</f>
        <v>PFES1162645854_0001</v>
      </c>
      <c r="L884" s="10">
        <v>2</v>
      </c>
      <c r="M884" s="10">
        <v>8</v>
      </c>
    </row>
    <row r="885" spans="1:13">
      <c r="A885" s="8">
        <v>43350</v>
      </c>
      <c r="B885" s="9">
        <v>0.47569444444444442</v>
      </c>
      <c r="C885" s="10" t="str">
        <f>"FES1162645870"</f>
        <v>FES1162645870</v>
      </c>
      <c r="D885" s="10" t="s">
        <v>19</v>
      </c>
      <c r="E885" s="10" t="s">
        <v>618</v>
      </c>
      <c r="F885" s="10" t="str">
        <f>"2170650750 "</f>
        <v xml:space="preserve">2170650750 </v>
      </c>
      <c r="G885" s="10" t="str">
        <f t="shared" si="23"/>
        <v>ON1</v>
      </c>
      <c r="H885" s="10" t="s">
        <v>21</v>
      </c>
      <c r="I885" s="10" t="s">
        <v>619</v>
      </c>
      <c r="J885" s="10" t="str">
        <f>""</f>
        <v/>
      </c>
      <c r="K885" s="10" t="str">
        <f>"PFES1162645870_0001"</f>
        <v>PFES1162645870_0001</v>
      </c>
      <c r="L885" s="10">
        <v>1</v>
      </c>
      <c r="M885" s="10">
        <v>5</v>
      </c>
    </row>
    <row r="886" spans="1:13">
      <c r="A886" s="8">
        <v>43350</v>
      </c>
      <c r="B886" s="9">
        <v>0.42777777777777781</v>
      </c>
      <c r="C886" s="10" t="str">
        <f>"FES1162645845"</f>
        <v>FES1162645845</v>
      </c>
      <c r="D886" s="10" t="s">
        <v>19</v>
      </c>
      <c r="E886" s="10" t="s">
        <v>350</v>
      </c>
      <c r="F886" s="10" t="str">
        <f>"2170650719 "</f>
        <v xml:space="preserve">2170650719 </v>
      </c>
      <c r="G886" s="10" t="str">
        <f t="shared" si="23"/>
        <v>ON1</v>
      </c>
      <c r="H886" s="10" t="s">
        <v>21</v>
      </c>
      <c r="I886" s="10" t="s">
        <v>80</v>
      </c>
      <c r="J886" s="10" t="str">
        <f>""</f>
        <v/>
      </c>
      <c r="K886" s="10" t="str">
        <f>"PFES1162645845_0001"</f>
        <v>PFES1162645845_0001</v>
      </c>
      <c r="L886" s="10">
        <v>1</v>
      </c>
      <c r="M886" s="10">
        <v>1</v>
      </c>
    </row>
    <row r="887" spans="1:13">
      <c r="A887" s="8">
        <v>43350</v>
      </c>
      <c r="B887" s="9">
        <v>0.42777777777777781</v>
      </c>
      <c r="C887" s="10" t="str">
        <f>"FES1162645835"</f>
        <v>FES1162645835</v>
      </c>
      <c r="D887" s="10" t="s">
        <v>19</v>
      </c>
      <c r="E887" s="10" t="s">
        <v>160</v>
      </c>
      <c r="F887" s="10" t="str">
        <f>"2170650698 "</f>
        <v xml:space="preserve">2170650698 </v>
      </c>
      <c r="G887" s="10" t="str">
        <f t="shared" si="23"/>
        <v>ON1</v>
      </c>
      <c r="H887" s="10" t="s">
        <v>21</v>
      </c>
      <c r="I887" s="10" t="s">
        <v>161</v>
      </c>
      <c r="J887" s="10" t="str">
        <f>""</f>
        <v/>
      </c>
      <c r="K887" s="10" t="str">
        <f>"PFES1162645835_0001"</f>
        <v>PFES1162645835_0001</v>
      </c>
      <c r="L887" s="10">
        <v>1</v>
      </c>
      <c r="M887" s="10">
        <v>1</v>
      </c>
    </row>
    <row r="888" spans="1:13">
      <c r="A888" s="8">
        <v>43350</v>
      </c>
      <c r="B888" s="9">
        <v>0.42708333333333331</v>
      </c>
      <c r="C888" s="10" t="str">
        <f>"FES1162645823"</f>
        <v>FES1162645823</v>
      </c>
      <c r="D888" s="10" t="s">
        <v>19</v>
      </c>
      <c r="E888" s="10" t="s">
        <v>307</v>
      </c>
      <c r="F888" s="10" t="str">
        <f>"2170649123 "</f>
        <v xml:space="preserve">2170649123 </v>
      </c>
      <c r="G888" s="10" t="str">
        <f t="shared" si="23"/>
        <v>ON1</v>
      </c>
      <c r="H888" s="10" t="s">
        <v>21</v>
      </c>
      <c r="I888" s="10" t="s">
        <v>308</v>
      </c>
      <c r="J888" s="10" t="str">
        <f>""</f>
        <v/>
      </c>
      <c r="K888" s="10" t="str">
        <f>"PFES1162645823_0001"</f>
        <v>PFES1162645823_0001</v>
      </c>
      <c r="L888" s="10">
        <v>1</v>
      </c>
      <c r="M888" s="10">
        <v>1</v>
      </c>
    </row>
    <row r="889" spans="1:13">
      <c r="A889" s="8">
        <v>43350</v>
      </c>
      <c r="B889" s="9">
        <v>0.42708333333333331</v>
      </c>
      <c r="C889" s="10" t="str">
        <f>"FES1162645816"</f>
        <v>FES1162645816</v>
      </c>
      <c r="D889" s="10" t="s">
        <v>19</v>
      </c>
      <c r="E889" s="10" t="s">
        <v>620</v>
      </c>
      <c r="F889" s="10" t="str">
        <f>"2170684828 "</f>
        <v xml:space="preserve">2170684828 </v>
      </c>
      <c r="G889" s="10" t="str">
        <f t="shared" si="23"/>
        <v>ON1</v>
      </c>
      <c r="H889" s="10" t="s">
        <v>21</v>
      </c>
      <c r="I889" s="10" t="s">
        <v>117</v>
      </c>
      <c r="J889" s="10" t="str">
        <f>""</f>
        <v/>
      </c>
      <c r="K889" s="10" t="str">
        <f>"PFES1162645816_0001"</f>
        <v>PFES1162645816_0001</v>
      </c>
      <c r="L889" s="10">
        <v>1</v>
      </c>
      <c r="M889" s="10">
        <v>1</v>
      </c>
    </row>
    <row r="890" spans="1:13">
      <c r="A890" s="8">
        <v>43350</v>
      </c>
      <c r="B890" s="9">
        <v>0.42638888888888887</v>
      </c>
      <c r="C890" s="10" t="str">
        <f>"FES1162645859"</f>
        <v>FES1162645859</v>
      </c>
      <c r="D890" s="10" t="s">
        <v>19</v>
      </c>
      <c r="E890" s="10" t="s">
        <v>494</v>
      </c>
      <c r="F890" s="10" t="str">
        <f>"2170650743 "</f>
        <v xml:space="preserve">2170650743 </v>
      </c>
      <c r="G890" s="10" t="str">
        <f t="shared" si="23"/>
        <v>ON1</v>
      </c>
      <c r="H890" s="10" t="s">
        <v>21</v>
      </c>
      <c r="I890" s="10" t="s">
        <v>495</v>
      </c>
      <c r="J890" s="10" t="str">
        <f>""</f>
        <v/>
      </c>
      <c r="K890" s="10" t="str">
        <f>"PFES1162645859_0001"</f>
        <v>PFES1162645859_0001</v>
      </c>
      <c r="L890" s="10">
        <v>1</v>
      </c>
      <c r="M890" s="10">
        <v>1</v>
      </c>
    </row>
    <row r="891" spans="1:13">
      <c r="A891" s="8">
        <v>43350</v>
      </c>
      <c r="B891" s="9">
        <v>0.42638888888888887</v>
      </c>
      <c r="C891" s="10" t="str">
        <f>"FES1162645860"</f>
        <v>FES1162645860</v>
      </c>
      <c r="D891" s="10" t="s">
        <v>19</v>
      </c>
      <c r="E891" s="10" t="s">
        <v>621</v>
      </c>
      <c r="F891" s="10" t="str">
        <f>"2170650744 "</f>
        <v xml:space="preserve">2170650744 </v>
      </c>
      <c r="G891" s="10" t="str">
        <f t="shared" si="23"/>
        <v>ON1</v>
      </c>
      <c r="H891" s="10" t="s">
        <v>21</v>
      </c>
      <c r="I891" s="10" t="s">
        <v>433</v>
      </c>
      <c r="J891" s="10" t="str">
        <f>""</f>
        <v/>
      </c>
      <c r="K891" s="10" t="str">
        <f>"PFES1162645860_0001"</f>
        <v>PFES1162645860_0001</v>
      </c>
      <c r="L891" s="10">
        <v>1</v>
      </c>
      <c r="M891" s="10">
        <v>1</v>
      </c>
    </row>
    <row r="892" spans="1:13">
      <c r="A892" s="8">
        <v>43350</v>
      </c>
      <c r="B892" s="9">
        <v>0.42638888888888887</v>
      </c>
      <c r="C892" s="10" t="str">
        <f>"FES1162645910"</f>
        <v>FES1162645910</v>
      </c>
      <c r="D892" s="10" t="s">
        <v>19</v>
      </c>
      <c r="E892" s="10" t="s">
        <v>245</v>
      </c>
      <c r="F892" s="10" t="str">
        <f>"2170650775 "</f>
        <v xml:space="preserve">2170650775 </v>
      </c>
      <c r="G892" s="10" t="str">
        <f t="shared" ref="G892:G955" si="24">"ON1"</f>
        <v>ON1</v>
      </c>
      <c r="H892" s="10" t="s">
        <v>21</v>
      </c>
      <c r="I892" s="10" t="s">
        <v>246</v>
      </c>
      <c r="J892" s="10" t="str">
        <f>""</f>
        <v/>
      </c>
      <c r="K892" s="10" t="str">
        <f>"PFES1162645910_0001"</f>
        <v>PFES1162645910_0001</v>
      </c>
      <c r="L892" s="10">
        <v>1</v>
      </c>
      <c r="M892" s="10">
        <v>1</v>
      </c>
    </row>
    <row r="893" spans="1:13">
      <c r="A893" s="8">
        <v>43350</v>
      </c>
      <c r="B893" s="9">
        <v>0.42569444444444443</v>
      </c>
      <c r="C893" s="10" t="str">
        <f>"FES1162645815"</f>
        <v>FES1162645815</v>
      </c>
      <c r="D893" s="10" t="s">
        <v>19</v>
      </c>
      <c r="E893" s="10" t="s">
        <v>162</v>
      </c>
      <c r="F893" s="10" t="str">
        <f>"2170648374 "</f>
        <v xml:space="preserve">2170648374 </v>
      </c>
      <c r="G893" s="10" t="str">
        <f t="shared" si="24"/>
        <v>ON1</v>
      </c>
      <c r="H893" s="10" t="s">
        <v>21</v>
      </c>
      <c r="I893" s="10" t="s">
        <v>30</v>
      </c>
      <c r="J893" s="10" t="str">
        <f>""</f>
        <v/>
      </c>
      <c r="K893" s="10" t="str">
        <f>"PFES1162645815_0001"</f>
        <v>PFES1162645815_0001</v>
      </c>
      <c r="L893" s="10">
        <v>1</v>
      </c>
      <c r="M893" s="10">
        <v>1</v>
      </c>
    </row>
    <row r="894" spans="1:13">
      <c r="A894" s="8">
        <v>43350</v>
      </c>
      <c r="B894" s="9">
        <v>0.42569444444444443</v>
      </c>
      <c r="C894" s="10" t="str">
        <f>"FES1162645849"</f>
        <v>FES1162645849</v>
      </c>
      <c r="D894" s="10" t="s">
        <v>19</v>
      </c>
      <c r="E894" s="10" t="s">
        <v>622</v>
      </c>
      <c r="F894" s="10" t="str">
        <f>"2170650732 "</f>
        <v xml:space="preserve">2170650732 </v>
      </c>
      <c r="G894" s="10" t="str">
        <f t="shared" si="24"/>
        <v>ON1</v>
      </c>
      <c r="H894" s="10" t="s">
        <v>21</v>
      </c>
      <c r="I894" s="10" t="s">
        <v>433</v>
      </c>
      <c r="J894" s="10" t="str">
        <f>""</f>
        <v/>
      </c>
      <c r="K894" s="10" t="str">
        <f>"PFES1162645849_0001"</f>
        <v>PFES1162645849_0001</v>
      </c>
      <c r="L894" s="10">
        <v>1</v>
      </c>
      <c r="M894" s="10">
        <v>1</v>
      </c>
    </row>
    <row r="895" spans="1:13">
      <c r="A895" s="8">
        <v>43350</v>
      </c>
      <c r="B895" s="9">
        <v>0.42499999999999999</v>
      </c>
      <c r="C895" s="10" t="str">
        <f>"FES1162645899"</f>
        <v>FES1162645899</v>
      </c>
      <c r="D895" s="10" t="s">
        <v>19</v>
      </c>
      <c r="E895" s="10" t="s">
        <v>220</v>
      </c>
      <c r="F895" s="10" t="str">
        <f>"2170648462 "</f>
        <v xml:space="preserve">2170648462 </v>
      </c>
      <c r="G895" s="10" t="str">
        <f t="shared" si="24"/>
        <v>ON1</v>
      </c>
      <c r="H895" s="10" t="s">
        <v>21</v>
      </c>
      <c r="I895" s="10" t="s">
        <v>126</v>
      </c>
      <c r="J895" s="10" t="str">
        <f>""</f>
        <v/>
      </c>
      <c r="K895" s="10" t="str">
        <f>"PFES1162645899_0001"</f>
        <v>PFES1162645899_0001</v>
      </c>
      <c r="L895" s="10">
        <v>1</v>
      </c>
      <c r="M895" s="10">
        <v>1</v>
      </c>
    </row>
    <row r="896" spans="1:13">
      <c r="A896" s="8">
        <v>43350</v>
      </c>
      <c r="B896" s="9">
        <v>0.42499999999999999</v>
      </c>
      <c r="C896" s="10" t="str">
        <f>"FES1162645827"</f>
        <v>FES1162645827</v>
      </c>
      <c r="D896" s="10" t="s">
        <v>19</v>
      </c>
      <c r="E896" s="10" t="s">
        <v>332</v>
      </c>
      <c r="F896" s="10" t="str">
        <f>"2170650419 "</f>
        <v xml:space="preserve">2170650419 </v>
      </c>
      <c r="G896" s="10" t="str">
        <f t="shared" si="24"/>
        <v>ON1</v>
      </c>
      <c r="H896" s="10" t="s">
        <v>21</v>
      </c>
      <c r="I896" s="10" t="s">
        <v>333</v>
      </c>
      <c r="J896" s="10" t="str">
        <f>""</f>
        <v/>
      </c>
      <c r="K896" s="10" t="str">
        <f>"PFES1162645827_0001"</f>
        <v>PFES1162645827_0001</v>
      </c>
      <c r="L896" s="10">
        <v>1</v>
      </c>
      <c r="M896" s="10">
        <v>1</v>
      </c>
    </row>
    <row r="897" spans="1:13">
      <c r="A897" s="8">
        <v>43350</v>
      </c>
      <c r="B897" s="9">
        <v>0.41875000000000001</v>
      </c>
      <c r="C897" s="10" t="str">
        <f>"FES1162645826"</f>
        <v>FES1162645826</v>
      </c>
      <c r="D897" s="10" t="s">
        <v>19</v>
      </c>
      <c r="E897" s="10" t="s">
        <v>623</v>
      </c>
      <c r="F897" s="10" t="str">
        <f>"2170650333 "</f>
        <v xml:space="preserve">2170650333 </v>
      </c>
      <c r="G897" s="10" t="str">
        <f t="shared" si="24"/>
        <v>ON1</v>
      </c>
      <c r="H897" s="10" t="s">
        <v>21</v>
      </c>
      <c r="I897" s="10" t="s">
        <v>100</v>
      </c>
      <c r="J897" s="10" t="str">
        <f>""</f>
        <v/>
      </c>
      <c r="K897" s="10" t="str">
        <f>"PFES1162645826_0001"</f>
        <v>PFES1162645826_0001</v>
      </c>
      <c r="L897" s="10">
        <v>1</v>
      </c>
      <c r="M897" s="10">
        <v>1</v>
      </c>
    </row>
    <row r="898" spans="1:13">
      <c r="A898" s="8">
        <v>43350</v>
      </c>
      <c r="B898" s="9">
        <v>0.41875000000000001</v>
      </c>
      <c r="C898" s="10" t="str">
        <f>"FES1162645894"</f>
        <v>FES1162645894</v>
      </c>
      <c r="D898" s="10" t="s">
        <v>19</v>
      </c>
      <c r="E898" s="10" t="s">
        <v>228</v>
      </c>
      <c r="F898" s="10" t="str">
        <f>"2170648313 "</f>
        <v xml:space="preserve">2170648313 </v>
      </c>
      <c r="G898" s="10" t="str">
        <f t="shared" si="24"/>
        <v>ON1</v>
      </c>
      <c r="H898" s="10" t="s">
        <v>21</v>
      </c>
      <c r="I898" s="10" t="s">
        <v>229</v>
      </c>
      <c r="J898" s="10" t="str">
        <f>""</f>
        <v/>
      </c>
      <c r="K898" s="10" t="str">
        <f>"PFES1162645894_0001"</f>
        <v>PFES1162645894_0001</v>
      </c>
      <c r="L898" s="10">
        <v>1</v>
      </c>
      <c r="M898" s="10">
        <v>1</v>
      </c>
    </row>
    <row r="899" spans="1:13">
      <c r="A899" s="8">
        <v>43350</v>
      </c>
      <c r="B899" s="9">
        <v>0.41805555555555557</v>
      </c>
      <c r="C899" s="10" t="str">
        <f>"FES1162645857"</f>
        <v>FES1162645857</v>
      </c>
      <c r="D899" s="10" t="s">
        <v>19</v>
      </c>
      <c r="E899" s="10" t="s">
        <v>471</v>
      </c>
      <c r="F899" s="10" t="str">
        <f>"2170650740 "</f>
        <v xml:space="preserve">2170650740 </v>
      </c>
      <c r="G899" s="10" t="str">
        <f t="shared" si="24"/>
        <v>ON1</v>
      </c>
      <c r="H899" s="10" t="s">
        <v>21</v>
      </c>
      <c r="I899" s="10" t="s">
        <v>472</v>
      </c>
      <c r="J899" s="10" t="str">
        <f>""</f>
        <v/>
      </c>
      <c r="K899" s="10" t="str">
        <f>"PFES1162645857_0001"</f>
        <v>PFES1162645857_0001</v>
      </c>
      <c r="L899" s="10">
        <v>1</v>
      </c>
      <c r="M899" s="10">
        <v>1</v>
      </c>
    </row>
    <row r="900" spans="1:13">
      <c r="A900" s="8">
        <v>43350</v>
      </c>
      <c r="B900" s="9">
        <v>0.41805555555555557</v>
      </c>
      <c r="C900" s="10" t="str">
        <f>"FES1162645864"</f>
        <v>FES1162645864</v>
      </c>
      <c r="D900" s="10" t="s">
        <v>19</v>
      </c>
      <c r="E900" s="10" t="s">
        <v>624</v>
      </c>
      <c r="F900" s="10" t="str">
        <f>"2170650523 "</f>
        <v xml:space="preserve">2170650523 </v>
      </c>
      <c r="G900" s="10" t="str">
        <f t="shared" si="24"/>
        <v>ON1</v>
      </c>
      <c r="H900" s="10" t="s">
        <v>21</v>
      </c>
      <c r="I900" s="10" t="s">
        <v>625</v>
      </c>
      <c r="J900" s="10" t="str">
        <f>""</f>
        <v/>
      </c>
      <c r="K900" s="10" t="str">
        <f>"PFES1162645864_0001"</f>
        <v>PFES1162645864_0001</v>
      </c>
      <c r="L900" s="10">
        <v>1</v>
      </c>
      <c r="M900" s="10">
        <v>1</v>
      </c>
    </row>
    <row r="901" spans="1:13">
      <c r="A901" s="8">
        <v>43350</v>
      </c>
      <c r="B901" s="9">
        <v>0.41666666666666669</v>
      </c>
      <c r="C901" s="10" t="str">
        <f>"FES1162645831"</f>
        <v>FES1162645831</v>
      </c>
      <c r="D901" s="10" t="s">
        <v>19</v>
      </c>
      <c r="E901" s="10" t="s">
        <v>427</v>
      </c>
      <c r="F901" s="10" t="str">
        <f>"2170650651 "</f>
        <v xml:space="preserve">2170650651 </v>
      </c>
      <c r="G901" s="10" t="str">
        <f t="shared" si="24"/>
        <v>ON1</v>
      </c>
      <c r="H901" s="10" t="s">
        <v>21</v>
      </c>
      <c r="I901" s="10" t="s">
        <v>26</v>
      </c>
      <c r="J901" s="10" t="str">
        <f>""</f>
        <v/>
      </c>
      <c r="K901" s="10" t="str">
        <f>"PFES1162645831_0001"</f>
        <v>PFES1162645831_0001</v>
      </c>
      <c r="L901" s="10">
        <v>1</v>
      </c>
      <c r="M901" s="10">
        <v>1</v>
      </c>
    </row>
    <row r="902" spans="1:13">
      <c r="A902" s="8">
        <v>43350</v>
      </c>
      <c r="B902" s="9">
        <v>0.41666666666666669</v>
      </c>
      <c r="C902" s="10" t="str">
        <f>"FES1162645844"</f>
        <v>FES1162645844</v>
      </c>
      <c r="D902" s="10" t="s">
        <v>19</v>
      </c>
      <c r="E902" s="10" t="s">
        <v>141</v>
      </c>
      <c r="F902" s="10" t="str">
        <f>"2170650718 "</f>
        <v xml:space="preserve">2170650718 </v>
      </c>
      <c r="G902" s="10" t="str">
        <f t="shared" si="24"/>
        <v>ON1</v>
      </c>
      <c r="H902" s="10" t="s">
        <v>21</v>
      </c>
      <c r="I902" s="10" t="s">
        <v>91</v>
      </c>
      <c r="J902" s="10" t="str">
        <f>""</f>
        <v/>
      </c>
      <c r="K902" s="10" t="str">
        <f>"PFES1162645844_0001"</f>
        <v>PFES1162645844_0001</v>
      </c>
      <c r="L902" s="10">
        <v>1</v>
      </c>
      <c r="M902" s="10">
        <v>1</v>
      </c>
    </row>
    <row r="903" spans="1:13">
      <c r="A903" s="8">
        <v>43350</v>
      </c>
      <c r="B903" s="9">
        <v>0.41597222222222219</v>
      </c>
      <c r="C903" s="10" t="str">
        <f>"FES1162645830"</f>
        <v>FES1162645830</v>
      </c>
      <c r="D903" s="10" t="s">
        <v>19</v>
      </c>
      <c r="E903" s="10" t="s">
        <v>626</v>
      </c>
      <c r="F903" s="10" t="str">
        <f>"2170650589 "</f>
        <v xml:space="preserve">2170650589 </v>
      </c>
      <c r="G903" s="10" t="str">
        <f t="shared" si="24"/>
        <v>ON1</v>
      </c>
      <c r="H903" s="10" t="s">
        <v>21</v>
      </c>
      <c r="I903" s="10" t="s">
        <v>105</v>
      </c>
      <c r="J903" s="10" t="str">
        <f>""</f>
        <v/>
      </c>
      <c r="K903" s="10" t="str">
        <f>"PFES1162645830_0001"</f>
        <v>PFES1162645830_0001</v>
      </c>
      <c r="L903" s="10">
        <v>1</v>
      </c>
      <c r="M903" s="10">
        <v>1</v>
      </c>
    </row>
    <row r="904" spans="1:13">
      <c r="A904" s="8">
        <v>43350</v>
      </c>
      <c r="B904" s="9">
        <v>0.41597222222222219</v>
      </c>
      <c r="C904" s="10" t="str">
        <f>"FES1162645825"</f>
        <v>FES1162645825</v>
      </c>
      <c r="D904" s="10" t="s">
        <v>19</v>
      </c>
      <c r="E904" s="10" t="s">
        <v>37</v>
      </c>
      <c r="F904" s="10" t="str">
        <f>"2170650255 "</f>
        <v xml:space="preserve">2170650255 </v>
      </c>
      <c r="G904" s="10" t="str">
        <f t="shared" si="24"/>
        <v>ON1</v>
      </c>
      <c r="H904" s="10" t="s">
        <v>21</v>
      </c>
      <c r="I904" s="10" t="s">
        <v>26</v>
      </c>
      <c r="J904" s="10" t="str">
        <f>""</f>
        <v/>
      </c>
      <c r="K904" s="10" t="str">
        <f>"PFES1162645825_0001"</f>
        <v>PFES1162645825_0001</v>
      </c>
      <c r="L904" s="10">
        <v>1</v>
      </c>
      <c r="M904" s="10">
        <v>1</v>
      </c>
    </row>
    <row r="905" spans="1:13">
      <c r="A905" s="8">
        <v>43350</v>
      </c>
      <c r="B905" s="9">
        <v>0.41597222222222219</v>
      </c>
      <c r="C905" s="10" t="str">
        <f>"FES1162645855"</f>
        <v>FES1162645855</v>
      </c>
      <c r="D905" s="10" t="s">
        <v>19</v>
      </c>
      <c r="E905" s="10" t="s">
        <v>38</v>
      </c>
      <c r="F905" s="10" t="str">
        <f>"2170650739 "</f>
        <v xml:space="preserve">2170650739 </v>
      </c>
      <c r="G905" s="10" t="str">
        <f t="shared" si="24"/>
        <v>ON1</v>
      </c>
      <c r="H905" s="10" t="s">
        <v>21</v>
      </c>
      <c r="I905" s="10" t="s">
        <v>26</v>
      </c>
      <c r="J905" s="10" t="str">
        <f>""</f>
        <v/>
      </c>
      <c r="K905" s="10" t="str">
        <f>"PFES1162645855_0001"</f>
        <v>PFES1162645855_0001</v>
      </c>
      <c r="L905" s="10">
        <v>1</v>
      </c>
      <c r="M905" s="10">
        <v>1</v>
      </c>
    </row>
    <row r="906" spans="1:13">
      <c r="A906" s="8">
        <v>43350</v>
      </c>
      <c r="B906" s="9">
        <v>0.4152777777777778</v>
      </c>
      <c r="C906" s="10" t="str">
        <f>"FES1162645861"</f>
        <v>FES1162645861</v>
      </c>
      <c r="D906" s="10" t="s">
        <v>19</v>
      </c>
      <c r="E906" s="10" t="s">
        <v>604</v>
      </c>
      <c r="F906" s="10" t="str">
        <f>"2170650747 "</f>
        <v xml:space="preserve">2170650747 </v>
      </c>
      <c r="G906" s="10" t="str">
        <f t="shared" si="24"/>
        <v>ON1</v>
      </c>
      <c r="H906" s="10" t="s">
        <v>21</v>
      </c>
      <c r="I906" s="10" t="s">
        <v>486</v>
      </c>
      <c r="J906" s="10" t="str">
        <f>""</f>
        <v/>
      </c>
      <c r="K906" s="10" t="str">
        <f>"PFES1162645861_0001"</f>
        <v>PFES1162645861_0001</v>
      </c>
      <c r="L906" s="10">
        <v>1</v>
      </c>
      <c r="M906" s="10">
        <v>1</v>
      </c>
    </row>
    <row r="907" spans="1:13">
      <c r="A907" s="8">
        <v>43350</v>
      </c>
      <c r="B907" s="9">
        <v>0.4152777777777778</v>
      </c>
      <c r="C907" s="10" t="str">
        <f>"FES1162645881"</f>
        <v>FES1162645881</v>
      </c>
      <c r="D907" s="10" t="s">
        <v>19</v>
      </c>
      <c r="E907" s="10" t="s">
        <v>445</v>
      </c>
      <c r="F907" s="10" t="str">
        <f>"2170650758 "</f>
        <v xml:space="preserve">2170650758 </v>
      </c>
      <c r="G907" s="10" t="str">
        <f t="shared" si="24"/>
        <v>ON1</v>
      </c>
      <c r="H907" s="10" t="s">
        <v>21</v>
      </c>
      <c r="I907" s="10" t="s">
        <v>206</v>
      </c>
      <c r="J907" s="10" t="str">
        <f>""</f>
        <v/>
      </c>
      <c r="K907" s="10" t="str">
        <f>"PFES1162645881_0001"</f>
        <v>PFES1162645881_0001</v>
      </c>
      <c r="L907" s="10">
        <v>1</v>
      </c>
      <c r="M907" s="10">
        <v>1</v>
      </c>
    </row>
    <row r="908" spans="1:13">
      <c r="A908" s="8">
        <v>43350</v>
      </c>
      <c r="B908" s="9">
        <v>0.41388888888888892</v>
      </c>
      <c r="C908" s="10" t="str">
        <f>"FES1162645915"</f>
        <v>FES1162645915</v>
      </c>
      <c r="D908" s="10" t="s">
        <v>19</v>
      </c>
      <c r="E908" s="10" t="s">
        <v>268</v>
      </c>
      <c r="F908" s="10" t="str">
        <f>"2170650779 "</f>
        <v xml:space="preserve">2170650779 </v>
      </c>
      <c r="G908" s="10" t="str">
        <f t="shared" si="24"/>
        <v>ON1</v>
      </c>
      <c r="H908" s="10" t="s">
        <v>21</v>
      </c>
      <c r="I908" s="10" t="s">
        <v>62</v>
      </c>
      <c r="J908" s="10" t="str">
        <f>""</f>
        <v/>
      </c>
      <c r="K908" s="10" t="str">
        <f>"PFES1162645915_0001"</f>
        <v>PFES1162645915_0001</v>
      </c>
      <c r="L908" s="10">
        <v>1</v>
      </c>
      <c r="M908" s="10">
        <v>1</v>
      </c>
    </row>
    <row r="909" spans="1:13">
      <c r="A909" s="8">
        <v>43350</v>
      </c>
      <c r="B909" s="9">
        <v>0.41388888888888892</v>
      </c>
      <c r="C909" s="10" t="str">
        <f>"FES1162645874"</f>
        <v>FES1162645874</v>
      </c>
      <c r="D909" s="10" t="s">
        <v>19</v>
      </c>
      <c r="E909" s="10" t="s">
        <v>424</v>
      </c>
      <c r="F909" s="10" t="str">
        <f>"2170648980 "</f>
        <v xml:space="preserve">2170648980 </v>
      </c>
      <c r="G909" s="10" t="str">
        <f t="shared" si="24"/>
        <v>ON1</v>
      </c>
      <c r="H909" s="10" t="s">
        <v>21</v>
      </c>
      <c r="I909" s="10" t="s">
        <v>97</v>
      </c>
      <c r="J909" s="10" t="str">
        <f>""</f>
        <v/>
      </c>
      <c r="K909" s="10" t="str">
        <f>"PFES1162645874_0001"</f>
        <v>PFES1162645874_0001</v>
      </c>
      <c r="L909" s="10">
        <v>1</v>
      </c>
      <c r="M909" s="10">
        <v>1</v>
      </c>
    </row>
    <row r="910" spans="1:13">
      <c r="A910" s="8">
        <v>43353</v>
      </c>
      <c r="B910" s="9">
        <v>0.69513888888888886</v>
      </c>
      <c r="C910" s="10" t="str">
        <f>"FES1162646325"</f>
        <v>FES1162646325</v>
      </c>
      <c r="D910" s="10" t="s">
        <v>19</v>
      </c>
      <c r="E910" s="10" t="s">
        <v>27</v>
      </c>
      <c r="F910" s="10" t="str">
        <f>"217064977 "</f>
        <v xml:space="preserve">217064977 </v>
      </c>
      <c r="G910" s="10" t="str">
        <f t="shared" si="24"/>
        <v>ON1</v>
      </c>
      <c r="H910" s="10" t="s">
        <v>21</v>
      </c>
      <c r="I910" s="10" t="s">
        <v>28</v>
      </c>
      <c r="J910" s="10" t="str">
        <f>""</f>
        <v/>
      </c>
      <c r="K910" s="10" t="str">
        <f>"PFES1162646325_0001"</f>
        <v>PFES1162646325_0001</v>
      </c>
      <c r="L910" s="10">
        <v>1</v>
      </c>
      <c r="M910" s="10">
        <v>1</v>
      </c>
    </row>
    <row r="911" spans="1:13">
      <c r="A911" s="8">
        <v>43353</v>
      </c>
      <c r="B911" s="9">
        <v>0.69513888888888886</v>
      </c>
      <c r="C911" s="10" t="str">
        <f>"FES1162646385"</f>
        <v>FES1162646385</v>
      </c>
      <c r="D911" s="10" t="s">
        <v>19</v>
      </c>
      <c r="E911" s="10" t="s">
        <v>627</v>
      </c>
      <c r="F911" s="10" t="str">
        <f>"2170651175 "</f>
        <v xml:space="preserve">2170651175 </v>
      </c>
      <c r="G911" s="10" t="str">
        <f t="shared" si="24"/>
        <v>ON1</v>
      </c>
      <c r="H911" s="10" t="s">
        <v>21</v>
      </c>
      <c r="I911" s="10" t="s">
        <v>628</v>
      </c>
      <c r="J911" s="10" t="str">
        <f>"DELIVER AND COLLECT"</f>
        <v>DELIVER AND COLLECT</v>
      </c>
      <c r="K911" s="10" t="str">
        <f>"PFES1162646385_0001"</f>
        <v>PFES1162646385_0001</v>
      </c>
      <c r="L911" s="10">
        <v>1</v>
      </c>
      <c r="M911" s="10">
        <v>2</v>
      </c>
    </row>
    <row r="912" spans="1:13">
      <c r="A912" s="8">
        <v>43353</v>
      </c>
      <c r="B912" s="9">
        <v>0.69513888888888886</v>
      </c>
      <c r="C912" s="10" t="str">
        <f>"FES1162646289"</f>
        <v>FES1162646289</v>
      </c>
      <c r="D912" s="10" t="s">
        <v>19</v>
      </c>
      <c r="E912" s="10" t="s">
        <v>390</v>
      </c>
      <c r="F912" s="10" t="str">
        <f>"2170651053 "</f>
        <v xml:space="preserve">2170651053 </v>
      </c>
      <c r="G912" s="10" t="str">
        <f t="shared" si="24"/>
        <v>ON1</v>
      </c>
      <c r="H912" s="10" t="s">
        <v>21</v>
      </c>
      <c r="I912" s="10" t="s">
        <v>391</v>
      </c>
      <c r="J912" s="10" t="str">
        <f>""</f>
        <v/>
      </c>
      <c r="K912" s="10" t="str">
        <f>"PFES1162646289_0001"</f>
        <v>PFES1162646289_0001</v>
      </c>
      <c r="L912" s="10">
        <v>1</v>
      </c>
      <c r="M912" s="10">
        <v>1</v>
      </c>
    </row>
    <row r="913" spans="1:13">
      <c r="A913" s="8">
        <v>43353</v>
      </c>
      <c r="B913" s="9">
        <v>0.69513888888888886</v>
      </c>
      <c r="C913" s="10" t="str">
        <f>"FES1162646321"</f>
        <v>FES1162646321</v>
      </c>
      <c r="D913" s="10" t="s">
        <v>19</v>
      </c>
      <c r="E913" s="10" t="s">
        <v>125</v>
      </c>
      <c r="F913" s="10" t="str">
        <f>"2170651095 "</f>
        <v xml:space="preserve">2170651095 </v>
      </c>
      <c r="G913" s="10" t="str">
        <f t="shared" si="24"/>
        <v>ON1</v>
      </c>
      <c r="H913" s="10" t="s">
        <v>21</v>
      </c>
      <c r="I913" s="10" t="s">
        <v>126</v>
      </c>
      <c r="J913" s="10" t="str">
        <f>""</f>
        <v/>
      </c>
      <c r="K913" s="10" t="str">
        <f>"PFES1162646321_0001"</f>
        <v>PFES1162646321_0001</v>
      </c>
      <c r="L913" s="10">
        <v>1</v>
      </c>
      <c r="M913" s="10">
        <v>1</v>
      </c>
    </row>
    <row r="914" spans="1:13">
      <c r="A914" s="8">
        <v>43353</v>
      </c>
      <c r="B914" s="9">
        <v>0.69444444444444453</v>
      </c>
      <c r="C914" s="10" t="str">
        <f>"FES1162646274"</f>
        <v>FES1162646274</v>
      </c>
      <c r="D914" s="10" t="s">
        <v>19</v>
      </c>
      <c r="E914" s="10" t="s">
        <v>160</v>
      </c>
      <c r="F914" s="10" t="str">
        <f>"2170651041 "</f>
        <v xml:space="preserve">2170651041 </v>
      </c>
      <c r="G914" s="10" t="str">
        <f t="shared" si="24"/>
        <v>ON1</v>
      </c>
      <c r="H914" s="10" t="s">
        <v>21</v>
      </c>
      <c r="I914" s="10" t="s">
        <v>161</v>
      </c>
      <c r="J914" s="10" t="str">
        <f>""</f>
        <v/>
      </c>
      <c r="K914" s="10" t="str">
        <f>"PFES1162646274_0001"</f>
        <v>PFES1162646274_0001</v>
      </c>
      <c r="L914" s="10">
        <v>1</v>
      </c>
      <c r="M914" s="10">
        <v>1</v>
      </c>
    </row>
    <row r="915" spans="1:13">
      <c r="A915" s="8">
        <v>43353</v>
      </c>
      <c r="B915" s="9">
        <v>0.69444444444444453</v>
      </c>
      <c r="C915" s="10" t="str">
        <f>"FES1162646271"</f>
        <v>FES1162646271</v>
      </c>
      <c r="D915" s="10" t="s">
        <v>19</v>
      </c>
      <c r="E915" s="10" t="s">
        <v>39</v>
      </c>
      <c r="F915" s="10" t="str">
        <f>"2170651036 "</f>
        <v xml:space="preserve">2170651036 </v>
      </c>
      <c r="G915" s="10" t="str">
        <f t="shared" si="24"/>
        <v>ON1</v>
      </c>
      <c r="H915" s="10" t="s">
        <v>21</v>
      </c>
      <c r="I915" s="10" t="s">
        <v>40</v>
      </c>
      <c r="J915" s="10" t="str">
        <f>""</f>
        <v/>
      </c>
      <c r="K915" s="10" t="str">
        <f>"PFES1162646271_0001"</f>
        <v>PFES1162646271_0001</v>
      </c>
      <c r="L915" s="10">
        <v>1</v>
      </c>
      <c r="M915" s="10">
        <v>1</v>
      </c>
    </row>
    <row r="916" spans="1:13">
      <c r="A916" s="8">
        <v>43353</v>
      </c>
      <c r="B916" s="9">
        <v>0.69444444444444453</v>
      </c>
      <c r="C916" s="10" t="str">
        <f>"FES1162646266"</f>
        <v>FES1162646266</v>
      </c>
      <c r="D916" s="10" t="s">
        <v>19</v>
      </c>
      <c r="E916" s="10" t="s">
        <v>307</v>
      </c>
      <c r="F916" s="10" t="str">
        <f>"2170651030 "</f>
        <v xml:space="preserve">2170651030 </v>
      </c>
      <c r="G916" s="10" t="str">
        <f t="shared" si="24"/>
        <v>ON1</v>
      </c>
      <c r="H916" s="10" t="s">
        <v>21</v>
      </c>
      <c r="I916" s="10" t="s">
        <v>308</v>
      </c>
      <c r="J916" s="10" t="str">
        <f>""</f>
        <v/>
      </c>
      <c r="K916" s="10" t="str">
        <f>"PFES1162646266_0001"</f>
        <v>PFES1162646266_0001</v>
      </c>
      <c r="L916" s="10">
        <v>1</v>
      </c>
      <c r="M916" s="10">
        <v>1</v>
      </c>
    </row>
    <row r="917" spans="1:13">
      <c r="A917" s="8">
        <v>43353</v>
      </c>
      <c r="B917" s="9">
        <v>0.69374999999999998</v>
      </c>
      <c r="C917" s="10" t="str">
        <f>"FES1162646301"</f>
        <v>FES1162646301</v>
      </c>
      <c r="D917" s="10" t="s">
        <v>19</v>
      </c>
      <c r="E917" s="10" t="s">
        <v>56</v>
      </c>
      <c r="F917" s="10" t="str">
        <f>"21706+51075 "</f>
        <v xml:space="preserve">21706+51075 </v>
      </c>
      <c r="G917" s="10" t="str">
        <f t="shared" si="24"/>
        <v>ON1</v>
      </c>
      <c r="H917" s="10" t="s">
        <v>21</v>
      </c>
      <c r="I917" s="10" t="s">
        <v>57</v>
      </c>
      <c r="J917" s="10" t="str">
        <f>""</f>
        <v/>
      </c>
      <c r="K917" s="10" t="str">
        <f>"PFES1162646301_0001"</f>
        <v>PFES1162646301_0001</v>
      </c>
      <c r="L917" s="10">
        <v>1</v>
      </c>
      <c r="M917" s="10">
        <v>1</v>
      </c>
    </row>
    <row r="918" spans="1:13">
      <c r="A918" s="8">
        <v>43353</v>
      </c>
      <c r="B918" s="9">
        <v>0.69374999999999998</v>
      </c>
      <c r="C918" s="10" t="str">
        <f>"FES1162646354"</f>
        <v>FES1162646354</v>
      </c>
      <c r="D918" s="10" t="s">
        <v>19</v>
      </c>
      <c r="E918" s="10" t="s">
        <v>629</v>
      </c>
      <c r="F918" s="10" t="str">
        <f>"2170651130 "</f>
        <v xml:space="preserve">2170651130 </v>
      </c>
      <c r="G918" s="10" t="str">
        <f t="shared" si="24"/>
        <v>ON1</v>
      </c>
      <c r="H918" s="10" t="s">
        <v>21</v>
      </c>
      <c r="I918" s="10" t="s">
        <v>76</v>
      </c>
      <c r="J918" s="10" t="str">
        <f>""</f>
        <v/>
      </c>
      <c r="K918" s="10" t="str">
        <f>"PFES1162646354_0001"</f>
        <v>PFES1162646354_0001</v>
      </c>
      <c r="L918" s="10">
        <v>1</v>
      </c>
      <c r="M918" s="10">
        <v>1</v>
      </c>
    </row>
    <row r="919" spans="1:13">
      <c r="A919" s="8">
        <v>43353</v>
      </c>
      <c r="B919" s="9">
        <v>0.69374999999999998</v>
      </c>
      <c r="C919" s="10" t="str">
        <f>"FES1162646275"</f>
        <v>FES1162646275</v>
      </c>
      <c r="D919" s="10" t="s">
        <v>19</v>
      </c>
      <c r="E919" s="10" t="s">
        <v>378</v>
      </c>
      <c r="F919" s="10" t="str">
        <f>"2170651042 "</f>
        <v xml:space="preserve">2170651042 </v>
      </c>
      <c r="G919" s="10" t="str">
        <f t="shared" si="24"/>
        <v>ON1</v>
      </c>
      <c r="H919" s="10" t="s">
        <v>21</v>
      </c>
      <c r="I919" s="10" t="s">
        <v>630</v>
      </c>
      <c r="J919" s="10" t="str">
        <f>""</f>
        <v/>
      </c>
      <c r="K919" s="10" t="str">
        <f>"PFES1162646275_0001"</f>
        <v>PFES1162646275_0001</v>
      </c>
      <c r="L919" s="10">
        <v>1</v>
      </c>
      <c r="M919" s="10">
        <v>1</v>
      </c>
    </row>
    <row r="920" spans="1:13">
      <c r="A920" s="8">
        <v>43353</v>
      </c>
      <c r="B920" s="9">
        <v>0.69374999999999998</v>
      </c>
      <c r="C920" s="10" t="str">
        <f>"FES1162646098"</f>
        <v>FES1162646098</v>
      </c>
      <c r="D920" s="10" t="s">
        <v>19</v>
      </c>
      <c r="E920" s="10" t="s">
        <v>94</v>
      </c>
      <c r="F920" s="10" t="str">
        <f>"2170650946 "</f>
        <v xml:space="preserve">2170650946 </v>
      </c>
      <c r="G920" s="10" t="str">
        <f t="shared" si="24"/>
        <v>ON1</v>
      </c>
      <c r="H920" s="10" t="s">
        <v>21</v>
      </c>
      <c r="I920" s="10" t="s">
        <v>95</v>
      </c>
      <c r="J920" s="10" t="str">
        <f>""</f>
        <v/>
      </c>
      <c r="K920" s="10" t="str">
        <f>"PFES1162646098_0001"</f>
        <v>PFES1162646098_0001</v>
      </c>
      <c r="L920" s="10">
        <v>1</v>
      </c>
      <c r="M920" s="10">
        <v>1</v>
      </c>
    </row>
    <row r="921" spans="1:13">
      <c r="A921" s="8">
        <v>43353</v>
      </c>
      <c r="B921" s="9">
        <v>0.69305555555555554</v>
      </c>
      <c r="C921" s="10" t="str">
        <f>"FES1162646157"</f>
        <v>FES1162646157</v>
      </c>
      <c r="D921" s="10" t="s">
        <v>19</v>
      </c>
      <c r="E921" s="10" t="s">
        <v>468</v>
      </c>
      <c r="F921" s="10" t="str">
        <f>"2170648077 "</f>
        <v xml:space="preserve">2170648077 </v>
      </c>
      <c r="G921" s="10" t="str">
        <f t="shared" si="24"/>
        <v>ON1</v>
      </c>
      <c r="H921" s="10" t="s">
        <v>21</v>
      </c>
      <c r="I921" s="10" t="s">
        <v>469</v>
      </c>
      <c r="J921" s="10" t="str">
        <f>""</f>
        <v/>
      </c>
      <c r="K921" s="10" t="str">
        <f>"PFES1162646157_0001"</f>
        <v>PFES1162646157_0001</v>
      </c>
      <c r="L921" s="10">
        <v>1</v>
      </c>
      <c r="M921" s="10">
        <v>1</v>
      </c>
    </row>
    <row r="922" spans="1:13">
      <c r="A922" s="8">
        <v>43353</v>
      </c>
      <c r="B922" s="9">
        <v>0.69305555555555554</v>
      </c>
      <c r="C922" s="10" t="str">
        <f>"FES1162646166"</f>
        <v>FES1162646166</v>
      </c>
      <c r="D922" s="10" t="s">
        <v>19</v>
      </c>
      <c r="E922" s="10" t="s">
        <v>251</v>
      </c>
      <c r="F922" s="10" t="str">
        <f>"2170648869 "</f>
        <v xml:space="preserve">2170648869 </v>
      </c>
      <c r="G922" s="10" t="str">
        <f t="shared" si="24"/>
        <v>ON1</v>
      </c>
      <c r="H922" s="10" t="s">
        <v>21</v>
      </c>
      <c r="I922" s="10" t="s">
        <v>252</v>
      </c>
      <c r="J922" s="10" t="str">
        <f>""</f>
        <v/>
      </c>
      <c r="K922" s="10" t="str">
        <f>"PFES1162646166_0001"</f>
        <v>PFES1162646166_0001</v>
      </c>
      <c r="L922" s="10">
        <v>1</v>
      </c>
      <c r="M922" s="10">
        <v>1</v>
      </c>
    </row>
    <row r="923" spans="1:13">
      <c r="A923" s="8">
        <v>43353</v>
      </c>
      <c r="B923" s="9">
        <v>0.69305555555555554</v>
      </c>
      <c r="C923" s="10" t="str">
        <f>"FES1162646374"</f>
        <v>FES1162646374</v>
      </c>
      <c r="D923" s="10" t="s">
        <v>19</v>
      </c>
      <c r="E923" s="10" t="s">
        <v>103</v>
      </c>
      <c r="F923" s="10" t="str">
        <f>"2170651155 "</f>
        <v xml:space="preserve">2170651155 </v>
      </c>
      <c r="G923" s="10" t="str">
        <f t="shared" si="24"/>
        <v>ON1</v>
      </c>
      <c r="H923" s="10" t="s">
        <v>21</v>
      </c>
      <c r="I923" s="10" t="s">
        <v>433</v>
      </c>
      <c r="J923" s="10" t="str">
        <f>""</f>
        <v/>
      </c>
      <c r="K923" s="10" t="str">
        <f>"PFES1162646374_0001"</f>
        <v>PFES1162646374_0001</v>
      </c>
      <c r="L923" s="10">
        <v>1</v>
      </c>
      <c r="M923" s="10">
        <v>1</v>
      </c>
    </row>
    <row r="924" spans="1:13">
      <c r="A924" s="8">
        <v>43353</v>
      </c>
      <c r="B924" s="9">
        <v>0.69236111111111109</v>
      </c>
      <c r="C924" s="10" t="str">
        <f>"FES1162646368"</f>
        <v>FES1162646368</v>
      </c>
      <c r="D924" s="10" t="s">
        <v>19</v>
      </c>
      <c r="E924" s="10" t="s">
        <v>443</v>
      </c>
      <c r="F924" s="10" t="str">
        <f>"2170651148 "</f>
        <v xml:space="preserve">2170651148 </v>
      </c>
      <c r="G924" s="10" t="str">
        <f t="shared" si="24"/>
        <v>ON1</v>
      </c>
      <c r="H924" s="10" t="s">
        <v>21</v>
      </c>
      <c r="I924" s="10" t="s">
        <v>74</v>
      </c>
      <c r="J924" s="10" t="str">
        <f>""</f>
        <v/>
      </c>
      <c r="K924" s="10" t="str">
        <f>"PFES1162646368_0001"</f>
        <v>PFES1162646368_0001</v>
      </c>
      <c r="L924" s="10">
        <v>1</v>
      </c>
      <c r="M924" s="10">
        <v>1</v>
      </c>
    </row>
    <row r="925" spans="1:13">
      <c r="A925" s="8">
        <v>43353</v>
      </c>
      <c r="B925" s="9">
        <v>0.69236111111111109</v>
      </c>
      <c r="C925" s="10" t="str">
        <f>"FES1162646333"</f>
        <v>FES1162646333</v>
      </c>
      <c r="D925" s="10" t="s">
        <v>19</v>
      </c>
      <c r="E925" s="10" t="s">
        <v>160</v>
      </c>
      <c r="F925" s="10" t="str">
        <f>"2170651150 "</f>
        <v xml:space="preserve">2170651150 </v>
      </c>
      <c r="G925" s="10" t="str">
        <f t="shared" si="24"/>
        <v>ON1</v>
      </c>
      <c r="H925" s="10" t="s">
        <v>21</v>
      </c>
      <c r="I925" s="10" t="s">
        <v>161</v>
      </c>
      <c r="J925" s="10" t="str">
        <f>""</f>
        <v/>
      </c>
      <c r="K925" s="10" t="str">
        <f>"PFES1162646333_0001"</f>
        <v>PFES1162646333_0001</v>
      </c>
      <c r="L925" s="10">
        <v>1</v>
      </c>
      <c r="M925" s="10">
        <v>1</v>
      </c>
    </row>
    <row r="926" spans="1:13">
      <c r="A926" s="8">
        <v>43353</v>
      </c>
      <c r="B926" s="9">
        <v>0.69236111111111109</v>
      </c>
      <c r="C926" s="10" t="str">
        <f>"FES1162646297"</f>
        <v>FES1162646297</v>
      </c>
      <c r="D926" s="10" t="s">
        <v>19</v>
      </c>
      <c r="E926" s="10" t="s">
        <v>98</v>
      </c>
      <c r="F926" s="10" t="str">
        <f>"2170651064 "</f>
        <v xml:space="preserve">2170651064 </v>
      </c>
      <c r="G926" s="10" t="str">
        <f t="shared" si="24"/>
        <v>ON1</v>
      </c>
      <c r="H926" s="10" t="s">
        <v>21</v>
      </c>
      <c r="I926" s="10" t="s">
        <v>74</v>
      </c>
      <c r="J926" s="10" t="str">
        <f>""</f>
        <v/>
      </c>
      <c r="K926" s="10" t="str">
        <f>"PFES1162646297_0001"</f>
        <v>PFES1162646297_0001</v>
      </c>
      <c r="L926" s="10">
        <v>1</v>
      </c>
      <c r="M926" s="10">
        <v>1</v>
      </c>
    </row>
    <row r="927" spans="1:13">
      <c r="A927" s="8">
        <v>43353</v>
      </c>
      <c r="B927" s="9">
        <v>0.69166666666666676</v>
      </c>
      <c r="C927" s="10" t="str">
        <f>"FES1162646179"</f>
        <v>FES1162646179</v>
      </c>
      <c r="D927" s="10" t="s">
        <v>19</v>
      </c>
      <c r="E927" s="10" t="s">
        <v>151</v>
      </c>
      <c r="F927" s="10" t="str">
        <f>"2170649945 "</f>
        <v xml:space="preserve">2170649945 </v>
      </c>
      <c r="G927" s="10" t="str">
        <f t="shared" si="24"/>
        <v>ON1</v>
      </c>
      <c r="H927" s="10" t="s">
        <v>21</v>
      </c>
      <c r="I927" s="10" t="s">
        <v>152</v>
      </c>
      <c r="J927" s="10" t="str">
        <f>""</f>
        <v/>
      </c>
      <c r="K927" s="10" t="str">
        <f>"PFES1162646179_0001"</f>
        <v>PFES1162646179_0001</v>
      </c>
      <c r="L927" s="10">
        <v>1</v>
      </c>
      <c r="M927" s="10">
        <v>1</v>
      </c>
    </row>
    <row r="928" spans="1:13">
      <c r="A928" s="8">
        <v>43353</v>
      </c>
      <c r="B928" s="9">
        <v>0.69166666666666676</v>
      </c>
      <c r="C928" s="10" t="str">
        <f>"FES1162646232"</f>
        <v>FES1162646232</v>
      </c>
      <c r="D928" s="10" t="s">
        <v>19</v>
      </c>
      <c r="E928" s="10" t="s">
        <v>447</v>
      </c>
      <c r="F928" s="10" t="str">
        <f>"21706501988 "</f>
        <v xml:space="preserve">21706501988 </v>
      </c>
      <c r="G928" s="10" t="str">
        <f t="shared" si="24"/>
        <v>ON1</v>
      </c>
      <c r="H928" s="10" t="s">
        <v>21</v>
      </c>
      <c r="I928" s="10" t="s">
        <v>448</v>
      </c>
      <c r="J928" s="10" t="str">
        <f>""</f>
        <v/>
      </c>
      <c r="K928" s="10" t="str">
        <f>"PFES1162646232_0001"</f>
        <v>PFES1162646232_0001</v>
      </c>
      <c r="L928" s="10">
        <v>1</v>
      </c>
      <c r="M928" s="10">
        <v>1</v>
      </c>
    </row>
    <row r="929" spans="1:13">
      <c r="A929" s="8">
        <v>43353</v>
      </c>
      <c r="B929" s="9">
        <v>0.69097222222222221</v>
      </c>
      <c r="C929" s="10" t="str">
        <f>"FES1162646280"</f>
        <v>FES1162646280</v>
      </c>
      <c r="D929" s="10" t="s">
        <v>19</v>
      </c>
      <c r="E929" s="10" t="s">
        <v>232</v>
      </c>
      <c r="F929" s="10" t="str">
        <f>"2170651044 "</f>
        <v xml:space="preserve">2170651044 </v>
      </c>
      <c r="G929" s="10" t="str">
        <f t="shared" si="24"/>
        <v>ON1</v>
      </c>
      <c r="H929" s="10" t="s">
        <v>21</v>
      </c>
      <c r="I929" s="10" t="s">
        <v>233</v>
      </c>
      <c r="J929" s="10" t="str">
        <f>""</f>
        <v/>
      </c>
      <c r="K929" s="10" t="str">
        <f>"PFES1162646280_0001"</f>
        <v>PFES1162646280_0001</v>
      </c>
      <c r="L929" s="10">
        <v>1</v>
      </c>
      <c r="M929" s="10">
        <v>8</v>
      </c>
    </row>
    <row r="930" spans="1:13">
      <c r="A930" s="8">
        <v>43353</v>
      </c>
      <c r="B930" s="9">
        <v>0.69097222222222221</v>
      </c>
      <c r="C930" s="10" t="str">
        <f>"FES1162646369"</f>
        <v>FES1162646369</v>
      </c>
      <c r="D930" s="10" t="s">
        <v>19</v>
      </c>
      <c r="E930" s="10" t="s">
        <v>220</v>
      </c>
      <c r="F930" s="10" t="str">
        <f>"2170641143 "</f>
        <v xml:space="preserve">2170641143 </v>
      </c>
      <c r="G930" s="10" t="str">
        <f t="shared" si="24"/>
        <v>ON1</v>
      </c>
      <c r="H930" s="10" t="s">
        <v>21</v>
      </c>
      <c r="I930" s="10" t="s">
        <v>126</v>
      </c>
      <c r="J930" s="10" t="str">
        <f>""</f>
        <v/>
      </c>
      <c r="K930" s="10" t="str">
        <f>"PFES1162646369_0001"</f>
        <v>PFES1162646369_0001</v>
      </c>
      <c r="L930" s="10">
        <v>1</v>
      </c>
      <c r="M930" s="10">
        <v>3</v>
      </c>
    </row>
    <row r="931" spans="1:13">
      <c r="A931" s="8">
        <v>43353</v>
      </c>
      <c r="B931" s="9">
        <v>0.69097222222222221</v>
      </c>
      <c r="C931" s="10" t="str">
        <f>"FES1162646306"</f>
        <v>FES1162646306</v>
      </c>
      <c r="D931" s="10" t="s">
        <v>19</v>
      </c>
      <c r="E931" s="10" t="s">
        <v>239</v>
      </c>
      <c r="F931" s="10" t="str">
        <f>"2170651073 "</f>
        <v xml:space="preserve">2170651073 </v>
      </c>
      <c r="G931" s="10" t="str">
        <f t="shared" si="24"/>
        <v>ON1</v>
      </c>
      <c r="H931" s="10" t="s">
        <v>21</v>
      </c>
      <c r="I931" s="10" t="s">
        <v>76</v>
      </c>
      <c r="J931" s="10" t="str">
        <f>""</f>
        <v/>
      </c>
      <c r="K931" s="10" t="str">
        <f>"PFES1162646306_0001"</f>
        <v>PFES1162646306_0001</v>
      </c>
      <c r="L931" s="10">
        <v>1</v>
      </c>
      <c r="M931" s="10">
        <v>2</v>
      </c>
    </row>
    <row r="932" spans="1:13">
      <c r="A932" s="8">
        <v>43353</v>
      </c>
      <c r="B932" s="9">
        <v>0.69027777777777777</v>
      </c>
      <c r="C932" s="10" t="str">
        <f>"FES1162646315"</f>
        <v>FES1162646315</v>
      </c>
      <c r="D932" s="10" t="s">
        <v>19</v>
      </c>
      <c r="E932" s="10" t="s">
        <v>629</v>
      </c>
      <c r="F932" s="10" t="str">
        <f>"2170651090 "</f>
        <v xml:space="preserve">2170651090 </v>
      </c>
      <c r="G932" s="10" t="str">
        <f t="shared" si="24"/>
        <v>ON1</v>
      </c>
      <c r="H932" s="10" t="s">
        <v>21</v>
      </c>
      <c r="I932" s="10" t="s">
        <v>76</v>
      </c>
      <c r="J932" s="10" t="str">
        <f>""</f>
        <v/>
      </c>
      <c r="K932" s="10" t="str">
        <f>"PFES1162646315_0001"</f>
        <v>PFES1162646315_0001</v>
      </c>
      <c r="L932" s="10">
        <v>1</v>
      </c>
      <c r="M932" s="10">
        <v>2</v>
      </c>
    </row>
    <row r="933" spans="1:13">
      <c r="A933" s="8">
        <v>43353</v>
      </c>
      <c r="B933" s="9">
        <v>0.69027777777777777</v>
      </c>
      <c r="C933" s="10" t="str">
        <f>"FES1162646283"</f>
        <v>FES1162646283</v>
      </c>
      <c r="D933" s="10" t="s">
        <v>19</v>
      </c>
      <c r="E933" s="10" t="s">
        <v>160</v>
      </c>
      <c r="F933" s="10" t="str">
        <f>"2170650239 "</f>
        <v xml:space="preserve">2170650239 </v>
      </c>
      <c r="G933" s="10" t="str">
        <f t="shared" si="24"/>
        <v>ON1</v>
      </c>
      <c r="H933" s="10" t="s">
        <v>21</v>
      </c>
      <c r="I933" s="10" t="s">
        <v>161</v>
      </c>
      <c r="J933" s="10" t="str">
        <f>""</f>
        <v/>
      </c>
      <c r="K933" s="10" t="str">
        <f>"PFES1162646283_0001"</f>
        <v>PFES1162646283_0001</v>
      </c>
      <c r="L933" s="10">
        <v>1</v>
      </c>
      <c r="M933" s="10">
        <v>2</v>
      </c>
    </row>
    <row r="934" spans="1:13">
      <c r="A934" s="8">
        <v>43353</v>
      </c>
      <c r="B934" s="9">
        <v>0.69027777777777777</v>
      </c>
      <c r="C934" s="10" t="str">
        <f>"FES1162646284"</f>
        <v>FES1162646284</v>
      </c>
      <c r="D934" s="10" t="s">
        <v>19</v>
      </c>
      <c r="E934" s="10" t="s">
        <v>130</v>
      </c>
      <c r="F934" s="10" t="str">
        <f>"2170650539 "</f>
        <v xml:space="preserve">2170650539 </v>
      </c>
      <c r="G934" s="10" t="str">
        <f t="shared" si="24"/>
        <v>ON1</v>
      </c>
      <c r="H934" s="10" t="s">
        <v>21</v>
      </c>
      <c r="I934" s="10" t="s">
        <v>131</v>
      </c>
      <c r="J934" s="10" t="str">
        <f>""</f>
        <v/>
      </c>
      <c r="K934" s="10" t="str">
        <f>"PFES1162646284_0001"</f>
        <v>PFES1162646284_0001</v>
      </c>
      <c r="L934" s="10">
        <v>1</v>
      </c>
      <c r="M934" s="10">
        <v>2</v>
      </c>
    </row>
    <row r="935" spans="1:13">
      <c r="A935" s="8">
        <v>43353</v>
      </c>
      <c r="B935" s="9">
        <v>0.68958333333333333</v>
      </c>
      <c r="C935" s="10" t="str">
        <f>"FES1162646287"</f>
        <v>FES1162646287</v>
      </c>
      <c r="D935" s="10" t="s">
        <v>19</v>
      </c>
      <c r="E935" s="10" t="s">
        <v>631</v>
      </c>
      <c r="F935" s="10" t="str">
        <f>"2170651050 "</f>
        <v xml:space="preserve">2170651050 </v>
      </c>
      <c r="G935" s="10" t="str">
        <f t="shared" si="24"/>
        <v>ON1</v>
      </c>
      <c r="H935" s="10" t="s">
        <v>21</v>
      </c>
      <c r="I935" s="10" t="s">
        <v>133</v>
      </c>
      <c r="J935" s="10" t="str">
        <f>""</f>
        <v/>
      </c>
      <c r="K935" s="10" t="str">
        <f>"PFES1162646287_0001"</f>
        <v>PFES1162646287_0001</v>
      </c>
      <c r="L935" s="10">
        <v>1</v>
      </c>
      <c r="M935" s="10">
        <v>4</v>
      </c>
    </row>
    <row r="936" spans="1:13">
      <c r="A936" s="8">
        <v>43353</v>
      </c>
      <c r="B936" s="9">
        <v>0.68958333333333333</v>
      </c>
      <c r="C936" s="10" t="str">
        <f>"FES1162646367"</f>
        <v>FES1162646367</v>
      </c>
      <c r="D936" s="10" t="s">
        <v>19</v>
      </c>
      <c r="E936" s="10" t="s">
        <v>632</v>
      </c>
      <c r="F936" s="10" t="str">
        <f>"2170641144 "</f>
        <v xml:space="preserve">2170641144 </v>
      </c>
      <c r="G936" s="10" t="str">
        <f t="shared" si="24"/>
        <v>ON1</v>
      </c>
      <c r="H936" s="10" t="s">
        <v>21</v>
      </c>
      <c r="I936" s="10" t="s">
        <v>633</v>
      </c>
      <c r="J936" s="10" t="str">
        <f>""</f>
        <v/>
      </c>
      <c r="K936" s="10" t="str">
        <f>"PFES1162646367_0001"</f>
        <v>PFES1162646367_0001</v>
      </c>
      <c r="L936" s="10">
        <v>1</v>
      </c>
      <c r="M936" s="10">
        <v>3</v>
      </c>
    </row>
    <row r="937" spans="1:13">
      <c r="A937" s="8">
        <v>43353</v>
      </c>
      <c r="B937" s="9">
        <v>0.68958333333333333</v>
      </c>
      <c r="C937" s="10" t="str">
        <f>"FES1162646041"</f>
        <v>FES1162646041</v>
      </c>
      <c r="D937" s="10" t="s">
        <v>19</v>
      </c>
      <c r="E937" s="10" t="s">
        <v>573</v>
      </c>
      <c r="F937" s="10" t="str">
        <f>"2170649076 "</f>
        <v xml:space="preserve">2170649076 </v>
      </c>
      <c r="G937" s="10" t="str">
        <f t="shared" si="24"/>
        <v>ON1</v>
      </c>
      <c r="H937" s="10" t="s">
        <v>21</v>
      </c>
      <c r="I937" s="10" t="s">
        <v>105</v>
      </c>
      <c r="J937" s="10" t="str">
        <f>""</f>
        <v/>
      </c>
      <c r="K937" s="10" t="str">
        <f>"PFES1162646041_0001"</f>
        <v>PFES1162646041_0001</v>
      </c>
      <c r="L937" s="10">
        <v>1</v>
      </c>
      <c r="M937" s="10">
        <v>4</v>
      </c>
    </row>
    <row r="938" spans="1:13">
      <c r="A938" s="8">
        <v>43353</v>
      </c>
      <c r="B938" s="9">
        <v>0.68888888888888899</v>
      </c>
      <c r="C938" s="10" t="str">
        <f>"FES1162646072"</f>
        <v>FES1162646072</v>
      </c>
      <c r="D938" s="10" t="s">
        <v>19</v>
      </c>
      <c r="E938" s="10" t="s">
        <v>462</v>
      </c>
      <c r="F938" s="10" t="str">
        <f>"2170650913 "</f>
        <v xml:space="preserve">2170650913 </v>
      </c>
      <c r="G938" s="10" t="str">
        <f t="shared" si="24"/>
        <v>ON1</v>
      </c>
      <c r="H938" s="10" t="s">
        <v>21</v>
      </c>
      <c r="I938" s="10" t="s">
        <v>290</v>
      </c>
      <c r="J938" s="10" t="str">
        <f>""</f>
        <v/>
      </c>
      <c r="K938" s="10" t="str">
        <f>"PFES1162646072_0001"</f>
        <v>PFES1162646072_0001</v>
      </c>
      <c r="L938" s="10">
        <v>1</v>
      </c>
      <c r="M938" s="10">
        <v>5</v>
      </c>
    </row>
    <row r="939" spans="1:13">
      <c r="A939" s="8">
        <v>43353</v>
      </c>
      <c r="B939" s="9">
        <v>0.68819444444444444</v>
      </c>
      <c r="C939" s="10" t="str">
        <f>"FES1162646295"</f>
        <v>FES1162646295</v>
      </c>
      <c r="D939" s="10" t="s">
        <v>19</v>
      </c>
      <c r="E939" s="10" t="s">
        <v>141</v>
      </c>
      <c r="F939" s="10" t="str">
        <f>"2170651061 "</f>
        <v xml:space="preserve">2170651061 </v>
      </c>
      <c r="G939" s="10" t="str">
        <f t="shared" si="24"/>
        <v>ON1</v>
      </c>
      <c r="H939" s="10" t="s">
        <v>21</v>
      </c>
      <c r="I939" s="10" t="s">
        <v>91</v>
      </c>
      <c r="J939" s="10" t="str">
        <f>""</f>
        <v/>
      </c>
      <c r="K939" s="10" t="str">
        <f>"PFES1162646295_0001"</f>
        <v>PFES1162646295_0001</v>
      </c>
      <c r="L939" s="10">
        <v>1</v>
      </c>
      <c r="M939" s="10">
        <v>2</v>
      </c>
    </row>
    <row r="940" spans="1:13">
      <c r="A940" s="8">
        <v>43353</v>
      </c>
      <c r="B940" s="9">
        <v>0.68680555555555556</v>
      </c>
      <c r="C940" s="10" t="str">
        <f>"FES1162646269"</f>
        <v>FES1162646269</v>
      </c>
      <c r="D940" s="10" t="s">
        <v>19</v>
      </c>
      <c r="E940" s="10" t="s">
        <v>634</v>
      </c>
      <c r="F940" s="10" t="str">
        <f>"2170651034 "</f>
        <v xml:space="preserve">2170651034 </v>
      </c>
      <c r="G940" s="10" t="str">
        <f t="shared" si="24"/>
        <v>ON1</v>
      </c>
      <c r="H940" s="10" t="s">
        <v>21</v>
      </c>
      <c r="I940" s="10" t="s">
        <v>541</v>
      </c>
      <c r="J940" s="10" t="str">
        <f>""</f>
        <v/>
      </c>
      <c r="K940" s="10" t="str">
        <f>"PFES1162646269_0001"</f>
        <v>PFES1162646269_0001</v>
      </c>
      <c r="L940" s="10">
        <v>1</v>
      </c>
      <c r="M940" s="10">
        <v>6</v>
      </c>
    </row>
    <row r="941" spans="1:13">
      <c r="A941" s="8">
        <v>43353</v>
      </c>
      <c r="B941" s="9">
        <v>0.68611111111111101</v>
      </c>
      <c r="C941" s="10" t="str">
        <f>"FES1162646304"</f>
        <v>FES1162646304</v>
      </c>
      <c r="D941" s="10" t="s">
        <v>19</v>
      </c>
      <c r="E941" s="10" t="s">
        <v>482</v>
      </c>
      <c r="F941" s="10" t="str">
        <f>"2170651078 "</f>
        <v xml:space="preserve">2170651078 </v>
      </c>
      <c r="G941" s="10" t="str">
        <f t="shared" si="24"/>
        <v>ON1</v>
      </c>
      <c r="H941" s="10" t="s">
        <v>21</v>
      </c>
      <c r="I941" s="10" t="s">
        <v>474</v>
      </c>
      <c r="J941" s="10" t="str">
        <f>""</f>
        <v/>
      </c>
      <c r="K941" s="10" t="str">
        <f>"PFES1162646304_0001"</f>
        <v>PFES1162646304_0001</v>
      </c>
      <c r="L941" s="10">
        <v>1</v>
      </c>
      <c r="M941" s="10">
        <v>6</v>
      </c>
    </row>
    <row r="942" spans="1:13">
      <c r="A942" s="8">
        <v>43353</v>
      </c>
      <c r="B942" s="9">
        <v>0.68402777777777779</v>
      </c>
      <c r="C942" s="10" t="str">
        <f>"FES1162646199"</f>
        <v>FES1162646199</v>
      </c>
      <c r="D942" s="10" t="s">
        <v>19</v>
      </c>
      <c r="E942" s="10" t="s">
        <v>251</v>
      </c>
      <c r="F942" s="10" t="str">
        <f>"2170647248 "</f>
        <v xml:space="preserve">2170647248 </v>
      </c>
      <c r="G942" s="10" t="str">
        <f t="shared" si="24"/>
        <v>ON1</v>
      </c>
      <c r="H942" s="10" t="s">
        <v>21</v>
      </c>
      <c r="I942" s="10" t="s">
        <v>252</v>
      </c>
      <c r="J942" s="10" t="str">
        <f>""</f>
        <v/>
      </c>
      <c r="K942" s="10" t="str">
        <f>"PFES1162646199_0001"</f>
        <v>PFES1162646199_0001</v>
      </c>
      <c r="L942" s="10">
        <v>1</v>
      </c>
      <c r="M942" s="10">
        <v>6</v>
      </c>
    </row>
    <row r="943" spans="1:13">
      <c r="A943" s="8">
        <v>43353</v>
      </c>
      <c r="B943" s="9">
        <v>0.68333333333333324</v>
      </c>
      <c r="C943" s="10" t="str">
        <f>"FES1162646320"</f>
        <v>FES1162646320</v>
      </c>
      <c r="D943" s="10" t="s">
        <v>19</v>
      </c>
      <c r="E943" s="10" t="s">
        <v>635</v>
      </c>
      <c r="F943" s="10" t="str">
        <f>"2170651094 "</f>
        <v xml:space="preserve">2170651094 </v>
      </c>
      <c r="G943" s="10" t="str">
        <f t="shared" si="24"/>
        <v>ON1</v>
      </c>
      <c r="H943" s="10" t="s">
        <v>21</v>
      </c>
      <c r="I943" s="10" t="s">
        <v>636</v>
      </c>
      <c r="J943" s="10" t="str">
        <f>""</f>
        <v/>
      </c>
      <c r="K943" s="10" t="str">
        <f>"PFES1162646320_0001"</f>
        <v>PFES1162646320_0001</v>
      </c>
      <c r="L943" s="10">
        <v>1</v>
      </c>
      <c r="M943" s="10">
        <v>1</v>
      </c>
    </row>
    <row r="944" spans="1:13">
      <c r="A944" s="8">
        <v>43353</v>
      </c>
      <c r="B944" s="9">
        <v>0.68263888888888891</v>
      </c>
      <c r="C944" s="10" t="str">
        <f>"FES1162646268"</f>
        <v>FES1162646268</v>
      </c>
      <c r="D944" s="10" t="s">
        <v>19</v>
      </c>
      <c r="E944" s="10" t="s">
        <v>637</v>
      </c>
      <c r="F944" s="10" t="str">
        <f>"2170651033 "</f>
        <v xml:space="preserve">2170651033 </v>
      </c>
      <c r="G944" s="10" t="str">
        <f t="shared" si="24"/>
        <v>ON1</v>
      </c>
      <c r="H944" s="10" t="s">
        <v>21</v>
      </c>
      <c r="I944" s="10" t="s">
        <v>557</v>
      </c>
      <c r="J944" s="10" t="str">
        <f>""</f>
        <v/>
      </c>
      <c r="K944" s="10" t="str">
        <f>"PFES1162646268_0001"</f>
        <v>PFES1162646268_0001</v>
      </c>
      <c r="L944" s="10">
        <v>1</v>
      </c>
      <c r="M944" s="10">
        <v>1</v>
      </c>
    </row>
    <row r="945" spans="1:13">
      <c r="A945" s="8">
        <v>43353</v>
      </c>
      <c r="B945" s="9">
        <v>0.68263888888888891</v>
      </c>
      <c r="C945" s="10" t="str">
        <f>"FES1162646329"</f>
        <v>FES1162646329</v>
      </c>
      <c r="D945" s="10" t="s">
        <v>19</v>
      </c>
      <c r="E945" s="10" t="s">
        <v>638</v>
      </c>
      <c r="F945" s="10" t="str">
        <f>"2170651018 "</f>
        <v xml:space="preserve">2170651018 </v>
      </c>
      <c r="G945" s="10" t="str">
        <f t="shared" si="24"/>
        <v>ON1</v>
      </c>
      <c r="H945" s="10" t="s">
        <v>21</v>
      </c>
      <c r="I945" s="10" t="s">
        <v>193</v>
      </c>
      <c r="J945" s="10" t="str">
        <f>""</f>
        <v/>
      </c>
      <c r="K945" s="10" t="str">
        <f>"PFES1162646329_0001"</f>
        <v>PFES1162646329_0001</v>
      </c>
      <c r="L945" s="10">
        <v>1</v>
      </c>
      <c r="M945" s="10">
        <v>1</v>
      </c>
    </row>
    <row r="946" spans="1:13">
      <c r="A946" s="8">
        <v>43353</v>
      </c>
      <c r="B946" s="9">
        <v>0.68263888888888891</v>
      </c>
      <c r="C946" s="10" t="str">
        <f>"FES1162646343"</f>
        <v>FES1162646343</v>
      </c>
      <c r="D946" s="10" t="s">
        <v>19</v>
      </c>
      <c r="E946" s="10" t="s">
        <v>639</v>
      </c>
      <c r="F946" s="10" t="str">
        <f>"2170651118 "</f>
        <v xml:space="preserve">2170651118 </v>
      </c>
      <c r="G946" s="10" t="str">
        <f t="shared" si="24"/>
        <v>ON1</v>
      </c>
      <c r="H946" s="10" t="s">
        <v>21</v>
      </c>
      <c r="I946" s="10" t="s">
        <v>273</v>
      </c>
      <c r="J946" s="10" t="str">
        <f>""</f>
        <v/>
      </c>
      <c r="K946" s="10" t="str">
        <f>"PFES1162646343_0001"</f>
        <v>PFES1162646343_0001</v>
      </c>
      <c r="L946" s="10">
        <v>1</v>
      </c>
      <c r="M946" s="10">
        <v>1</v>
      </c>
    </row>
    <row r="947" spans="1:13">
      <c r="A947" s="8">
        <v>43353</v>
      </c>
      <c r="B947" s="9">
        <v>0.68194444444444446</v>
      </c>
      <c r="C947" s="10" t="str">
        <f>"FES1162646294"</f>
        <v>FES1162646294</v>
      </c>
      <c r="D947" s="10" t="s">
        <v>19</v>
      </c>
      <c r="E947" s="10" t="s">
        <v>141</v>
      </c>
      <c r="F947" s="10" t="str">
        <f>"2170651060 "</f>
        <v xml:space="preserve">2170651060 </v>
      </c>
      <c r="G947" s="10" t="str">
        <f t="shared" si="24"/>
        <v>ON1</v>
      </c>
      <c r="H947" s="10" t="s">
        <v>21</v>
      </c>
      <c r="I947" s="10" t="s">
        <v>91</v>
      </c>
      <c r="J947" s="10" t="str">
        <f>""</f>
        <v/>
      </c>
      <c r="K947" s="10" t="str">
        <f>"PFES1162646294_0001"</f>
        <v>PFES1162646294_0001</v>
      </c>
      <c r="L947" s="10">
        <v>1</v>
      </c>
      <c r="M947" s="10">
        <v>1</v>
      </c>
    </row>
    <row r="948" spans="1:13">
      <c r="A948" s="8">
        <v>43353</v>
      </c>
      <c r="B948" s="9">
        <v>0.68194444444444446</v>
      </c>
      <c r="C948" s="10" t="str">
        <f>"FES1162646249"</f>
        <v>FES1162646249</v>
      </c>
      <c r="D948" s="10" t="s">
        <v>19</v>
      </c>
      <c r="E948" s="10" t="s">
        <v>640</v>
      </c>
      <c r="F948" s="10" t="str">
        <f>"2170651008 "</f>
        <v xml:space="preserve">2170651008 </v>
      </c>
      <c r="G948" s="10" t="str">
        <f t="shared" si="24"/>
        <v>ON1</v>
      </c>
      <c r="H948" s="10" t="s">
        <v>21</v>
      </c>
      <c r="I948" s="10" t="s">
        <v>641</v>
      </c>
      <c r="J948" s="10" t="str">
        <f>""</f>
        <v/>
      </c>
      <c r="K948" s="10" t="str">
        <f>"PFES1162646249_0001"</f>
        <v>PFES1162646249_0001</v>
      </c>
      <c r="L948" s="10">
        <v>1</v>
      </c>
      <c r="M948" s="10">
        <v>1</v>
      </c>
    </row>
    <row r="949" spans="1:13">
      <c r="A949" s="8">
        <v>43353</v>
      </c>
      <c r="B949" s="9">
        <v>0.68194444444444446</v>
      </c>
      <c r="C949" s="10" t="str">
        <f>"FES1162646252"</f>
        <v>FES1162646252</v>
      </c>
      <c r="D949" s="10" t="s">
        <v>19</v>
      </c>
      <c r="E949" s="10" t="s">
        <v>397</v>
      </c>
      <c r="F949" s="10" t="str">
        <f>"2170651013 "</f>
        <v xml:space="preserve">2170651013 </v>
      </c>
      <c r="G949" s="10" t="str">
        <f t="shared" si="24"/>
        <v>ON1</v>
      </c>
      <c r="H949" s="10" t="s">
        <v>21</v>
      </c>
      <c r="I949" s="10" t="s">
        <v>89</v>
      </c>
      <c r="J949" s="10" t="str">
        <f>""</f>
        <v/>
      </c>
      <c r="K949" s="10" t="str">
        <f>"PFES1162646252_0001"</f>
        <v>PFES1162646252_0001</v>
      </c>
      <c r="L949" s="10">
        <v>1</v>
      </c>
      <c r="M949" s="10">
        <v>1</v>
      </c>
    </row>
    <row r="950" spans="1:13">
      <c r="A950" s="8">
        <v>43353</v>
      </c>
      <c r="B950" s="9">
        <v>0.68194444444444446</v>
      </c>
      <c r="C950" s="10" t="str">
        <f>"FES1162646377"</f>
        <v>FES1162646377</v>
      </c>
      <c r="D950" s="10" t="s">
        <v>19</v>
      </c>
      <c r="E950" s="10" t="s">
        <v>35</v>
      </c>
      <c r="F950" s="10" t="str">
        <f>"2170651128 "</f>
        <v xml:space="preserve">2170651128 </v>
      </c>
      <c r="G950" s="10" t="str">
        <f t="shared" si="24"/>
        <v>ON1</v>
      </c>
      <c r="H950" s="10" t="s">
        <v>21</v>
      </c>
      <c r="I950" s="10" t="s">
        <v>36</v>
      </c>
      <c r="J950" s="10" t="str">
        <f>""</f>
        <v/>
      </c>
      <c r="K950" s="10" t="str">
        <f>"PFES1162646377_0001"</f>
        <v>PFES1162646377_0001</v>
      </c>
      <c r="L950" s="10">
        <v>1</v>
      </c>
      <c r="M950" s="10">
        <v>1</v>
      </c>
    </row>
    <row r="951" spans="1:13">
      <c r="A951" s="8">
        <v>43353</v>
      </c>
      <c r="B951" s="9">
        <v>0.68125000000000002</v>
      </c>
      <c r="C951" s="10" t="str">
        <f>"FES1162646250"</f>
        <v>FES1162646250</v>
      </c>
      <c r="D951" s="10" t="s">
        <v>19</v>
      </c>
      <c r="E951" s="10" t="s">
        <v>397</v>
      </c>
      <c r="F951" s="10" t="str">
        <f>"2170651009 "</f>
        <v xml:space="preserve">2170651009 </v>
      </c>
      <c r="G951" s="10" t="str">
        <f t="shared" si="24"/>
        <v>ON1</v>
      </c>
      <c r="H951" s="10" t="s">
        <v>21</v>
      </c>
      <c r="I951" s="10" t="s">
        <v>89</v>
      </c>
      <c r="J951" s="10" t="str">
        <f>""</f>
        <v/>
      </c>
      <c r="K951" s="10" t="str">
        <f>"PFES1162646250_0001"</f>
        <v>PFES1162646250_0001</v>
      </c>
      <c r="L951" s="10">
        <v>1</v>
      </c>
      <c r="M951" s="10">
        <v>1</v>
      </c>
    </row>
    <row r="952" spans="1:13">
      <c r="A952" s="8">
        <v>43353</v>
      </c>
      <c r="B952" s="9">
        <v>0.68125000000000002</v>
      </c>
      <c r="C952" s="10" t="str">
        <f>"FES1162646207"</f>
        <v>FES1162646207</v>
      </c>
      <c r="D952" s="10" t="s">
        <v>19</v>
      </c>
      <c r="E952" s="10" t="s">
        <v>447</v>
      </c>
      <c r="F952" s="10" t="str">
        <f>"2170648156 "</f>
        <v xml:space="preserve">2170648156 </v>
      </c>
      <c r="G952" s="10" t="str">
        <f t="shared" si="24"/>
        <v>ON1</v>
      </c>
      <c r="H952" s="10" t="s">
        <v>21</v>
      </c>
      <c r="I952" s="10" t="s">
        <v>448</v>
      </c>
      <c r="J952" s="10" t="str">
        <f>""</f>
        <v/>
      </c>
      <c r="K952" s="10" t="str">
        <f>"PFES1162646207_0001"</f>
        <v>PFES1162646207_0001</v>
      </c>
      <c r="L952" s="10">
        <v>1</v>
      </c>
      <c r="M952" s="10">
        <v>1</v>
      </c>
    </row>
    <row r="953" spans="1:13">
      <c r="A953" s="8">
        <v>43353</v>
      </c>
      <c r="B953" s="9">
        <v>0.68125000000000002</v>
      </c>
      <c r="C953" s="10" t="str">
        <f>"FES1162646042"</f>
        <v>FES1162646042</v>
      </c>
      <c r="D953" s="10" t="s">
        <v>19</v>
      </c>
      <c r="E953" s="10" t="s">
        <v>447</v>
      </c>
      <c r="F953" s="10" t="str">
        <f>"2170649114 "</f>
        <v xml:space="preserve">2170649114 </v>
      </c>
      <c r="G953" s="10" t="str">
        <f t="shared" si="24"/>
        <v>ON1</v>
      </c>
      <c r="H953" s="10" t="s">
        <v>21</v>
      </c>
      <c r="I953" s="10" t="s">
        <v>448</v>
      </c>
      <c r="J953" s="10" t="str">
        <f>""</f>
        <v/>
      </c>
      <c r="K953" s="10" t="str">
        <f>"PFES1162646042_0001"</f>
        <v>PFES1162646042_0001</v>
      </c>
      <c r="L953" s="10">
        <v>1</v>
      </c>
      <c r="M953" s="10">
        <v>1</v>
      </c>
    </row>
    <row r="954" spans="1:13">
      <c r="A954" s="8">
        <v>43353</v>
      </c>
      <c r="B954" s="9">
        <v>0.68125000000000002</v>
      </c>
      <c r="C954" s="10" t="str">
        <f>"FES1162646208"</f>
        <v>FES1162646208</v>
      </c>
      <c r="D954" s="10" t="s">
        <v>19</v>
      </c>
      <c r="E954" s="10" t="s">
        <v>447</v>
      </c>
      <c r="F954" s="10" t="str">
        <f>"2170648157 "</f>
        <v xml:space="preserve">2170648157 </v>
      </c>
      <c r="G954" s="10" t="str">
        <f t="shared" si="24"/>
        <v>ON1</v>
      </c>
      <c r="H954" s="10" t="s">
        <v>21</v>
      </c>
      <c r="I954" s="10" t="s">
        <v>448</v>
      </c>
      <c r="J954" s="10" t="str">
        <f>""</f>
        <v/>
      </c>
      <c r="K954" s="10" t="str">
        <f>"PFES1162646208_0001"</f>
        <v>PFES1162646208_0001</v>
      </c>
      <c r="L954" s="10">
        <v>1</v>
      </c>
      <c r="M954" s="10">
        <v>4</v>
      </c>
    </row>
    <row r="955" spans="1:13">
      <c r="A955" s="8">
        <v>43353</v>
      </c>
      <c r="B955" s="9">
        <v>0.68125000000000002</v>
      </c>
      <c r="C955" s="10" t="str">
        <f>"FES1162646223"</f>
        <v>FES1162646223</v>
      </c>
      <c r="D955" s="10" t="s">
        <v>19</v>
      </c>
      <c r="E955" s="10" t="s">
        <v>268</v>
      </c>
      <c r="F955" s="10" t="str">
        <f>"2170648347 "</f>
        <v xml:space="preserve">2170648347 </v>
      </c>
      <c r="G955" s="10" t="str">
        <f t="shared" si="24"/>
        <v>ON1</v>
      </c>
      <c r="H955" s="10" t="s">
        <v>21</v>
      </c>
      <c r="I955" s="10" t="s">
        <v>269</v>
      </c>
      <c r="J955" s="10" t="str">
        <f>""</f>
        <v/>
      </c>
      <c r="K955" s="10" t="str">
        <f>"PFES1162646223_0001"</f>
        <v>PFES1162646223_0001</v>
      </c>
      <c r="L955" s="10">
        <v>1</v>
      </c>
      <c r="M955" s="10">
        <v>1</v>
      </c>
    </row>
    <row r="956" spans="1:13">
      <c r="A956" s="8">
        <v>43353</v>
      </c>
      <c r="B956" s="9">
        <v>0.68055555555555547</v>
      </c>
      <c r="C956" s="10" t="str">
        <f>"FES1162646130"</f>
        <v>FES1162646130</v>
      </c>
      <c r="D956" s="10" t="s">
        <v>19</v>
      </c>
      <c r="E956" s="10" t="s">
        <v>268</v>
      </c>
      <c r="F956" s="10" t="str">
        <f>"21706471456 "</f>
        <v xml:space="preserve">21706471456 </v>
      </c>
      <c r="G956" s="10" t="str">
        <f t="shared" ref="G956:G1019" si="25">"ON1"</f>
        <v>ON1</v>
      </c>
      <c r="H956" s="10" t="s">
        <v>21</v>
      </c>
      <c r="I956" s="10" t="s">
        <v>105</v>
      </c>
      <c r="J956" s="10" t="str">
        <f>""</f>
        <v/>
      </c>
      <c r="K956" s="10" t="str">
        <f>"PFES1162646130_0001"</f>
        <v>PFES1162646130_0001</v>
      </c>
      <c r="L956" s="10">
        <v>1</v>
      </c>
      <c r="M956" s="10">
        <v>1</v>
      </c>
    </row>
    <row r="957" spans="1:13">
      <c r="A957" s="8">
        <v>43353</v>
      </c>
      <c r="B957" s="9">
        <v>0.68055555555555547</v>
      </c>
      <c r="C957" s="10" t="str">
        <f>"FES1162646090"</f>
        <v>FES1162646090</v>
      </c>
      <c r="D957" s="10" t="s">
        <v>19</v>
      </c>
      <c r="E957" s="10" t="s">
        <v>642</v>
      </c>
      <c r="F957" s="10" t="str">
        <f>"2176050938 "</f>
        <v xml:space="preserve">2176050938 </v>
      </c>
      <c r="G957" s="10" t="str">
        <f t="shared" si="25"/>
        <v>ON1</v>
      </c>
      <c r="H957" s="10" t="s">
        <v>21</v>
      </c>
      <c r="I957" s="10" t="s">
        <v>171</v>
      </c>
      <c r="J957" s="10" t="str">
        <f>""</f>
        <v/>
      </c>
      <c r="K957" s="10" t="str">
        <f>"PFES1162646090_0001"</f>
        <v>PFES1162646090_0001</v>
      </c>
      <c r="L957" s="10">
        <v>1</v>
      </c>
      <c r="M957" s="10">
        <v>2</v>
      </c>
    </row>
    <row r="958" spans="1:13">
      <c r="A958" s="8">
        <v>43353</v>
      </c>
      <c r="B958" s="9">
        <v>0.67986111111111114</v>
      </c>
      <c r="C958" s="10" t="str">
        <f>"FES1162646353"</f>
        <v>FES1162646353</v>
      </c>
      <c r="D958" s="10" t="s">
        <v>19</v>
      </c>
      <c r="E958" s="10" t="s">
        <v>526</v>
      </c>
      <c r="F958" s="10" t="str">
        <f>"2170651128 "</f>
        <v xml:space="preserve">2170651128 </v>
      </c>
      <c r="G958" s="10" t="str">
        <f t="shared" si="25"/>
        <v>ON1</v>
      </c>
      <c r="H958" s="10" t="s">
        <v>21</v>
      </c>
      <c r="I958" s="10" t="s">
        <v>36</v>
      </c>
      <c r="J958" s="10" t="str">
        <f>""</f>
        <v/>
      </c>
      <c r="K958" s="10" t="str">
        <f>"PFES1162646353_0001"</f>
        <v>PFES1162646353_0001</v>
      </c>
      <c r="L958" s="10">
        <v>1</v>
      </c>
      <c r="M958" s="10">
        <v>6</v>
      </c>
    </row>
    <row r="959" spans="1:13">
      <c r="A959" s="8">
        <v>43353</v>
      </c>
      <c r="B959" s="9">
        <v>0.67986111111111114</v>
      </c>
      <c r="C959" s="10" t="str">
        <f>"FES1162646278"</f>
        <v>FES1162646278</v>
      </c>
      <c r="D959" s="10" t="s">
        <v>19</v>
      </c>
      <c r="E959" s="10" t="s">
        <v>275</v>
      </c>
      <c r="F959" s="10" t="str">
        <f>"2170651011 "</f>
        <v xml:space="preserve">2170651011 </v>
      </c>
      <c r="G959" s="10" t="str">
        <f t="shared" si="25"/>
        <v>ON1</v>
      </c>
      <c r="H959" s="10" t="s">
        <v>21</v>
      </c>
      <c r="I959" s="10" t="s">
        <v>171</v>
      </c>
      <c r="J959" s="10" t="str">
        <f>""</f>
        <v/>
      </c>
      <c r="K959" s="10" t="str">
        <f>"PFES1162646278_0001"</f>
        <v>PFES1162646278_0001</v>
      </c>
      <c r="L959" s="10">
        <v>1</v>
      </c>
      <c r="M959" s="10">
        <v>5</v>
      </c>
    </row>
    <row r="960" spans="1:13">
      <c r="A960" s="8">
        <v>43353</v>
      </c>
      <c r="B960" s="9">
        <v>0.67986111111111114</v>
      </c>
      <c r="C960" s="10" t="str">
        <f>"FES1162646260"</f>
        <v>FES1162646260</v>
      </c>
      <c r="D960" s="10" t="s">
        <v>19</v>
      </c>
      <c r="E960" s="10" t="s">
        <v>643</v>
      </c>
      <c r="F960" s="10" t="str">
        <f>"2170651022 "</f>
        <v xml:space="preserve">2170651022 </v>
      </c>
      <c r="G960" s="10" t="str">
        <f t="shared" si="25"/>
        <v>ON1</v>
      </c>
      <c r="H960" s="10" t="s">
        <v>21</v>
      </c>
      <c r="I960" s="10" t="s">
        <v>204</v>
      </c>
      <c r="J960" s="10" t="str">
        <f>""</f>
        <v/>
      </c>
      <c r="K960" s="10" t="str">
        <f>"PFES1162646260_0001"</f>
        <v>PFES1162646260_0001</v>
      </c>
      <c r="L960" s="10">
        <v>1</v>
      </c>
      <c r="M960" s="10">
        <v>4</v>
      </c>
    </row>
    <row r="961" spans="1:13">
      <c r="A961" s="8">
        <v>43353</v>
      </c>
      <c r="B961" s="9">
        <v>0.67986111111111114</v>
      </c>
      <c r="C961" s="10" t="str">
        <f>"FES1162646267"</f>
        <v>FES1162646267</v>
      </c>
      <c r="D961" s="10" t="s">
        <v>19</v>
      </c>
      <c r="E961" s="10" t="s">
        <v>39</v>
      </c>
      <c r="F961" s="10" t="str">
        <f>"2170651031 "</f>
        <v xml:space="preserve">2170651031 </v>
      </c>
      <c r="G961" s="10" t="str">
        <f t="shared" si="25"/>
        <v>ON1</v>
      </c>
      <c r="H961" s="10" t="s">
        <v>21</v>
      </c>
      <c r="I961" s="10" t="s">
        <v>40</v>
      </c>
      <c r="J961" s="10" t="str">
        <f>""</f>
        <v/>
      </c>
      <c r="K961" s="10" t="str">
        <f>"PFES1162646267_0001"</f>
        <v>PFES1162646267_0001</v>
      </c>
      <c r="L961" s="10">
        <v>1</v>
      </c>
      <c r="M961" s="10">
        <v>3</v>
      </c>
    </row>
    <row r="962" spans="1:13">
      <c r="A962" s="8">
        <v>43353</v>
      </c>
      <c r="B962" s="9">
        <v>0.6791666666666667</v>
      </c>
      <c r="C962" s="10" t="str">
        <f>"FES1162646307"</f>
        <v>FES1162646307</v>
      </c>
      <c r="D962" s="10" t="s">
        <v>19</v>
      </c>
      <c r="E962" s="10" t="s">
        <v>253</v>
      </c>
      <c r="F962" s="10" t="str">
        <f>"2170651079 "</f>
        <v xml:space="preserve">2170651079 </v>
      </c>
      <c r="G962" s="10" t="str">
        <f t="shared" si="25"/>
        <v>ON1</v>
      </c>
      <c r="H962" s="10" t="s">
        <v>21</v>
      </c>
      <c r="I962" s="10" t="s">
        <v>254</v>
      </c>
      <c r="J962" s="10" t="str">
        <f>""</f>
        <v/>
      </c>
      <c r="K962" s="10" t="str">
        <f>"PFES1162646307_0001"</f>
        <v>PFES1162646307_0001</v>
      </c>
      <c r="L962" s="10">
        <v>1</v>
      </c>
      <c r="M962" s="10">
        <v>2</v>
      </c>
    </row>
    <row r="963" spans="1:13">
      <c r="A963" s="8">
        <v>43353</v>
      </c>
      <c r="B963" s="9">
        <v>0.67847222222222225</v>
      </c>
      <c r="C963" s="10" t="str">
        <f>"FES1162646379"</f>
        <v>FES1162646379</v>
      </c>
      <c r="D963" s="10" t="s">
        <v>19</v>
      </c>
      <c r="E963" s="10" t="s">
        <v>644</v>
      </c>
      <c r="F963" s="10" t="str">
        <f>"2170647943 "</f>
        <v xml:space="preserve">2170647943 </v>
      </c>
      <c r="G963" s="10" t="str">
        <f t="shared" si="25"/>
        <v>ON1</v>
      </c>
      <c r="H963" s="10" t="s">
        <v>21</v>
      </c>
      <c r="I963" s="10" t="s">
        <v>645</v>
      </c>
      <c r="J963" s="10" t="str">
        <f>""</f>
        <v/>
      </c>
      <c r="K963" s="10" t="str">
        <f>"PFES1162646379_0001"</f>
        <v>PFES1162646379_0001</v>
      </c>
      <c r="L963" s="10">
        <v>1</v>
      </c>
      <c r="M963" s="10">
        <v>2</v>
      </c>
    </row>
    <row r="964" spans="1:13">
      <c r="A964" s="8">
        <v>43353</v>
      </c>
      <c r="B964" s="9">
        <v>0.67847222222222225</v>
      </c>
      <c r="C964" s="10" t="str">
        <f>"FES1162646347"</f>
        <v>FES1162646347</v>
      </c>
      <c r="D964" s="10" t="s">
        <v>19</v>
      </c>
      <c r="E964" s="10" t="s">
        <v>397</v>
      </c>
      <c r="F964" s="10" t="str">
        <f>"2170648421 "</f>
        <v xml:space="preserve">2170648421 </v>
      </c>
      <c r="G964" s="10" t="str">
        <f t="shared" si="25"/>
        <v>ON1</v>
      </c>
      <c r="H964" s="10" t="s">
        <v>21</v>
      </c>
      <c r="I964" s="10" t="s">
        <v>89</v>
      </c>
      <c r="J964" s="10" t="str">
        <f>""</f>
        <v/>
      </c>
      <c r="K964" s="10" t="str">
        <f>"PFES1162646347_0001"</f>
        <v>PFES1162646347_0001</v>
      </c>
      <c r="L964" s="10">
        <v>1</v>
      </c>
      <c r="M964" s="10">
        <v>4</v>
      </c>
    </row>
    <row r="965" spans="1:13">
      <c r="A965" s="8">
        <v>43353</v>
      </c>
      <c r="B965" s="9">
        <v>0.67847222222222225</v>
      </c>
      <c r="C965" s="10" t="str">
        <f>"FES1162646285"</f>
        <v>FES1162646285</v>
      </c>
      <c r="D965" s="10" t="s">
        <v>19</v>
      </c>
      <c r="E965" s="10" t="s">
        <v>253</v>
      </c>
      <c r="F965" s="10" t="str">
        <f>"2170650475 "</f>
        <v xml:space="preserve">2170650475 </v>
      </c>
      <c r="G965" s="10" t="str">
        <f t="shared" si="25"/>
        <v>ON1</v>
      </c>
      <c r="H965" s="10" t="s">
        <v>21</v>
      </c>
      <c r="I965" s="10" t="s">
        <v>254</v>
      </c>
      <c r="J965" s="10" t="str">
        <f>""</f>
        <v/>
      </c>
      <c r="K965" s="10" t="str">
        <f>"PFES1162646285_0001"</f>
        <v>PFES1162646285_0001</v>
      </c>
      <c r="L965" s="10">
        <v>1</v>
      </c>
      <c r="M965" s="10">
        <v>5</v>
      </c>
    </row>
    <row r="966" spans="1:13">
      <c r="A966" s="8">
        <v>43353</v>
      </c>
      <c r="B966" s="9">
        <v>0.67569444444444438</v>
      </c>
      <c r="C966" s="10" t="str">
        <f>"FES1162646040"</f>
        <v>FES1162646040</v>
      </c>
      <c r="D966" s="10" t="s">
        <v>19</v>
      </c>
      <c r="E966" s="10" t="s">
        <v>573</v>
      </c>
      <c r="F966" s="10" t="str">
        <f>"2170649073 "</f>
        <v xml:space="preserve">2170649073 </v>
      </c>
      <c r="G966" s="10" t="str">
        <f t="shared" si="25"/>
        <v>ON1</v>
      </c>
      <c r="H966" s="10" t="s">
        <v>21</v>
      </c>
      <c r="I966" s="10" t="s">
        <v>105</v>
      </c>
      <c r="J966" s="10" t="str">
        <f>""</f>
        <v/>
      </c>
      <c r="K966" s="10" t="str">
        <f>"PFES1162646040_0001"</f>
        <v>PFES1162646040_0001</v>
      </c>
      <c r="L966" s="10">
        <v>2</v>
      </c>
      <c r="M966" s="10">
        <v>6</v>
      </c>
    </row>
    <row r="967" spans="1:13">
      <c r="A967" s="8">
        <v>43353</v>
      </c>
      <c r="B967" s="9">
        <v>0.6694444444444444</v>
      </c>
      <c r="C967" s="10" t="str">
        <f>"FES1162646317"</f>
        <v>FES1162646317</v>
      </c>
      <c r="D967" s="10" t="s">
        <v>19</v>
      </c>
      <c r="E967" s="10" t="s">
        <v>39</v>
      </c>
      <c r="F967" s="10" t="str">
        <f>"2170651092 "</f>
        <v xml:space="preserve">2170651092 </v>
      </c>
      <c r="G967" s="10" t="str">
        <f t="shared" si="25"/>
        <v>ON1</v>
      </c>
      <c r="H967" s="10" t="s">
        <v>21</v>
      </c>
      <c r="I967" s="10" t="s">
        <v>40</v>
      </c>
      <c r="J967" s="10" t="str">
        <f>""</f>
        <v/>
      </c>
      <c r="K967" s="10" t="str">
        <f>"PFES1162646317_0001"</f>
        <v>PFES1162646317_0001</v>
      </c>
      <c r="L967" s="10">
        <v>1</v>
      </c>
      <c r="M967" s="10">
        <v>1</v>
      </c>
    </row>
    <row r="968" spans="1:13">
      <c r="A968" s="8">
        <v>43353</v>
      </c>
      <c r="B968" s="9">
        <v>0.6694444444444444</v>
      </c>
      <c r="C968" s="10" t="str">
        <f>"FES1162646273"</f>
        <v>FES1162646273</v>
      </c>
      <c r="D968" s="10" t="s">
        <v>19</v>
      </c>
      <c r="E968" s="10" t="s">
        <v>144</v>
      </c>
      <c r="F968" s="10" t="str">
        <f>"2170651038 "</f>
        <v xml:space="preserve">2170651038 </v>
      </c>
      <c r="G968" s="10" t="str">
        <f t="shared" si="25"/>
        <v>ON1</v>
      </c>
      <c r="H968" s="10" t="s">
        <v>21</v>
      </c>
      <c r="I968" s="10" t="s">
        <v>145</v>
      </c>
      <c r="J968" s="10" t="str">
        <f>""</f>
        <v/>
      </c>
      <c r="K968" s="10" t="str">
        <f>"PFES1162646273_0001"</f>
        <v>PFES1162646273_0001</v>
      </c>
      <c r="L968" s="10">
        <v>1</v>
      </c>
      <c r="M968" s="10">
        <v>1</v>
      </c>
    </row>
    <row r="969" spans="1:13">
      <c r="A969" s="8">
        <v>43353</v>
      </c>
      <c r="B969" s="9">
        <v>0.6694444444444444</v>
      </c>
      <c r="C969" s="10" t="str">
        <f>"FES1162646270"</f>
        <v>FES1162646270</v>
      </c>
      <c r="D969" s="10" t="s">
        <v>19</v>
      </c>
      <c r="E969" s="10" t="s">
        <v>359</v>
      </c>
      <c r="F969" s="10" t="str">
        <f>"2170651035 "</f>
        <v xml:space="preserve">2170651035 </v>
      </c>
      <c r="G969" s="10" t="str">
        <f t="shared" si="25"/>
        <v>ON1</v>
      </c>
      <c r="H969" s="10" t="s">
        <v>21</v>
      </c>
      <c r="I969" s="10" t="s">
        <v>87</v>
      </c>
      <c r="J969" s="10" t="str">
        <f>""</f>
        <v/>
      </c>
      <c r="K969" s="10" t="str">
        <f>"PFES1162646270_0001"</f>
        <v>PFES1162646270_0001</v>
      </c>
      <c r="L969" s="10">
        <v>1</v>
      </c>
      <c r="M969" s="10">
        <v>1</v>
      </c>
    </row>
    <row r="970" spans="1:13">
      <c r="A970" s="8">
        <v>43353</v>
      </c>
      <c r="B970" s="9">
        <v>0.66875000000000007</v>
      </c>
      <c r="C970" s="10" t="str">
        <f>"FES1162646216"</f>
        <v>FES1162646216</v>
      </c>
      <c r="D970" s="10" t="s">
        <v>19</v>
      </c>
      <c r="E970" s="10" t="s">
        <v>646</v>
      </c>
      <c r="F970" s="10" t="str">
        <f>"2170648241 "</f>
        <v xml:space="preserve">2170648241 </v>
      </c>
      <c r="G970" s="10" t="str">
        <f t="shared" si="25"/>
        <v>ON1</v>
      </c>
      <c r="H970" s="10" t="s">
        <v>21</v>
      </c>
      <c r="I970" s="10" t="s">
        <v>647</v>
      </c>
      <c r="J970" s="10" t="str">
        <f>""</f>
        <v/>
      </c>
      <c r="K970" s="10" t="str">
        <f>"PFES1162646216_0001"</f>
        <v>PFES1162646216_0001</v>
      </c>
      <c r="L970" s="10">
        <v>1</v>
      </c>
      <c r="M970" s="10">
        <v>1</v>
      </c>
    </row>
    <row r="971" spans="1:13">
      <c r="A971" s="8">
        <v>43353</v>
      </c>
      <c r="B971" s="9">
        <v>0.66875000000000007</v>
      </c>
      <c r="C971" s="10" t="str">
        <f>"FES1162646067"</f>
        <v>FES1162646067</v>
      </c>
      <c r="D971" s="10" t="s">
        <v>19</v>
      </c>
      <c r="E971" s="10" t="s">
        <v>648</v>
      </c>
      <c r="F971" s="10" t="str">
        <f>"2170650904 "</f>
        <v xml:space="preserve">2170650904 </v>
      </c>
      <c r="G971" s="10" t="str">
        <f t="shared" si="25"/>
        <v>ON1</v>
      </c>
      <c r="H971" s="10" t="s">
        <v>21</v>
      </c>
      <c r="I971" s="10" t="s">
        <v>290</v>
      </c>
      <c r="J971" s="10" t="str">
        <f>""</f>
        <v/>
      </c>
      <c r="K971" s="10" t="str">
        <f>"PFES1162646067_0001"</f>
        <v>PFES1162646067_0001</v>
      </c>
      <c r="L971" s="10">
        <v>1</v>
      </c>
      <c r="M971" s="10">
        <v>1</v>
      </c>
    </row>
    <row r="972" spans="1:13">
      <c r="A972" s="8">
        <v>43353</v>
      </c>
      <c r="B972" s="9">
        <v>0.66805555555555562</v>
      </c>
      <c r="C972" s="10" t="str">
        <f>"FES1162646277"</f>
        <v>FES1162646277</v>
      </c>
      <c r="D972" s="10" t="s">
        <v>19</v>
      </c>
      <c r="E972" s="10" t="s">
        <v>401</v>
      </c>
      <c r="F972" s="10" t="str">
        <f>"2170650991 "</f>
        <v xml:space="preserve">2170650991 </v>
      </c>
      <c r="G972" s="10" t="str">
        <f t="shared" si="25"/>
        <v>ON1</v>
      </c>
      <c r="H972" s="10" t="s">
        <v>21</v>
      </c>
      <c r="I972" s="10" t="s">
        <v>402</v>
      </c>
      <c r="J972" s="10" t="str">
        <f>""</f>
        <v/>
      </c>
      <c r="K972" s="10" t="str">
        <f>"PFES1162646277_0001"</f>
        <v>PFES1162646277_0001</v>
      </c>
      <c r="L972" s="10">
        <v>1</v>
      </c>
      <c r="M972" s="10">
        <v>1</v>
      </c>
    </row>
    <row r="973" spans="1:13">
      <c r="A973" s="8">
        <v>43353</v>
      </c>
      <c r="B973" s="9">
        <v>0.66805555555555562</v>
      </c>
      <c r="C973" s="10" t="str">
        <f>"FES1162646342"</f>
        <v>FES1162646342</v>
      </c>
      <c r="D973" s="10" t="s">
        <v>19</v>
      </c>
      <c r="E973" s="10" t="s">
        <v>90</v>
      </c>
      <c r="F973" s="10" t="str">
        <f>"2170651117 "</f>
        <v xml:space="preserve">2170651117 </v>
      </c>
      <c r="G973" s="10" t="str">
        <f t="shared" si="25"/>
        <v>ON1</v>
      </c>
      <c r="H973" s="10" t="s">
        <v>21</v>
      </c>
      <c r="I973" s="10" t="s">
        <v>91</v>
      </c>
      <c r="J973" s="10" t="str">
        <f>""</f>
        <v/>
      </c>
      <c r="K973" s="10" t="str">
        <f>"PFES1162646342_0001"</f>
        <v>PFES1162646342_0001</v>
      </c>
      <c r="L973" s="10">
        <v>1</v>
      </c>
      <c r="M973" s="10">
        <v>1</v>
      </c>
    </row>
    <row r="974" spans="1:13">
      <c r="A974" s="8">
        <v>43353</v>
      </c>
      <c r="B974" s="9">
        <v>0.66805555555555562</v>
      </c>
      <c r="C974" s="10" t="str">
        <f>"FES1162646339"</f>
        <v>FES1162646339</v>
      </c>
      <c r="D974" s="10" t="s">
        <v>19</v>
      </c>
      <c r="E974" s="10" t="s">
        <v>27</v>
      </c>
      <c r="F974" s="10" t="str">
        <f>"2170651112 "</f>
        <v xml:space="preserve">2170651112 </v>
      </c>
      <c r="G974" s="10" t="str">
        <f t="shared" si="25"/>
        <v>ON1</v>
      </c>
      <c r="H974" s="10" t="s">
        <v>21</v>
      </c>
      <c r="I974" s="10" t="s">
        <v>28</v>
      </c>
      <c r="J974" s="10" t="str">
        <f>""</f>
        <v/>
      </c>
      <c r="K974" s="10" t="str">
        <f>"PFES1162646339_0001"</f>
        <v>PFES1162646339_0001</v>
      </c>
      <c r="L974" s="10">
        <v>1</v>
      </c>
      <c r="M974" s="10">
        <v>1</v>
      </c>
    </row>
    <row r="975" spans="1:13">
      <c r="A975" s="8">
        <v>43353</v>
      </c>
      <c r="B975" s="9">
        <v>0.66736111111111107</v>
      </c>
      <c r="C975" s="10" t="str">
        <f>"FES1162646256"</f>
        <v>FES1162646256</v>
      </c>
      <c r="D975" s="10" t="s">
        <v>19</v>
      </c>
      <c r="E975" s="10" t="s">
        <v>520</v>
      </c>
      <c r="F975" s="10" t="str">
        <f>"2170651019 "</f>
        <v xml:space="preserve">2170651019 </v>
      </c>
      <c r="G975" s="10" t="str">
        <f t="shared" si="25"/>
        <v>ON1</v>
      </c>
      <c r="H975" s="10" t="s">
        <v>21</v>
      </c>
      <c r="I975" s="10" t="s">
        <v>521</v>
      </c>
      <c r="J975" s="10" t="str">
        <f>""</f>
        <v/>
      </c>
      <c r="K975" s="10" t="str">
        <f>"PFES1162646256_0001"</f>
        <v>PFES1162646256_0001</v>
      </c>
      <c r="L975" s="10">
        <v>1</v>
      </c>
      <c r="M975" s="10">
        <v>1</v>
      </c>
    </row>
    <row r="976" spans="1:13">
      <c r="A976" s="8">
        <v>43353</v>
      </c>
      <c r="B976" s="9">
        <v>0.66180555555555554</v>
      </c>
      <c r="C976" s="10" t="str">
        <f>"FES1162646128"</f>
        <v>FES1162646128</v>
      </c>
      <c r="D976" s="10" t="s">
        <v>19</v>
      </c>
      <c r="E976" s="10" t="s">
        <v>70</v>
      </c>
      <c r="F976" s="10" t="str">
        <f>"2170646998 "</f>
        <v xml:space="preserve">2170646998 </v>
      </c>
      <c r="G976" s="10" t="str">
        <f t="shared" si="25"/>
        <v>ON1</v>
      </c>
      <c r="H976" s="10" t="s">
        <v>21</v>
      </c>
      <c r="I976" s="10" t="s">
        <v>57</v>
      </c>
      <c r="J976" s="10" t="str">
        <f>""</f>
        <v/>
      </c>
      <c r="K976" s="10" t="str">
        <f>"PFES1162646128_0001"</f>
        <v>PFES1162646128_0001</v>
      </c>
      <c r="L976" s="10">
        <v>1</v>
      </c>
      <c r="M976" s="10">
        <v>14</v>
      </c>
    </row>
    <row r="977" spans="1:13">
      <c r="A977" s="8">
        <v>43353</v>
      </c>
      <c r="B977" s="9">
        <v>0.66180555555555554</v>
      </c>
      <c r="C977" s="10" t="str">
        <f>"FES1162646257"</f>
        <v>FES1162646257</v>
      </c>
      <c r="D977" s="10" t="s">
        <v>19</v>
      </c>
      <c r="E977" s="10" t="s">
        <v>649</v>
      </c>
      <c r="F977" s="10" t="str">
        <f>"21706450790 "</f>
        <v xml:space="preserve">21706450790 </v>
      </c>
      <c r="G977" s="10" t="str">
        <f t="shared" si="25"/>
        <v>ON1</v>
      </c>
      <c r="H977" s="10" t="s">
        <v>21</v>
      </c>
      <c r="I977" s="10" t="s">
        <v>650</v>
      </c>
      <c r="J977" s="10" t="str">
        <f>""</f>
        <v/>
      </c>
      <c r="K977" s="10" t="str">
        <f>"PFES1162646257_0001"</f>
        <v>PFES1162646257_0001</v>
      </c>
      <c r="L977" s="10">
        <v>1</v>
      </c>
      <c r="M977" s="10">
        <v>1</v>
      </c>
    </row>
    <row r="978" spans="1:13">
      <c r="A978" s="8">
        <v>43353</v>
      </c>
      <c r="B978" s="9">
        <v>0.66041666666666665</v>
      </c>
      <c r="C978" s="10" t="str">
        <f>"FES1162646126"</f>
        <v>FES1162646126</v>
      </c>
      <c r="D978" s="10" t="s">
        <v>19</v>
      </c>
      <c r="E978" s="10" t="s">
        <v>149</v>
      </c>
      <c r="F978" s="10" t="str">
        <f>"2170646656 "</f>
        <v xml:space="preserve">2170646656 </v>
      </c>
      <c r="G978" s="10" t="str">
        <f t="shared" si="25"/>
        <v>ON1</v>
      </c>
      <c r="H978" s="10" t="s">
        <v>21</v>
      </c>
      <c r="I978" s="10" t="s">
        <v>150</v>
      </c>
      <c r="J978" s="10" t="str">
        <f>""</f>
        <v/>
      </c>
      <c r="K978" s="10" t="str">
        <f>"PFES1162646126_0001"</f>
        <v>PFES1162646126_0001</v>
      </c>
      <c r="L978" s="10">
        <v>2</v>
      </c>
      <c r="M978" s="10">
        <v>11</v>
      </c>
    </row>
    <row r="979" spans="1:13">
      <c r="A979" s="8">
        <v>43353</v>
      </c>
      <c r="B979" s="9">
        <v>0.65972222222222221</v>
      </c>
      <c r="C979" s="10" t="str">
        <f>"FES1162646127"</f>
        <v>FES1162646127</v>
      </c>
      <c r="D979" s="10" t="s">
        <v>19</v>
      </c>
      <c r="E979" s="10" t="s">
        <v>70</v>
      </c>
      <c r="F979" s="10" t="str">
        <f>"2170646961 "</f>
        <v xml:space="preserve">2170646961 </v>
      </c>
      <c r="G979" s="10" t="str">
        <f t="shared" si="25"/>
        <v>ON1</v>
      </c>
      <c r="H979" s="10" t="s">
        <v>21</v>
      </c>
      <c r="I979" s="10" t="s">
        <v>57</v>
      </c>
      <c r="J979" s="10" t="str">
        <f>""</f>
        <v/>
      </c>
      <c r="K979" s="10" t="str">
        <f>"PFES1162646127_0001"</f>
        <v>PFES1162646127_0001</v>
      </c>
      <c r="L979" s="10">
        <v>1</v>
      </c>
      <c r="M979" s="10">
        <v>4</v>
      </c>
    </row>
    <row r="980" spans="1:13">
      <c r="A980" s="8">
        <v>43353</v>
      </c>
      <c r="B980" s="9">
        <v>0.65902777777777777</v>
      </c>
      <c r="C980" s="10" t="str">
        <f>"FES1162646352"</f>
        <v>FES1162646352</v>
      </c>
      <c r="D980" s="10" t="s">
        <v>19</v>
      </c>
      <c r="E980" s="10" t="s">
        <v>651</v>
      </c>
      <c r="F980" s="10" t="str">
        <f>"2170651127 "</f>
        <v xml:space="preserve">2170651127 </v>
      </c>
      <c r="G980" s="10" t="str">
        <f t="shared" si="25"/>
        <v>ON1</v>
      </c>
      <c r="H980" s="10" t="s">
        <v>21</v>
      </c>
      <c r="I980" s="10" t="s">
        <v>652</v>
      </c>
      <c r="J980" s="10" t="str">
        <f>""</f>
        <v/>
      </c>
      <c r="K980" s="10" t="str">
        <f>"PFES1162646352_0001"</f>
        <v>PFES1162646352_0001</v>
      </c>
      <c r="L980" s="10">
        <v>1</v>
      </c>
      <c r="M980" s="10">
        <v>2</v>
      </c>
    </row>
    <row r="981" spans="1:13">
      <c r="A981" s="8">
        <v>43353</v>
      </c>
      <c r="B981" s="9">
        <v>0.65833333333333333</v>
      </c>
      <c r="C981" s="10" t="str">
        <f>"FES1162646340"</f>
        <v>FES1162646340</v>
      </c>
      <c r="D981" s="10" t="s">
        <v>19</v>
      </c>
      <c r="E981" s="10" t="s">
        <v>41</v>
      </c>
      <c r="F981" s="10" t="str">
        <f>"2170651113 "</f>
        <v xml:space="preserve">2170651113 </v>
      </c>
      <c r="G981" s="10" t="str">
        <f t="shared" si="25"/>
        <v>ON1</v>
      </c>
      <c r="H981" s="10" t="s">
        <v>21</v>
      </c>
      <c r="I981" s="10" t="s">
        <v>42</v>
      </c>
      <c r="J981" s="10" t="str">
        <f>""</f>
        <v/>
      </c>
      <c r="K981" s="10" t="str">
        <f>"PFES1162646340_0001"</f>
        <v>PFES1162646340_0001</v>
      </c>
      <c r="L981" s="10">
        <v>1</v>
      </c>
      <c r="M981" s="10">
        <v>6</v>
      </c>
    </row>
    <row r="982" spans="1:13">
      <c r="A982" s="8">
        <v>43353</v>
      </c>
      <c r="B982" s="9">
        <v>0.65763888888888888</v>
      </c>
      <c r="C982" s="10" t="str">
        <f>"FES1162646345"</f>
        <v>FES1162646345</v>
      </c>
      <c r="D982" s="10" t="s">
        <v>19</v>
      </c>
      <c r="E982" s="10" t="s">
        <v>65</v>
      </c>
      <c r="F982" s="10" t="str">
        <f>"2170651122 "</f>
        <v xml:space="preserve">2170651122 </v>
      </c>
      <c r="G982" s="10" t="str">
        <f t="shared" si="25"/>
        <v>ON1</v>
      </c>
      <c r="H982" s="10" t="s">
        <v>21</v>
      </c>
      <c r="I982" s="10" t="s">
        <v>66</v>
      </c>
      <c r="J982" s="10" t="str">
        <f>""</f>
        <v/>
      </c>
      <c r="K982" s="10" t="str">
        <f>"PFES1162646345_0001"</f>
        <v>PFES1162646345_0001</v>
      </c>
      <c r="L982" s="10">
        <v>1</v>
      </c>
      <c r="M982" s="10">
        <v>2</v>
      </c>
    </row>
    <row r="983" spans="1:13">
      <c r="A983" s="8">
        <v>43353</v>
      </c>
      <c r="B983" s="9">
        <v>0.65486111111111112</v>
      </c>
      <c r="C983" s="10" t="str">
        <f>"FES1162646082"</f>
        <v>FES1162646082</v>
      </c>
      <c r="D983" s="10" t="s">
        <v>19</v>
      </c>
      <c r="E983" s="10" t="s">
        <v>232</v>
      </c>
      <c r="F983" s="10" t="str">
        <f>"2170650924 "</f>
        <v xml:space="preserve">2170650924 </v>
      </c>
      <c r="G983" s="10" t="str">
        <f t="shared" si="25"/>
        <v>ON1</v>
      </c>
      <c r="H983" s="10" t="s">
        <v>21</v>
      </c>
      <c r="I983" s="10" t="s">
        <v>233</v>
      </c>
      <c r="J983" s="10" t="str">
        <f>""</f>
        <v/>
      </c>
      <c r="K983" s="10" t="str">
        <f>"PFES1162646082_0001"</f>
        <v>PFES1162646082_0001</v>
      </c>
      <c r="L983" s="10">
        <v>2</v>
      </c>
      <c r="M983" s="10">
        <v>6</v>
      </c>
    </row>
    <row r="984" spans="1:13">
      <c r="A984" s="8">
        <v>43353</v>
      </c>
      <c r="B984" s="9">
        <v>0.65277777777777779</v>
      </c>
      <c r="C984" s="10" t="str">
        <f>"FES1162646330"</f>
        <v>FES1162646330</v>
      </c>
      <c r="D984" s="10" t="s">
        <v>19</v>
      </c>
      <c r="E984" s="10" t="s">
        <v>123</v>
      </c>
      <c r="F984" s="10" t="str">
        <f>"2170651101 "</f>
        <v xml:space="preserve">2170651101 </v>
      </c>
      <c r="G984" s="10" t="str">
        <f t="shared" si="25"/>
        <v>ON1</v>
      </c>
      <c r="H984" s="10" t="s">
        <v>21</v>
      </c>
      <c r="I984" s="10" t="s">
        <v>124</v>
      </c>
      <c r="J984" s="10" t="str">
        <f>""</f>
        <v/>
      </c>
      <c r="K984" s="10" t="str">
        <f>"PFES1162646330_0001"</f>
        <v>PFES1162646330_0001</v>
      </c>
      <c r="L984" s="10">
        <v>1</v>
      </c>
      <c r="M984" s="10">
        <v>1</v>
      </c>
    </row>
    <row r="985" spans="1:13">
      <c r="A985" s="8">
        <v>43353</v>
      </c>
      <c r="B985" s="9">
        <v>0.65208333333333335</v>
      </c>
      <c r="C985" s="10" t="str">
        <f>"FES1162646327"</f>
        <v>FES1162646327</v>
      </c>
      <c r="D985" s="10" t="s">
        <v>19</v>
      </c>
      <c r="E985" s="10" t="s">
        <v>653</v>
      </c>
      <c r="F985" s="10" t="str">
        <f>"2170650609 "</f>
        <v xml:space="preserve">2170650609 </v>
      </c>
      <c r="G985" s="10" t="str">
        <f t="shared" si="25"/>
        <v>ON1</v>
      </c>
      <c r="H985" s="10" t="s">
        <v>21</v>
      </c>
      <c r="I985" s="10" t="s">
        <v>179</v>
      </c>
      <c r="J985" s="10" t="str">
        <f>""</f>
        <v/>
      </c>
      <c r="K985" s="10" t="str">
        <f>"PFES1162646327_0001"</f>
        <v>PFES1162646327_0001</v>
      </c>
      <c r="L985" s="10">
        <v>1</v>
      </c>
      <c r="M985" s="10">
        <v>3</v>
      </c>
    </row>
    <row r="986" spans="1:13">
      <c r="A986" s="8">
        <v>43353</v>
      </c>
      <c r="B986" s="9">
        <v>0.65208333333333335</v>
      </c>
      <c r="C986" s="10" t="str">
        <f>"FES1162646101"</f>
        <v>FES1162646101</v>
      </c>
      <c r="D986" s="10" t="s">
        <v>19</v>
      </c>
      <c r="E986" s="10" t="s">
        <v>654</v>
      </c>
      <c r="F986" s="10" t="str">
        <f>"2170650951 "</f>
        <v xml:space="preserve">2170650951 </v>
      </c>
      <c r="G986" s="10" t="str">
        <f t="shared" si="25"/>
        <v>ON1</v>
      </c>
      <c r="H986" s="10" t="s">
        <v>21</v>
      </c>
      <c r="I986" s="10" t="s">
        <v>655</v>
      </c>
      <c r="J986" s="10" t="str">
        <f>""</f>
        <v/>
      </c>
      <c r="K986" s="10" t="str">
        <f>"PFES1162646101_0001"</f>
        <v>PFES1162646101_0001</v>
      </c>
      <c r="L986" s="10">
        <v>1</v>
      </c>
      <c r="M986" s="10">
        <v>1</v>
      </c>
    </row>
    <row r="987" spans="1:13">
      <c r="A987" s="8">
        <v>43353</v>
      </c>
      <c r="B987" s="9">
        <v>0.65138888888888891</v>
      </c>
      <c r="C987" s="10" t="str">
        <f>"FES1162646332"</f>
        <v>FES1162646332</v>
      </c>
      <c r="D987" s="10" t="s">
        <v>19</v>
      </c>
      <c r="E987" s="10" t="s">
        <v>445</v>
      </c>
      <c r="F987" s="10" t="str">
        <f>"2170651104 "</f>
        <v xml:space="preserve">2170651104 </v>
      </c>
      <c r="G987" s="10" t="str">
        <f t="shared" si="25"/>
        <v>ON1</v>
      </c>
      <c r="H987" s="10" t="s">
        <v>21</v>
      </c>
      <c r="I987" s="10" t="s">
        <v>206</v>
      </c>
      <c r="J987" s="10" t="str">
        <f>""</f>
        <v/>
      </c>
      <c r="K987" s="10" t="str">
        <f>"PFES1162646332_0001"</f>
        <v>PFES1162646332_0001</v>
      </c>
      <c r="L987" s="10">
        <v>1</v>
      </c>
      <c r="M987" s="10">
        <v>1</v>
      </c>
    </row>
    <row r="988" spans="1:13">
      <c r="A988" s="8">
        <v>43353</v>
      </c>
      <c r="B988" s="9">
        <v>0.65138888888888891</v>
      </c>
      <c r="C988" s="10" t="str">
        <f>"FES1162646366"</f>
        <v>FES1162646366</v>
      </c>
      <c r="D988" s="10" t="s">
        <v>19</v>
      </c>
      <c r="E988" s="10" t="s">
        <v>656</v>
      </c>
      <c r="F988" s="10" t="str">
        <f>"2170651142 "</f>
        <v xml:space="preserve">2170651142 </v>
      </c>
      <c r="G988" s="10" t="str">
        <f t="shared" si="25"/>
        <v>ON1</v>
      </c>
      <c r="H988" s="10" t="s">
        <v>21</v>
      </c>
      <c r="I988" s="10" t="s">
        <v>124</v>
      </c>
      <c r="J988" s="10" t="str">
        <f>""</f>
        <v/>
      </c>
      <c r="K988" s="10" t="str">
        <f>"PFES1162646366_0001"</f>
        <v>PFES1162646366_0001</v>
      </c>
      <c r="L988" s="10">
        <v>1</v>
      </c>
      <c r="M988" s="10">
        <v>1</v>
      </c>
    </row>
    <row r="989" spans="1:13">
      <c r="A989" s="8">
        <v>43353</v>
      </c>
      <c r="B989" s="9">
        <v>0.65069444444444446</v>
      </c>
      <c r="C989" s="10" t="str">
        <f>"FES1162646331"</f>
        <v>FES1162646331</v>
      </c>
      <c r="D989" s="10" t="s">
        <v>19</v>
      </c>
      <c r="E989" s="10" t="s">
        <v>336</v>
      </c>
      <c r="F989" s="10" t="str">
        <f>"2170651103 "</f>
        <v xml:space="preserve">2170651103 </v>
      </c>
      <c r="G989" s="10" t="str">
        <f t="shared" si="25"/>
        <v>ON1</v>
      </c>
      <c r="H989" s="10" t="s">
        <v>21</v>
      </c>
      <c r="I989" s="10" t="s">
        <v>117</v>
      </c>
      <c r="J989" s="10" t="str">
        <f>""</f>
        <v/>
      </c>
      <c r="K989" s="10" t="str">
        <f>"PFES1162646331_0001"</f>
        <v>PFES1162646331_0001</v>
      </c>
      <c r="L989" s="10">
        <v>1</v>
      </c>
      <c r="M989" s="10">
        <v>3</v>
      </c>
    </row>
    <row r="990" spans="1:13">
      <c r="A990" s="8">
        <v>43353</v>
      </c>
      <c r="B990" s="9">
        <v>0.64652777777777781</v>
      </c>
      <c r="C990" s="10" t="str">
        <f>"009935791925"</f>
        <v>009935791925</v>
      </c>
      <c r="D990" s="10" t="s">
        <v>657</v>
      </c>
      <c r="E990" s="10" t="s">
        <v>658</v>
      </c>
      <c r="F990" s="10" t="str">
        <f>"BAKKER MAHLOKO "</f>
        <v xml:space="preserve">BAKKER MAHLOKO </v>
      </c>
      <c r="G990" s="10" t="str">
        <f t="shared" si="25"/>
        <v>ON1</v>
      </c>
      <c r="H990" s="10" t="s">
        <v>21</v>
      </c>
      <c r="I990" s="10" t="s">
        <v>650</v>
      </c>
      <c r="J990" s="10" t="str">
        <f>"NON PILLOFF STICK"</f>
        <v>NON PILLOFF STICK</v>
      </c>
      <c r="K990" s="10" t="str">
        <f>"P009935791925_0001"</f>
        <v>P009935791925_0001</v>
      </c>
      <c r="L990" s="10">
        <v>1</v>
      </c>
      <c r="M990" s="10">
        <v>4</v>
      </c>
    </row>
    <row r="991" spans="1:13">
      <c r="A991" s="8">
        <v>43353</v>
      </c>
      <c r="B991" s="9">
        <v>0.61736111111111114</v>
      </c>
      <c r="C991" s="10" t="str">
        <f>"FES1162646129"</f>
        <v>FES1162646129</v>
      </c>
      <c r="D991" s="10" t="s">
        <v>19</v>
      </c>
      <c r="E991" s="10" t="s">
        <v>58</v>
      </c>
      <c r="F991" s="10" t="str">
        <f>"2170647004 "</f>
        <v xml:space="preserve">2170647004 </v>
      </c>
      <c r="G991" s="10" t="str">
        <f t="shared" si="25"/>
        <v>ON1</v>
      </c>
      <c r="H991" s="10" t="s">
        <v>21</v>
      </c>
      <c r="I991" s="10" t="s">
        <v>30</v>
      </c>
      <c r="J991" s="10" t="str">
        <f>""</f>
        <v/>
      </c>
      <c r="K991" s="10" t="str">
        <f>"PFES1162646129_0001"</f>
        <v>PFES1162646129_0001</v>
      </c>
      <c r="L991" s="10">
        <v>1</v>
      </c>
      <c r="M991" s="10">
        <v>10</v>
      </c>
    </row>
    <row r="992" spans="1:13">
      <c r="A992" s="8">
        <v>43353</v>
      </c>
      <c r="B992" s="9">
        <v>0.6166666666666667</v>
      </c>
      <c r="C992" s="10" t="str">
        <f>"FES1162646286"</f>
        <v>FES1162646286</v>
      </c>
      <c r="D992" s="10" t="s">
        <v>19</v>
      </c>
      <c r="E992" s="10" t="s">
        <v>659</v>
      </c>
      <c r="F992" s="10" t="str">
        <f>"2170651048 "</f>
        <v xml:space="preserve">2170651048 </v>
      </c>
      <c r="G992" s="10" t="str">
        <f t="shared" si="25"/>
        <v>ON1</v>
      </c>
      <c r="H992" s="10" t="s">
        <v>21</v>
      </c>
      <c r="I992" s="10" t="s">
        <v>42</v>
      </c>
      <c r="J992" s="10" t="str">
        <f>""</f>
        <v/>
      </c>
      <c r="K992" s="10" t="str">
        <f>"PFES1162646286_0001"</f>
        <v>PFES1162646286_0001</v>
      </c>
      <c r="L992" s="10">
        <v>1</v>
      </c>
      <c r="M992" s="10">
        <v>2</v>
      </c>
    </row>
    <row r="993" spans="1:13">
      <c r="A993" s="8">
        <v>43353</v>
      </c>
      <c r="B993" s="9">
        <v>0.61527777777777781</v>
      </c>
      <c r="C993" s="10" t="str">
        <f>"FES1162646259"</f>
        <v>FES1162646259</v>
      </c>
      <c r="D993" s="10" t="s">
        <v>19</v>
      </c>
      <c r="E993" s="10" t="s">
        <v>69</v>
      </c>
      <c r="F993" s="10" t="str">
        <f>"2170651021 "</f>
        <v xml:space="preserve">2170651021 </v>
      </c>
      <c r="G993" s="10" t="str">
        <f t="shared" si="25"/>
        <v>ON1</v>
      </c>
      <c r="H993" s="10" t="s">
        <v>21</v>
      </c>
      <c r="I993" s="10" t="s">
        <v>68</v>
      </c>
      <c r="J993" s="10" t="str">
        <f>""</f>
        <v/>
      </c>
      <c r="K993" s="10" t="str">
        <f>"PFES1162646259_0001"</f>
        <v>PFES1162646259_0001</v>
      </c>
      <c r="L993" s="10">
        <v>1</v>
      </c>
      <c r="M993" s="10">
        <v>5</v>
      </c>
    </row>
    <row r="994" spans="1:13">
      <c r="A994" s="8">
        <v>43353</v>
      </c>
      <c r="B994" s="9">
        <v>0.61458333333333337</v>
      </c>
      <c r="C994" s="10" t="str">
        <f>"FES1162646205"</f>
        <v>FES1162646205</v>
      </c>
      <c r="D994" s="10" t="s">
        <v>19</v>
      </c>
      <c r="E994" s="10" t="s">
        <v>440</v>
      </c>
      <c r="F994" s="10" t="str">
        <f>"2170648128 "</f>
        <v xml:space="preserve">2170648128 </v>
      </c>
      <c r="G994" s="10" t="str">
        <f t="shared" si="25"/>
        <v>ON1</v>
      </c>
      <c r="H994" s="10" t="s">
        <v>21</v>
      </c>
      <c r="I994" s="10" t="s">
        <v>76</v>
      </c>
      <c r="J994" s="10" t="str">
        <f>""</f>
        <v/>
      </c>
      <c r="K994" s="10" t="str">
        <f>"PFES1162646205_0001"</f>
        <v>PFES1162646205_0001</v>
      </c>
      <c r="L994" s="10">
        <v>1</v>
      </c>
      <c r="M994" s="10">
        <v>1</v>
      </c>
    </row>
    <row r="995" spans="1:13">
      <c r="A995" s="8">
        <v>43353</v>
      </c>
      <c r="B995" s="9">
        <v>0.61388888888888882</v>
      </c>
      <c r="C995" s="10" t="str">
        <f>"FES1162646254"</f>
        <v>FES1162646254</v>
      </c>
      <c r="D995" s="10" t="s">
        <v>19</v>
      </c>
      <c r="E995" s="10" t="s">
        <v>65</v>
      </c>
      <c r="F995" s="10" t="str">
        <f>"2170651015 "</f>
        <v xml:space="preserve">2170651015 </v>
      </c>
      <c r="G995" s="10" t="str">
        <f t="shared" si="25"/>
        <v>ON1</v>
      </c>
      <c r="H995" s="10" t="s">
        <v>21</v>
      </c>
      <c r="I995" s="10" t="s">
        <v>66</v>
      </c>
      <c r="J995" s="10" t="str">
        <f>""</f>
        <v/>
      </c>
      <c r="K995" s="10" t="str">
        <f>"PFES1162646254_0001"</f>
        <v>PFES1162646254_0001</v>
      </c>
      <c r="L995" s="10">
        <v>1</v>
      </c>
      <c r="M995" s="10">
        <v>15</v>
      </c>
    </row>
    <row r="996" spans="1:13">
      <c r="A996" s="8">
        <v>43353</v>
      </c>
      <c r="B996" s="9">
        <v>0.61319444444444449</v>
      </c>
      <c r="C996" s="10" t="str">
        <f>"FES1162646160"</f>
        <v>FES1162646160</v>
      </c>
      <c r="D996" s="10" t="s">
        <v>19</v>
      </c>
      <c r="E996" s="10" t="s">
        <v>660</v>
      </c>
      <c r="F996" s="10" t="str">
        <f>"2170648112 "</f>
        <v xml:space="preserve">2170648112 </v>
      </c>
      <c r="G996" s="10" t="str">
        <f t="shared" si="25"/>
        <v>ON1</v>
      </c>
      <c r="H996" s="10" t="s">
        <v>21</v>
      </c>
      <c r="I996" s="10" t="s">
        <v>661</v>
      </c>
      <c r="J996" s="10" t="str">
        <f>""</f>
        <v/>
      </c>
      <c r="K996" s="10" t="str">
        <f>"PFES1162646160_0001"</f>
        <v>PFES1162646160_0001</v>
      </c>
      <c r="L996" s="10">
        <v>1</v>
      </c>
      <c r="M996" s="10">
        <v>17</v>
      </c>
    </row>
    <row r="997" spans="1:13">
      <c r="A997" s="8">
        <v>43353</v>
      </c>
      <c r="B997" s="9">
        <v>0.6118055555555556</v>
      </c>
      <c r="C997" s="10" t="str">
        <f>"FES1162646195"</f>
        <v>FES1162646195</v>
      </c>
      <c r="D997" s="10" t="s">
        <v>19</v>
      </c>
      <c r="E997" s="10" t="s">
        <v>69</v>
      </c>
      <c r="F997" s="10" t="str">
        <f>"2170650983 "</f>
        <v xml:space="preserve">2170650983 </v>
      </c>
      <c r="G997" s="10" t="str">
        <f t="shared" si="25"/>
        <v>ON1</v>
      </c>
      <c r="H997" s="10" t="s">
        <v>21</v>
      </c>
      <c r="I997" s="10" t="s">
        <v>68</v>
      </c>
      <c r="J997" s="10" t="str">
        <f>""</f>
        <v/>
      </c>
      <c r="K997" s="10" t="str">
        <f>"PFES1162646195_0001"</f>
        <v>PFES1162646195_0001</v>
      </c>
      <c r="L997" s="10">
        <v>1</v>
      </c>
      <c r="M997" s="10">
        <v>5</v>
      </c>
    </row>
    <row r="998" spans="1:13">
      <c r="A998" s="8">
        <v>43353</v>
      </c>
      <c r="B998" s="9">
        <v>0.61111111111111105</v>
      </c>
      <c r="C998" s="10" t="str">
        <f>"FES1162646237"</f>
        <v>FES1162646237</v>
      </c>
      <c r="D998" s="10" t="s">
        <v>19</v>
      </c>
      <c r="E998" s="10" t="s">
        <v>610</v>
      </c>
      <c r="F998" s="10" t="str">
        <f>"2170650997 "</f>
        <v xml:space="preserve">2170650997 </v>
      </c>
      <c r="G998" s="10" t="str">
        <f t="shared" si="25"/>
        <v>ON1</v>
      </c>
      <c r="H998" s="10" t="s">
        <v>21</v>
      </c>
      <c r="I998" s="10" t="s">
        <v>124</v>
      </c>
      <c r="J998" s="10" t="str">
        <f>""</f>
        <v/>
      </c>
      <c r="K998" s="10" t="str">
        <f>"PFES1162646237_0001"</f>
        <v>PFES1162646237_0001</v>
      </c>
      <c r="L998" s="10">
        <v>1</v>
      </c>
      <c r="M998" s="10">
        <v>2</v>
      </c>
    </row>
    <row r="999" spans="1:13">
      <c r="A999" s="8">
        <v>43353</v>
      </c>
      <c r="B999" s="9">
        <v>0.61041666666666672</v>
      </c>
      <c r="C999" s="10" t="str">
        <f>"FES1162646309"</f>
        <v>FES1162646309</v>
      </c>
      <c r="D999" s="10" t="s">
        <v>19</v>
      </c>
      <c r="E999" s="10" t="s">
        <v>662</v>
      </c>
      <c r="F999" s="10" t="str">
        <f>"2170651082 "</f>
        <v xml:space="preserve">2170651082 </v>
      </c>
      <c r="G999" s="10" t="str">
        <f t="shared" si="25"/>
        <v>ON1</v>
      </c>
      <c r="H999" s="10" t="s">
        <v>21</v>
      </c>
      <c r="I999" s="10" t="s">
        <v>508</v>
      </c>
      <c r="J999" s="10" t="str">
        <f>""</f>
        <v/>
      </c>
      <c r="K999" s="10" t="str">
        <f>"PFES1162646309_0001"</f>
        <v>PFES1162646309_0001</v>
      </c>
      <c r="L999" s="10">
        <v>1</v>
      </c>
      <c r="M999" s="10">
        <v>5</v>
      </c>
    </row>
    <row r="1000" spans="1:13">
      <c r="A1000" s="8">
        <v>43353</v>
      </c>
      <c r="B1000" s="9">
        <v>0.60972222222222217</v>
      </c>
      <c r="C1000" s="10" t="str">
        <f>"FES1162646322"</f>
        <v>FES1162646322</v>
      </c>
      <c r="D1000" s="10" t="s">
        <v>19</v>
      </c>
      <c r="E1000" s="10" t="s">
        <v>445</v>
      </c>
      <c r="F1000" s="10" t="str">
        <f>"21706541097 "</f>
        <v xml:space="preserve">21706541097 </v>
      </c>
      <c r="G1000" s="10" t="str">
        <f t="shared" si="25"/>
        <v>ON1</v>
      </c>
      <c r="H1000" s="10" t="s">
        <v>21</v>
      </c>
      <c r="I1000" s="10" t="s">
        <v>206</v>
      </c>
      <c r="J1000" s="10" t="str">
        <f>""</f>
        <v/>
      </c>
      <c r="K1000" s="10" t="str">
        <f>"PFES1162646322_0001"</f>
        <v>PFES1162646322_0001</v>
      </c>
      <c r="L1000" s="10">
        <v>1</v>
      </c>
      <c r="M1000" s="10">
        <v>1</v>
      </c>
    </row>
    <row r="1001" spans="1:13">
      <c r="A1001" s="8">
        <v>43353</v>
      </c>
      <c r="B1001" s="9">
        <v>0.60972222222222217</v>
      </c>
      <c r="C1001" s="10" t="str">
        <f>"FES1162646324"</f>
        <v>FES1162646324</v>
      </c>
      <c r="D1001" s="10" t="s">
        <v>19</v>
      </c>
      <c r="E1001" s="10" t="s">
        <v>336</v>
      </c>
      <c r="F1001" s="10" t="str">
        <f>"2170651007 "</f>
        <v xml:space="preserve">2170651007 </v>
      </c>
      <c r="G1001" s="10" t="str">
        <f t="shared" si="25"/>
        <v>ON1</v>
      </c>
      <c r="H1001" s="10" t="s">
        <v>21</v>
      </c>
      <c r="I1001" s="10" t="s">
        <v>117</v>
      </c>
      <c r="J1001" s="10" t="str">
        <f>""</f>
        <v/>
      </c>
      <c r="K1001" s="10" t="str">
        <f>"PFES1162646324_0001"</f>
        <v>PFES1162646324_0001</v>
      </c>
      <c r="L1001" s="10">
        <v>1</v>
      </c>
      <c r="M1001" s="10">
        <v>1</v>
      </c>
    </row>
    <row r="1002" spans="1:13">
      <c r="A1002" s="8">
        <v>43353</v>
      </c>
      <c r="B1002" s="9">
        <v>0.60902777777777783</v>
      </c>
      <c r="C1002" s="10" t="str">
        <f>"FES1162646272"</f>
        <v>FES1162646272</v>
      </c>
      <c r="D1002" s="10" t="s">
        <v>19</v>
      </c>
      <c r="E1002" s="10" t="s">
        <v>604</v>
      </c>
      <c r="F1002" s="10" t="str">
        <f>"2170651037 "</f>
        <v xml:space="preserve">2170651037 </v>
      </c>
      <c r="G1002" s="10" t="str">
        <f t="shared" si="25"/>
        <v>ON1</v>
      </c>
      <c r="H1002" s="10" t="s">
        <v>21</v>
      </c>
      <c r="I1002" s="10" t="s">
        <v>486</v>
      </c>
      <c r="J1002" s="10" t="str">
        <f>""</f>
        <v/>
      </c>
      <c r="K1002" s="10" t="str">
        <f>"PFES1162646272_0001"</f>
        <v>PFES1162646272_0001</v>
      </c>
      <c r="L1002" s="10">
        <v>1</v>
      </c>
      <c r="M1002" s="10">
        <v>1</v>
      </c>
    </row>
    <row r="1003" spans="1:13">
      <c r="A1003" s="8">
        <v>43353</v>
      </c>
      <c r="B1003" s="9">
        <v>0.60902777777777783</v>
      </c>
      <c r="C1003" s="10" t="str">
        <f>"FES1162646151"</f>
        <v>FES1162646151</v>
      </c>
      <c r="D1003" s="10" t="s">
        <v>19</v>
      </c>
      <c r="E1003" s="10" t="s">
        <v>220</v>
      </c>
      <c r="F1003" s="10" t="str">
        <f>"2170648008 "</f>
        <v xml:space="preserve">2170648008 </v>
      </c>
      <c r="G1003" s="10" t="str">
        <f t="shared" si="25"/>
        <v>ON1</v>
      </c>
      <c r="H1003" s="10" t="s">
        <v>21</v>
      </c>
      <c r="I1003" s="10" t="s">
        <v>126</v>
      </c>
      <c r="J1003" s="10" t="str">
        <f>""</f>
        <v/>
      </c>
      <c r="K1003" s="10" t="str">
        <f>"PFES1162646151_0001"</f>
        <v>PFES1162646151_0001</v>
      </c>
      <c r="L1003" s="10">
        <v>1</v>
      </c>
      <c r="M1003" s="10">
        <v>1</v>
      </c>
    </row>
    <row r="1004" spans="1:13">
      <c r="A1004" s="8">
        <v>43353</v>
      </c>
      <c r="B1004" s="9">
        <v>0.60902777777777783</v>
      </c>
      <c r="C1004" s="10" t="str">
        <f>"FES1162646039"</f>
        <v>FES1162646039</v>
      </c>
      <c r="D1004" s="10" t="s">
        <v>19</v>
      </c>
      <c r="E1004" s="10" t="s">
        <v>663</v>
      </c>
      <c r="F1004" s="10" t="str">
        <f>"2170648834 "</f>
        <v xml:space="preserve">2170648834 </v>
      </c>
      <c r="G1004" s="10" t="str">
        <f t="shared" si="25"/>
        <v>ON1</v>
      </c>
      <c r="H1004" s="10" t="s">
        <v>21</v>
      </c>
      <c r="I1004" s="10" t="s">
        <v>650</v>
      </c>
      <c r="J1004" s="10" t="str">
        <f>""</f>
        <v/>
      </c>
      <c r="K1004" s="10" t="str">
        <f>"PFES1162646039_0001"</f>
        <v>PFES1162646039_0001</v>
      </c>
      <c r="L1004" s="10">
        <v>1</v>
      </c>
      <c r="M1004" s="10">
        <v>1</v>
      </c>
    </row>
    <row r="1005" spans="1:13">
      <c r="A1005" s="8">
        <v>43353</v>
      </c>
      <c r="B1005" s="9">
        <v>0.60902777777777783</v>
      </c>
      <c r="C1005" s="10" t="str">
        <f>"FES1162646167"</f>
        <v>FES1162646167</v>
      </c>
      <c r="D1005" s="10" t="s">
        <v>19</v>
      </c>
      <c r="E1005" s="10" t="s">
        <v>70</v>
      </c>
      <c r="F1005" s="10" t="str">
        <f>"2170648971 "</f>
        <v xml:space="preserve">2170648971 </v>
      </c>
      <c r="G1005" s="10" t="str">
        <f t="shared" si="25"/>
        <v>ON1</v>
      </c>
      <c r="H1005" s="10" t="s">
        <v>21</v>
      </c>
      <c r="I1005" s="10" t="s">
        <v>57</v>
      </c>
      <c r="J1005" s="10" t="str">
        <f>""</f>
        <v/>
      </c>
      <c r="K1005" s="10" t="str">
        <f>"PFES1162646167_0001"</f>
        <v>PFES1162646167_0001</v>
      </c>
      <c r="L1005" s="10">
        <v>1</v>
      </c>
      <c r="M1005" s="10">
        <v>1</v>
      </c>
    </row>
    <row r="1006" spans="1:13">
      <c r="A1006" s="8">
        <v>43353</v>
      </c>
      <c r="B1006" s="9">
        <v>0.60833333333333328</v>
      </c>
      <c r="C1006" s="10" t="str">
        <f>"FES1162646134"</f>
        <v>FES1162646134</v>
      </c>
      <c r="D1006" s="10" t="s">
        <v>19</v>
      </c>
      <c r="E1006" s="10" t="s">
        <v>70</v>
      </c>
      <c r="F1006" s="10" t="str">
        <f>"2170647222 "</f>
        <v xml:space="preserve">2170647222 </v>
      </c>
      <c r="G1006" s="10" t="str">
        <f t="shared" si="25"/>
        <v>ON1</v>
      </c>
      <c r="H1006" s="10" t="s">
        <v>21</v>
      </c>
      <c r="I1006" s="10" t="s">
        <v>57</v>
      </c>
      <c r="J1006" s="10" t="str">
        <f>""</f>
        <v/>
      </c>
      <c r="K1006" s="10" t="str">
        <f>"PFES1162646134_0001"</f>
        <v>PFES1162646134_0001</v>
      </c>
      <c r="L1006" s="10">
        <v>1</v>
      </c>
      <c r="M1006" s="10">
        <v>1</v>
      </c>
    </row>
    <row r="1007" spans="1:13">
      <c r="A1007" s="8">
        <v>43353</v>
      </c>
      <c r="B1007" s="9">
        <v>0.60833333333333328</v>
      </c>
      <c r="C1007" s="10" t="str">
        <f>"FES1162646138"</f>
        <v>FES1162646138</v>
      </c>
      <c r="D1007" s="10" t="s">
        <v>19</v>
      </c>
      <c r="E1007" s="10" t="s">
        <v>98</v>
      </c>
      <c r="F1007" s="10" t="str">
        <f>"2170647376 "</f>
        <v xml:space="preserve">2170647376 </v>
      </c>
      <c r="G1007" s="10" t="str">
        <f t="shared" si="25"/>
        <v>ON1</v>
      </c>
      <c r="H1007" s="10" t="s">
        <v>21</v>
      </c>
      <c r="I1007" s="10" t="s">
        <v>74</v>
      </c>
      <c r="J1007" s="10" t="str">
        <f>""</f>
        <v/>
      </c>
      <c r="K1007" s="10" t="str">
        <f>"PFES1162646138_0001"</f>
        <v>PFES1162646138_0001</v>
      </c>
      <c r="L1007" s="10">
        <v>1</v>
      </c>
      <c r="M1007" s="10">
        <v>1</v>
      </c>
    </row>
    <row r="1008" spans="1:13">
      <c r="A1008" s="8">
        <v>43353</v>
      </c>
      <c r="B1008" s="9">
        <v>0.60833333333333328</v>
      </c>
      <c r="C1008" s="10" t="str">
        <f>"FES1162646119"</f>
        <v>FES1162646119</v>
      </c>
      <c r="D1008" s="10" t="s">
        <v>19</v>
      </c>
      <c r="E1008" s="10" t="s">
        <v>307</v>
      </c>
      <c r="F1008" s="10" t="str">
        <f>"2170643868 "</f>
        <v xml:space="preserve">2170643868 </v>
      </c>
      <c r="G1008" s="10" t="str">
        <f t="shared" si="25"/>
        <v>ON1</v>
      </c>
      <c r="H1008" s="10" t="s">
        <v>21</v>
      </c>
      <c r="I1008" s="10" t="s">
        <v>308</v>
      </c>
      <c r="J1008" s="10" t="str">
        <f>""</f>
        <v/>
      </c>
      <c r="K1008" s="10" t="str">
        <f>"PFES1162646119_0001"</f>
        <v>PFES1162646119_0001</v>
      </c>
      <c r="L1008" s="10">
        <v>1</v>
      </c>
      <c r="M1008" s="10">
        <v>1</v>
      </c>
    </row>
    <row r="1009" spans="1:13">
      <c r="A1009" s="8">
        <v>43353</v>
      </c>
      <c r="B1009" s="9">
        <v>0.60833333333333328</v>
      </c>
      <c r="C1009" s="10" t="str">
        <f>"FES1162646084"</f>
        <v>FES1162646084</v>
      </c>
      <c r="D1009" s="10" t="s">
        <v>19</v>
      </c>
      <c r="E1009" s="10" t="s">
        <v>232</v>
      </c>
      <c r="F1009" s="10" t="str">
        <f>"2170650927 "</f>
        <v xml:space="preserve">2170650927 </v>
      </c>
      <c r="G1009" s="10" t="str">
        <f t="shared" si="25"/>
        <v>ON1</v>
      </c>
      <c r="H1009" s="10" t="s">
        <v>21</v>
      </c>
      <c r="I1009" s="10" t="s">
        <v>233</v>
      </c>
      <c r="J1009" s="10" t="str">
        <f>""</f>
        <v/>
      </c>
      <c r="K1009" s="10" t="str">
        <f>"PFES1162646084_0001"</f>
        <v>PFES1162646084_0001</v>
      </c>
      <c r="L1009" s="10">
        <v>1</v>
      </c>
      <c r="M1009" s="10">
        <v>2</v>
      </c>
    </row>
    <row r="1010" spans="1:13">
      <c r="A1010" s="8">
        <v>43353</v>
      </c>
      <c r="B1010" s="9">
        <v>0.60763888888888895</v>
      </c>
      <c r="C1010" s="10" t="str">
        <f>"FES1162646156"</f>
        <v>FES1162646156</v>
      </c>
      <c r="D1010" s="10" t="s">
        <v>19</v>
      </c>
      <c r="E1010" s="10" t="s">
        <v>664</v>
      </c>
      <c r="F1010" s="10" t="str">
        <f>"2170648070 "</f>
        <v xml:space="preserve">2170648070 </v>
      </c>
      <c r="G1010" s="10" t="str">
        <f t="shared" si="25"/>
        <v>ON1</v>
      </c>
      <c r="H1010" s="10" t="s">
        <v>21</v>
      </c>
      <c r="I1010" s="10" t="s">
        <v>308</v>
      </c>
      <c r="J1010" s="10" t="str">
        <f>""</f>
        <v/>
      </c>
      <c r="K1010" s="10" t="str">
        <f>"PFES1162646156_0001"</f>
        <v>PFES1162646156_0001</v>
      </c>
      <c r="L1010" s="10">
        <v>1</v>
      </c>
      <c r="M1010" s="10">
        <v>1</v>
      </c>
    </row>
    <row r="1011" spans="1:13">
      <c r="A1011" s="8">
        <v>43353</v>
      </c>
      <c r="B1011" s="9">
        <v>0.60763888888888895</v>
      </c>
      <c r="C1011" s="10" t="str">
        <f>"FES1162646217"</f>
        <v>FES1162646217</v>
      </c>
      <c r="D1011" s="10" t="s">
        <v>19</v>
      </c>
      <c r="E1011" s="10" t="s">
        <v>286</v>
      </c>
      <c r="F1011" s="10" t="str">
        <f>"2170648242 "</f>
        <v xml:space="preserve">2170648242 </v>
      </c>
      <c r="G1011" s="10" t="str">
        <f t="shared" si="25"/>
        <v>ON1</v>
      </c>
      <c r="H1011" s="10" t="s">
        <v>21</v>
      </c>
      <c r="I1011" s="10" t="s">
        <v>287</v>
      </c>
      <c r="J1011" s="10" t="str">
        <f>""</f>
        <v/>
      </c>
      <c r="K1011" s="10" t="str">
        <f>"PFES1162646217_0001"</f>
        <v>PFES1162646217_0001</v>
      </c>
      <c r="L1011" s="10">
        <v>1</v>
      </c>
      <c r="M1011" s="10">
        <v>1</v>
      </c>
    </row>
    <row r="1012" spans="1:13">
      <c r="A1012" s="8">
        <v>43353</v>
      </c>
      <c r="B1012" s="9">
        <v>0.60763888888888895</v>
      </c>
      <c r="C1012" s="10" t="str">
        <f>"FES1162646137"</f>
        <v>FES1162646137</v>
      </c>
      <c r="D1012" s="10" t="s">
        <v>19</v>
      </c>
      <c r="E1012" s="10" t="s">
        <v>220</v>
      </c>
      <c r="F1012" s="10" t="str">
        <f>"2170647324 "</f>
        <v xml:space="preserve">2170647324 </v>
      </c>
      <c r="G1012" s="10" t="str">
        <f t="shared" si="25"/>
        <v>ON1</v>
      </c>
      <c r="H1012" s="10" t="s">
        <v>21</v>
      </c>
      <c r="I1012" s="10" t="s">
        <v>126</v>
      </c>
      <c r="J1012" s="10" t="str">
        <f>""</f>
        <v/>
      </c>
      <c r="K1012" s="10" t="str">
        <f>"PFES1162646137_0001"</f>
        <v>PFES1162646137_0001</v>
      </c>
      <c r="L1012" s="10">
        <v>1</v>
      </c>
      <c r="M1012" s="10">
        <v>1</v>
      </c>
    </row>
    <row r="1013" spans="1:13">
      <c r="A1013" s="8">
        <v>43353</v>
      </c>
      <c r="B1013" s="9">
        <v>0.6069444444444444</v>
      </c>
      <c r="C1013" s="10" t="str">
        <f>"FES1162646230"</f>
        <v>FES1162646230</v>
      </c>
      <c r="D1013" s="10" t="s">
        <v>19</v>
      </c>
      <c r="E1013" s="10" t="s">
        <v>255</v>
      </c>
      <c r="F1013" s="10" t="str">
        <f>"2170647344 "</f>
        <v xml:space="preserve">2170647344 </v>
      </c>
      <c r="G1013" s="10" t="str">
        <f t="shared" si="25"/>
        <v>ON1</v>
      </c>
      <c r="H1013" s="10" t="s">
        <v>21</v>
      </c>
      <c r="I1013" s="10" t="s">
        <v>256</v>
      </c>
      <c r="J1013" s="10" t="str">
        <f>""</f>
        <v/>
      </c>
      <c r="K1013" s="10" t="str">
        <f>"PFES1162646230_0001"</f>
        <v>PFES1162646230_0001</v>
      </c>
      <c r="L1013" s="10">
        <v>1</v>
      </c>
      <c r="M1013" s="10">
        <v>7</v>
      </c>
    </row>
    <row r="1014" spans="1:13">
      <c r="A1014" s="8">
        <v>43353</v>
      </c>
      <c r="B1014" s="9">
        <v>0.6069444444444444</v>
      </c>
      <c r="C1014" s="10" t="str">
        <f>"FES1162646074"</f>
        <v>FES1162646074</v>
      </c>
      <c r="D1014" s="10" t="s">
        <v>19</v>
      </c>
      <c r="E1014" s="10" t="s">
        <v>232</v>
      </c>
      <c r="F1014" s="10" t="str">
        <f>"2170650915 "</f>
        <v xml:space="preserve">2170650915 </v>
      </c>
      <c r="G1014" s="10" t="str">
        <f t="shared" si="25"/>
        <v>ON1</v>
      </c>
      <c r="H1014" s="10" t="s">
        <v>21</v>
      </c>
      <c r="I1014" s="10" t="s">
        <v>233</v>
      </c>
      <c r="J1014" s="10" t="str">
        <f>""</f>
        <v/>
      </c>
      <c r="K1014" s="10" t="str">
        <f>"PFES1162646074_0001"</f>
        <v>PFES1162646074_0001</v>
      </c>
      <c r="L1014" s="10">
        <v>1</v>
      </c>
      <c r="M1014" s="10">
        <v>3</v>
      </c>
    </row>
    <row r="1015" spans="1:13">
      <c r="A1015" s="8">
        <v>43353</v>
      </c>
      <c r="B1015" s="9">
        <v>0.6069444444444444</v>
      </c>
      <c r="C1015" s="10" t="str">
        <f>"FES1162646117"</f>
        <v>FES1162646117</v>
      </c>
      <c r="D1015" s="10" t="s">
        <v>19</v>
      </c>
      <c r="E1015" s="10" t="s">
        <v>272</v>
      </c>
      <c r="F1015" s="10" t="str">
        <f>"2170643576 "</f>
        <v xml:space="preserve">2170643576 </v>
      </c>
      <c r="G1015" s="10" t="str">
        <f t="shared" si="25"/>
        <v>ON1</v>
      </c>
      <c r="H1015" s="10" t="s">
        <v>21</v>
      </c>
      <c r="I1015" s="10" t="s">
        <v>273</v>
      </c>
      <c r="J1015" s="10" t="str">
        <f>""</f>
        <v/>
      </c>
      <c r="K1015" s="10" t="str">
        <f>"PFES1162646117_0001"</f>
        <v>PFES1162646117_0001</v>
      </c>
      <c r="L1015" s="10">
        <v>1</v>
      </c>
      <c r="M1015" s="10">
        <v>1</v>
      </c>
    </row>
    <row r="1016" spans="1:13">
      <c r="A1016" s="8">
        <v>43353</v>
      </c>
      <c r="B1016" s="9">
        <v>0.60625000000000007</v>
      </c>
      <c r="C1016" s="10" t="str">
        <f>"FES1162646242"</f>
        <v>FES1162646242</v>
      </c>
      <c r="D1016" s="10" t="s">
        <v>19</v>
      </c>
      <c r="E1016" s="10" t="s">
        <v>665</v>
      </c>
      <c r="F1016" s="10" t="str">
        <f>"21706510000 "</f>
        <v xml:space="preserve">21706510000 </v>
      </c>
      <c r="G1016" s="10" t="str">
        <f t="shared" si="25"/>
        <v>ON1</v>
      </c>
      <c r="H1016" s="10" t="s">
        <v>21</v>
      </c>
      <c r="I1016" s="10" t="s">
        <v>34</v>
      </c>
      <c r="J1016" s="10" t="str">
        <f>""</f>
        <v/>
      </c>
      <c r="K1016" s="10" t="str">
        <f>"PFES1162646242_0001"</f>
        <v>PFES1162646242_0001</v>
      </c>
      <c r="L1016" s="10">
        <v>1</v>
      </c>
      <c r="M1016" s="10">
        <v>2</v>
      </c>
    </row>
    <row r="1017" spans="1:13">
      <c r="A1017" s="8">
        <v>43353</v>
      </c>
      <c r="B1017" s="9">
        <v>0.60625000000000007</v>
      </c>
      <c r="C1017" s="10" t="str">
        <f>"FES1162646069"</f>
        <v>FES1162646069</v>
      </c>
      <c r="D1017" s="10" t="s">
        <v>19</v>
      </c>
      <c r="E1017" s="10" t="s">
        <v>232</v>
      </c>
      <c r="F1017" s="10" t="str">
        <f>"2170650910 "</f>
        <v xml:space="preserve">2170650910 </v>
      </c>
      <c r="G1017" s="10" t="str">
        <f t="shared" si="25"/>
        <v>ON1</v>
      </c>
      <c r="H1017" s="10" t="s">
        <v>21</v>
      </c>
      <c r="I1017" s="10" t="s">
        <v>233</v>
      </c>
      <c r="J1017" s="10" t="str">
        <f>""</f>
        <v/>
      </c>
      <c r="K1017" s="10" t="str">
        <f>"PFES1162646069_0001"</f>
        <v>PFES1162646069_0001</v>
      </c>
      <c r="L1017" s="10">
        <v>1</v>
      </c>
      <c r="M1017" s="10">
        <v>2</v>
      </c>
    </row>
    <row r="1018" spans="1:13">
      <c r="A1018" s="8">
        <v>43353</v>
      </c>
      <c r="B1018" s="9">
        <v>0.60625000000000007</v>
      </c>
      <c r="C1018" s="10" t="str">
        <f>"FES1162646060"</f>
        <v>FES1162646060</v>
      </c>
      <c r="D1018" s="10" t="s">
        <v>19</v>
      </c>
      <c r="E1018" s="10" t="s">
        <v>361</v>
      </c>
      <c r="F1018" s="10" t="str">
        <f>"2170650704 "</f>
        <v xml:space="preserve">2170650704 </v>
      </c>
      <c r="G1018" s="10" t="str">
        <f t="shared" si="25"/>
        <v>ON1</v>
      </c>
      <c r="H1018" s="10" t="s">
        <v>21</v>
      </c>
      <c r="I1018" s="10" t="s">
        <v>107</v>
      </c>
      <c r="J1018" s="10" t="str">
        <f>""</f>
        <v/>
      </c>
      <c r="K1018" s="10" t="str">
        <f>"PFES1162646060_0001"</f>
        <v>PFES1162646060_0001</v>
      </c>
      <c r="L1018" s="10">
        <v>1</v>
      </c>
      <c r="M1018" s="10">
        <v>10</v>
      </c>
    </row>
    <row r="1019" spans="1:13">
      <c r="A1019" s="8">
        <v>43353</v>
      </c>
      <c r="B1019" s="9">
        <v>0.60555555555555551</v>
      </c>
      <c r="C1019" s="10" t="str">
        <f>"FES1162646104"</f>
        <v>FES1162646104</v>
      </c>
      <c r="D1019" s="10" t="s">
        <v>19</v>
      </c>
      <c r="E1019" s="10" t="s">
        <v>223</v>
      </c>
      <c r="F1019" s="10" t="str">
        <f>"2170650957 "</f>
        <v xml:space="preserve">2170650957 </v>
      </c>
      <c r="G1019" s="10" t="str">
        <f t="shared" si="25"/>
        <v>ON1</v>
      </c>
      <c r="H1019" s="10" t="s">
        <v>21</v>
      </c>
      <c r="I1019" s="10" t="s">
        <v>211</v>
      </c>
      <c r="J1019" s="10" t="str">
        <f>""</f>
        <v/>
      </c>
      <c r="K1019" s="10" t="str">
        <f>"PFES1162646104_0001"</f>
        <v>PFES1162646104_0001</v>
      </c>
      <c r="L1019" s="10">
        <v>1</v>
      </c>
      <c r="M1019" s="10">
        <v>7</v>
      </c>
    </row>
    <row r="1020" spans="1:13">
      <c r="A1020" s="8">
        <v>43353</v>
      </c>
      <c r="B1020" s="9">
        <v>0.60555555555555551</v>
      </c>
      <c r="C1020" s="10" t="str">
        <f>"FES1162646081"</f>
        <v>FES1162646081</v>
      </c>
      <c r="D1020" s="10" t="s">
        <v>19</v>
      </c>
      <c r="E1020" s="10" t="s">
        <v>232</v>
      </c>
      <c r="F1020" s="10" t="str">
        <f>"2170650922 "</f>
        <v xml:space="preserve">2170650922 </v>
      </c>
      <c r="G1020" s="10" t="str">
        <f t="shared" ref="G1020:G1044" si="26">"ON1"</f>
        <v>ON1</v>
      </c>
      <c r="H1020" s="10" t="s">
        <v>21</v>
      </c>
      <c r="I1020" s="10" t="s">
        <v>233</v>
      </c>
      <c r="J1020" s="10" t="str">
        <f>""</f>
        <v/>
      </c>
      <c r="K1020" s="10" t="str">
        <f>"PFES1162646081_0001"</f>
        <v>PFES1162646081_0001</v>
      </c>
      <c r="L1020" s="10">
        <v>1</v>
      </c>
      <c r="M1020" s="10">
        <v>2</v>
      </c>
    </row>
    <row r="1021" spans="1:13">
      <c r="A1021" s="8">
        <v>43353</v>
      </c>
      <c r="B1021" s="9">
        <v>0.60486111111111118</v>
      </c>
      <c r="C1021" s="10" t="str">
        <f>"FES1162646190"</f>
        <v>FES1162646190</v>
      </c>
      <c r="D1021" s="10" t="s">
        <v>19</v>
      </c>
      <c r="E1021" s="10" t="s">
        <v>485</v>
      </c>
      <c r="F1021" s="10" t="str">
        <f>"2170650973 "</f>
        <v xml:space="preserve">2170650973 </v>
      </c>
      <c r="G1021" s="10" t="str">
        <f t="shared" si="26"/>
        <v>ON1</v>
      </c>
      <c r="H1021" s="10" t="s">
        <v>21</v>
      </c>
      <c r="I1021" s="10" t="s">
        <v>486</v>
      </c>
      <c r="J1021" s="10" t="str">
        <f>""</f>
        <v/>
      </c>
      <c r="K1021" s="10" t="str">
        <f>"PFES1162646190_0001"</f>
        <v>PFES1162646190_0001</v>
      </c>
      <c r="L1021" s="10">
        <v>1</v>
      </c>
      <c r="M1021" s="10">
        <v>3</v>
      </c>
    </row>
    <row r="1022" spans="1:13">
      <c r="A1022" s="8">
        <v>43353</v>
      </c>
      <c r="B1022" s="9">
        <v>0.60416666666666663</v>
      </c>
      <c r="C1022" s="10" t="str">
        <f>"FES1162646110"</f>
        <v>FES1162646110</v>
      </c>
      <c r="D1022" s="10" t="s">
        <v>19</v>
      </c>
      <c r="E1022" s="10" t="s">
        <v>666</v>
      </c>
      <c r="F1022" s="10" t="str">
        <f>"2170634941 "</f>
        <v xml:space="preserve">2170634941 </v>
      </c>
      <c r="G1022" s="10" t="str">
        <f t="shared" si="26"/>
        <v>ON1</v>
      </c>
      <c r="H1022" s="10" t="s">
        <v>21</v>
      </c>
      <c r="I1022" s="10" t="s">
        <v>486</v>
      </c>
      <c r="J1022" s="10" t="str">
        <f>""</f>
        <v/>
      </c>
      <c r="K1022" s="10" t="str">
        <f>"PFES1162646110_0001"</f>
        <v>PFES1162646110_0001</v>
      </c>
      <c r="L1022" s="10">
        <v>1</v>
      </c>
      <c r="M1022" s="10">
        <v>2</v>
      </c>
    </row>
    <row r="1023" spans="1:13">
      <c r="A1023" s="8">
        <v>43353</v>
      </c>
      <c r="B1023" s="9">
        <v>0.60277777777777775</v>
      </c>
      <c r="C1023" s="10" t="str">
        <f>"FES1162646058"</f>
        <v>FES1162646058</v>
      </c>
      <c r="D1023" s="10" t="s">
        <v>19</v>
      </c>
      <c r="E1023" s="10" t="s">
        <v>347</v>
      </c>
      <c r="F1023" s="10" t="str">
        <f>"2170650413 "</f>
        <v xml:space="preserve">2170650413 </v>
      </c>
      <c r="G1023" s="10" t="str">
        <f t="shared" si="26"/>
        <v>ON1</v>
      </c>
      <c r="H1023" s="10" t="s">
        <v>21</v>
      </c>
      <c r="I1023" s="10" t="s">
        <v>348</v>
      </c>
      <c r="J1023" s="10" t="str">
        <f>""</f>
        <v/>
      </c>
      <c r="K1023" s="10" t="str">
        <f>"PFES1162646058_0001"</f>
        <v>PFES1162646058_0001</v>
      </c>
      <c r="L1023" s="10">
        <v>1</v>
      </c>
      <c r="M1023" s="10">
        <v>1</v>
      </c>
    </row>
    <row r="1024" spans="1:13">
      <c r="A1024" s="8">
        <v>43353</v>
      </c>
      <c r="B1024" s="9">
        <v>0.6020833333333333</v>
      </c>
      <c r="C1024" s="10" t="str">
        <f>"FES1162646114"</f>
        <v>FES1162646114</v>
      </c>
      <c r="D1024" s="10" t="s">
        <v>19</v>
      </c>
      <c r="E1024" s="10" t="s">
        <v>397</v>
      </c>
      <c r="F1024" s="10" t="str">
        <f>"2170641524 "</f>
        <v xml:space="preserve">2170641524 </v>
      </c>
      <c r="G1024" s="10" t="str">
        <f t="shared" si="26"/>
        <v>ON1</v>
      </c>
      <c r="H1024" s="10" t="s">
        <v>21</v>
      </c>
      <c r="I1024" s="10" t="s">
        <v>89</v>
      </c>
      <c r="J1024" s="10" t="str">
        <f>""</f>
        <v/>
      </c>
      <c r="K1024" s="10" t="str">
        <f>"PFES1162646114_0001"</f>
        <v>PFES1162646114_0001</v>
      </c>
      <c r="L1024" s="10">
        <v>1</v>
      </c>
      <c r="M1024" s="10">
        <v>6</v>
      </c>
    </row>
    <row r="1025" spans="1:13">
      <c r="A1025" s="8">
        <v>43353</v>
      </c>
      <c r="B1025" s="9">
        <v>0.60069444444444442</v>
      </c>
      <c r="C1025" s="10" t="str">
        <f>"FES11626466158"</f>
        <v>FES11626466158</v>
      </c>
      <c r="D1025" s="10" t="s">
        <v>19</v>
      </c>
      <c r="E1025" s="10" t="s">
        <v>517</v>
      </c>
      <c r="F1025" s="10" t="str">
        <f>"2170648083 "</f>
        <v xml:space="preserve">2170648083 </v>
      </c>
      <c r="G1025" s="10" t="str">
        <f t="shared" si="26"/>
        <v>ON1</v>
      </c>
      <c r="H1025" s="10" t="s">
        <v>21</v>
      </c>
      <c r="I1025" s="10" t="s">
        <v>24</v>
      </c>
      <c r="J1025" s="10" t="str">
        <f>""</f>
        <v/>
      </c>
      <c r="K1025" s="10" t="str">
        <f>"PFES11626466158_0001"</f>
        <v>PFES11626466158_0001</v>
      </c>
      <c r="L1025" s="10">
        <v>1</v>
      </c>
      <c r="M1025" s="10">
        <v>2</v>
      </c>
    </row>
    <row r="1026" spans="1:13">
      <c r="A1026" s="8">
        <v>43353</v>
      </c>
      <c r="B1026" s="9">
        <v>0.6</v>
      </c>
      <c r="C1026" s="10" t="str">
        <f>"FES1162646187"</f>
        <v>FES1162646187</v>
      </c>
      <c r="D1026" s="10" t="s">
        <v>19</v>
      </c>
      <c r="E1026" s="10" t="s">
        <v>220</v>
      </c>
      <c r="F1026" s="10" t="str">
        <f>"2170650966 "</f>
        <v xml:space="preserve">2170650966 </v>
      </c>
      <c r="G1026" s="10" t="str">
        <f t="shared" si="26"/>
        <v>ON1</v>
      </c>
      <c r="H1026" s="10" t="s">
        <v>21</v>
      </c>
      <c r="I1026" s="10" t="s">
        <v>126</v>
      </c>
      <c r="J1026" s="10" t="str">
        <f>""</f>
        <v/>
      </c>
      <c r="K1026" s="10" t="str">
        <f>"PFES1162646187_0001"</f>
        <v>PFES1162646187_0001</v>
      </c>
      <c r="L1026" s="10">
        <v>1</v>
      </c>
      <c r="M1026" s="10">
        <v>1</v>
      </c>
    </row>
    <row r="1027" spans="1:13">
      <c r="A1027" s="8">
        <v>43353</v>
      </c>
      <c r="B1027" s="9">
        <v>0.59930555555555554</v>
      </c>
      <c r="C1027" s="10" t="str">
        <f>"FES1162646092"</f>
        <v>FES1162646092</v>
      </c>
      <c r="D1027" s="10" t="s">
        <v>19</v>
      </c>
      <c r="E1027" s="10" t="s">
        <v>278</v>
      </c>
      <c r="F1027" s="10" t="str">
        <f>"2170650615 "</f>
        <v xml:space="preserve">2170650615 </v>
      </c>
      <c r="G1027" s="10" t="str">
        <f t="shared" si="26"/>
        <v>ON1</v>
      </c>
      <c r="H1027" s="10" t="s">
        <v>21</v>
      </c>
      <c r="I1027" s="10" t="s">
        <v>279</v>
      </c>
      <c r="J1027" s="10" t="str">
        <f>""</f>
        <v/>
      </c>
      <c r="K1027" s="10" t="str">
        <f>"PFES1162646092_0001"</f>
        <v>PFES1162646092_0001</v>
      </c>
      <c r="L1027" s="10">
        <v>1</v>
      </c>
      <c r="M1027" s="10">
        <v>6</v>
      </c>
    </row>
    <row r="1028" spans="1:13">
      <c r="A1028" s="8">
        <v>43353</v>
      </c>
      <c r="B1028" s="9">
        <v>0.59791666666666665</v>
      </c>
      <c r="C1028" s="10" t="str">
        <f>"FES1162646044"</f>
        <v>FES1162646044</v>
      </c>
      <c r="D1028" s="10" t="s">
        <v>19</v>
      </c>
      <c r="E1028" s="10" t="s">
        <v>667</v>
      </c>
      <c r="F1028" s="10" t="str">
        <f>"2170649393 "</f>
        <v xml:space="preserve">2170649393 </v>
      </c>
      <c r="G1028" s="10" t="str">
        <f t="shared" si="26"/>
        <v>ON1</v>
      </c>
      <c r="H1028" s="10" t="s">
        <v>21</v>
      </c>
      <c r="I1028" s="10" t="s">
        <v>30</v>
      </c>
      <c r="J1028" s="10" t="str">
        <f>""</f>
        <v/>
      </c>
      <c r="K1028" s="10" t="str">
        <f>"PFES1162646044_0001"</f>
        <v>PFES1162646044_0001</v>
      </c>
      <c r="L1028" s="10">
        <v>1</v>
      </c>
      <c r="M1028" s="10">
        <v>3</v>
      </c>
    </row>
    <row r="1029" spans="1:13">
      <c r="A1029" s="8">
        <v>43353</v>
      </c>
      <c r="B1029" s="9">
        <v>0.59583333333333333</v>
      </c>
      <c r="C1029" s="10" t="str">
        <f>"FES1162646189"</f>
        <v>FES1162646189</v>
      </c>
      <c r="D1029" s="10" t="s">
        <v>19</v>
      </c>
      <c r="E1029" s="10" t="s">
        <v>220</v>
      </c>
      <c r="F1029" s="10" t="str">
        <f>"2170650972 "</f>
        <v xml:space="preserve">2170650972 </v>
      </c>
      <c r="G1029" s="10" t="str">
        <f t="shared" si="26"/>
        <v>ON1</v>
      </c>
      <c r="H1029" s="10" t="s">
        <v>21</v>
      </c>
      <c r="I1029" s="10" t="s">
        <v>126</v>
      </c>
      <c r="J1029" s="10" t="str">
        <f>""</f>
        <v/>
      </c>
      <c r="K1029" s="10" t="str">
        <f>"PFES1162646189_0001"</f>
        <v>PFES1162646189_0001</v>
      </c>
      <c r="L1029" s="10">
        <v>1</v>
      </c>
      <c r="M1029" s="10">
        <v>4</v>
      </c>
    </row>
    <row r="1030" spans="1:13">
      <c r="A1030" s="8">
        <v>43353</v>
      </c>
      <c r="B1030" s="9">
        <v>0.59444444444444444</v>
      </c>
      <c r="C1030" s="10" t="str">
        <f>"FES1162646261"</f>
        <v>FES1162646261</v>
      </c>
      <c r="D1030" s="10" t="s">
        <v>19</v>
      </c>
      <c r="E1030" s="10" t="s">
        <v>668</v>
      </c>
      <c r="F1030" s="10" t="str">
        <f>"2170651023 "</f>
        <v xml:space="preserve">2170651023 </v>
      </c>
      <c r="G1030" s="10" t="str">
        <f t="shared" si="26"/>
        <v>ON1</v>
      </c>
      <c r="H1030" s="10" t="s">
        <v>21</v>
      </c>
      <c r="I1030" s="10" t="s">
        <v>57</v>
      </c>
      <c r="J1030" s="10" t="str">
        <f>""</f>
        <v/>
      </c>
      <c r="K1030" s="10" t="str">
        <f>"PFES1162646261_0001"</f>
        <v>PFES1162646261_0001</v>
      </c>
      <c r="L1030" s="10">
        <v>1</v>
      </c>
      <c r="M1030" s="10">
        <v>7</v>
      </c>
    </row>
    <row r="1031" spans="1:13">
      <c r="A1031" s="8">
        <v>43353</v>
      </c>
      <c r="B1031" s="9">
        <v>0.5854166666666667</v>
      </c>
      <c r="C1031" s="10" t="str">
        <f>"FES1162646171"</f>
        <v>FES1162646171</v>
      </c>
      <c r="D1031" s="10" t="s">
        <v>19</v>
      </c>
      <c r="E1031" s="10" t="s">
        <v>482</v>
      </c>
      <c r="F1031" s="10" t="str">
        <f>"2170649456 "</f>
        <v xml:space="preserve">2170649456 </v>
      </c>
      <c r="G1031" s="10" t="str">
        <f t="shared" si="26"/>
        <v>ON1</v>
      </c>
      <c r="H1031" s="10" t="s">
        <v>21</v>
      </c>
      <c r="I1031" s="10" t="s">
        <v>474</v>
      </c>
      <c r="J1031" s="10" t="str">
        <f>""</f>
        <v/>
      </c>
      <c r="K1031" s="10" t="str">
        <f>"PFES1162646171_0001"</f>
        <v>PFES1162646171_0001</v>
      </c>
      <c r="L1031" s="10">
        <v>1</v>
      </c>
      <c r="M1031" s="10">
        <v>1</v>
      </c>
    </row>
    <row r="1032" spans="1:13">
      <c r="A1032" s="8">
        <v>43353</v>
      </c>
      <c r="B1032" s="9">
        <v>0.58472222222222225</v>
      </c>
      <c r="C1032" s="10" t="str">
        <f>"FES1162646076"</f>
        <v>FES1162646076</v>
      </c>
      <c r="D1032" s="10" t="s">
        <v>19</v>
      </c>
      <c r="E1032" s="10" t="s">
        <v>232</v>
      </c>
      <c r="F1032" s="10" t="str">
        <f>"2170650917 "</f>
        <v xml:space="preserve">2170650917 </v>
      </c>
      <c r="G1032" s="10" t="str">
        <f t="shared" si="26"/>
        <v>ON1</v>
      </c>
      <c r="H1032" s="10" t="s">
        <v>21</v>
      </c>
      <c r="I1032" s="10" t="s">
        <v>233</v>
      </c>
      <c r="J1032" s="10" t="str">
        <f>""</f>
        <v/>
      </c>
      <c r="K1032" s="10" t="str">
        <f>"PFES1162646076_0001"</f>
        <v>PFES1162646076_0001</v>
      </c>
      <c r="L1032" s="10">
        <v>1</v>
      </c>
      <c r="M1032" s="10">
        <v>1</v>
      </c>
    </row>
    <row r="1033" spans="1:13">
      <c r="A1033" s="8">
        <v>43353</v>
      </c>
      <c r="B1033" s="9">
        <v>0.58472222222222225</v>
      </c>
      <c r="C1033" s="10" t="str">
        <f>"FES1162646038"</f>
        <v>FES1162646038</v>
      </c>
      <c r="D1033" s="10" t="s">
        <v>19</v>
      </c>
      <c r="E1033" s="10" t="s">
        <v>669</v>
      </c>
      <c r="F1033" s="10" t="str">
        <f>"2170684642 "</f>
        <v xml:space="preserve">2170684642 </v>
      </c>
      <c r="G1033" s="10" t="str">
        <f t="shared" si="26"/>
        <v>ON1</v>
      </c>
      <c r="H1033" s="10" t="s">
        <v>21</v>
      </c>
      <c r="I1033" s="10" t="s">
        <v>76</v>
      </c>
      <c r="J1033" s="10" t="str">
        <f>""</f>
        <v/>
      </c>
      <c r="K1033" s="10" t="str">
        <f>"PFES1162646038_0001"</f>
        <v>PFES1162646038_0001</v>
      </c>
      <c r="L1033" s="10">
        <v>1</v>
      </c>
      <c r="M1033" s="10">
        <v>1</v>
      </c>
    </row>
    <row r="1034" spans="1:13">
      <c r="A1034" s="8">
        <v>43353</v>
      </c>
      <c r="B1034" s="9">
        <v>0.58472222222222225</v>
      </c>
      <c r="C1034" s="10" t="str">
        <f>"FES1162646148"</f>
        <v>FES1162646148</v>
      </c>
      <c r="D1034" s="10" t="s">
        <v>19</v>
      </c>
      <c r="E1034" s="10" t="s">
        <v>670</v>
      </c>
      <c r="F1034" s="10" t="str">
        <f>"2170647966 "</f>
        <v xml:space="preserve">2170647966 </v>
      </c>
      <c r="G1034" s="10" t="str">
        <f t="shared" si="26"/>
        <v>ON1</v>
      </c>
      <c r="H1034" s="10" t="s">
        <v>21</v>
      </c>
      <c r="I1034" s="10" t="s">
        <v>671</v>
      </c>
      <c r="J1034" s="10" t="str">
        <f>""</f>
        <v/>
      </c>
      <c r="K1034" s="10" t="str">
        <f>"PFES1162646148_0001"</f>
        <v>PFES1162646148_0001</v>
      </c>
      <c r="L1034" s="10">
        <v>1</v>
      </c>
      <c r="M1034" s="10">
        <v>1</v>
      </c>
    </row>
    <row r="1035" spans="1:13">
      <c r="A1035" s="8">
        <v>43353</v>
      </c>
      <c r="B1035" s="9">
        <v>0.58402777777777781</v>
      </c>
      <c r="C1035" s="10" t="str">
        <f>"FES1162646136"</f>
        <v>FES1162646136</v>
      </c>
      <c r="D1035" s="10" t="s">
        <v>19</v>
      </c>
      <c r="E1035" s="10" t="s">
        <v>565</v>
      </c>
      <c r="F1035" s="10" t="str">
        <f>"2170647269 "</f>
        <v xml:space="preserve">2170647269 </v>
      </c>
      <c r="G1035" s="10" t="str">
        <f t="shared" si="26"/>
        <v>ON1</v>
      </c>
      <c r="H1035" s="10" t="s">
        <v>21</v>
      </c>
      <c r="I1035" s="10" t="s">
        <v>566</v>
      </c>
      <c r="J1035" s="10" t="str">
        <f>""</f>
        <v/>
      </c>
      <c r="K1035" s="10" t="str">
        <f>"PFES1162646136_0001"</f>
        <v>PFES1162646136_0001</v>
      </c>
      <c r="L1035" s="10">
        <v>1</v>
      </c>
      <c r="M1035" s="10">
        <v>1</v>
      </c>
    </row>
    <row r="1036" spans="1:13">
      <c r="A1036" s="8">
        <v>43353</v>
      </c>
      <c r="B1036" s="9">
        <v>0.58402777777777781</v>
      </c>
      <c r="C1036" s="10" t="str">
        <f>"FES1162646145"</f>
        <v>FES1162646145</v>
      </c>
      <c r="D1036" s="10" t="s">
        <v>19</v>
      </c>
      <c r="E1036" s="10" t="s">
        <v>278</v>
      </c>
      <c r="F1036" s="10" t="str">
        <f>"2170647925 "</f>
        <v xml:space="preserve">2170647925 </v>
      </c>
      <c r="G1036" s="10" t="str">
        <f t="shared" si="26"/>
        <v>ON1</v>
      </c>
      <c r="H1036" s="10" t="s">
        <v>21</v>
      </c>
      <c r="I1036" s="10" t="s">
        <v>279</v>
      </c>
      <c r="J1036" s="10" t="str">
        <f>""</f>
        <v/>
      </c>
      <c r="K1036" s="10" t="str">
        <f>"PFES1162646145_0001"</f>
        <v>PFES1162646145_0001</v>
      </c>
      <c r="L1036" s="10">
        <v>1</v>
      </c>
      <c r="M1036" s="10">
        <v>1</v>
      </c>
    </row>
    <row r="1037" spans="1:13">
      <c r="A1037" s="8">
        <v>43353</v>
      </c>
      <c r="B1037" s="9">
        <v>0.58402777777777781</v>
      </c>
      <c r="C1037" s="10" t="str">
        <f>"FES1162646075"</f>
        <v>FES1162646075</v>
      </c>
      <c r="D1037" s="10" t="s">
        <v>19</v>
      </c>
      <c r="E1037" s="10" t="s">
        <v>519</v>
      </c>
      <c r="F1037" s="10" t="str">
        <f>"2170650916 "</f>
        <v xml:space="preserve">2170650916 </v>
      </c>
      <c r="G1037" s="10" t="str">
        <f t="shared" si="26"/>
        <v>ON1</v>
      </c>
      <c r="H1037" s="10" t="s">
        <v>21</v>
      </c>
      <c r="I1037" s="10" t="s">
        <v>279</v>
      </c>
      <c r="J1037" s="10" t="str">
        <f>""</f>
        <v/>
      </c>
      <c r="K1037" s="10" t="str">
        <f>"PFES1162646075_0001"</f>
        <v>PFES1162646075_0001</v>
      </c>
      <c r="L1037" s="10">
        <v>1</v>
      </c>
      <c r="M1037" s="10">
        <v>1</v>
      </c>
    </row>
    <row r="1038" spans="1:13">
      <c r="A1038" s="8">
        <v>43353</v>
      </c>
      <c r="B1038" s="9">
        <v>0.58333333333333337</v>
      </c>
      <c r="C1038" s="10" t="str">
        <f>"FES1162646213"</f>
        <v>FES1162646213</v>
      </c>
      <c r="D1038" s="10" t="s">
        <v>19</v>
      </c>
      <c r="E1038" s="10" t="s">
        <v>672</v>
      </c>
      <c r="F1038" s="10" t="str">
        <f>"2170648228 "</f>
        <v xml:space="preserve">2170648228 </v>
      </c>
      <c r="G1038" s="10" t="str">
        <f t="shared" si="26"/>
        <v>ON1</v>
      </c>
      <c r="H1038" s="10" t="s">
        <v>21</v>
      </c>
      <c r="I1038" s="10" t="s">
        <v>306</v>
      </c>
      <c r="J1038" s="10" t="str">
        <f>""</f>
        <v/>
      </c>
      <c r="K1038" s="10" t="str">
        <f>"PFES1162646213_0001"</f>
        <v>PFES1162646213_0001</v>
      </c>
      <c r="L1038" s="10">
        <v>1</v>
      </c>
      <c r="M1038" s="10">
        <v>1</v>
      </c>
    </row>
    <row r="1039" spans="1:13">
      <c r="A1039" s="8">
        <v>43353</v>
      </c>
      <c r="B1039" s="9">
        <v>0.58333333333333337</v>
      </c>
      <c r="C1039" s="10" t="str">
        <f>"FES1162646178"</f>
        <v>FES1162646178</v>
      </c>
      <c r="D1039" s="10" t="s">
        <v>19</v>
      </c>
      <c r="E1039" s="10" t="s">
        <v>75</v>
      </c>
      <c r="F1039" s="10" t="str">
        <f>"2170649863 "</f>
        <v xml:space="preserve">2170649863 </v>
      </c>
      <c r="G1039" s="10" t="str">
        <f t="shared" si="26"/>
        <v>ON1</v>
      </c>
      <c r="H1039" s="10" t="s">
        <v>21</v>
      </c>
      <c r="I1039" s="10" t="s">
        <v>76</v>
      </c>
      <c r="J1039" s="10" t="str">
        <f>""</f>
        <v/>
      </c>
      <c r="K1039" s="10" t="str">
        <f>"PFES1162646178_0001"</f>
        <v>PFES1162646178_0001</v>
      </c>
      <c r="L1039" s="10">
        <v>1</v>
      </c>
      <c r="M1039" s="10">
        <v>1</v>
      </c>
    </row>
    <row r="1040" spans="1:13">
      <c r="A1040" s="8">
        <v>43353</v>
      </c>
      <c r="B1040" s="9">
        <v>0.58263888888888882</v>
      </c>
      <c r="C1040" s="10" t="str">
        <f>"FES1162646120"</f>
        <v>FES1162646120</v>
      </c>
      <c r="D1040" s="10" t="s">
        <v>19</v>
      </c>
      <c r="E1040" s="10" t="s">
        <v>174</v>
      </c>
      <c r="F1040" s="10" t="str">
        <f>"2170643900 "</f>
        <v xml:space="preserve">2170643900 </v>
      </c>
      <c r="G1040" s="10" t="str">
        <f t="shared" si="26"/>
        <v>ON1</v>
      </c>
      <c r="H1040" s="10" t="s">
        <v>21</v>
      </c>
      <c r="I1040" s="10" t="s">
        <v>175</v>
      </c>
      <c r="J1040" s="10" t="str">
        <f>""</f>
        <v/>
      </c>
      <c r="K1040" s="10" t="str">
        <f>"PFES1162646120_0001"</f>
        <v>PFES1162646120_0001</v>
      </c>
      <c r="L1040" s="10">
        <v>1</v>
      </c>
      <c r="M1040" s="10">
        <v>11</v>
      </c>
    </row>
    <row r="1041" spans="1:13">
      <c r="A1041" s="8">
        <v>43353</v>
      </c>
      <c r="B1041" s="9">
        <v>0.58263888888888882</v>
      </c>
      <c r="C1041" s="10" t="str">
        <f>"FES1162646246"</f>
        <v>FES1162646246</v>
      </c>
      <c r="D1041" s="10" t="s">
        <v>19</v>
      </c>
      <c r="E1041" s="10" t="s">
        <v>88</v>
      </c>
      <c r="F1041" s="10" t="str">
        <f>"2170651005 "</f>
        <v xml:space="preserve">2170651005 </v>
      </c>
      <c r="G1041" s="10" t="str">
        <f t="shared" si="26"/>
        <v>ON1</v>
      </c>
      <c r="H1041" s="10" t="s">
        <v>21</v>
      </c>
      <c r="I1041" s="10" t="s">
        <v>89</v>
      </c>
      <c r="J1041" s="10" t="str">
        <f>""</f>
        <v/>
      </c>
      <c r="K1041" s="10" t="str">
        <f>"PFES1162646246_0001"</f>
        <v>PFES1162646246_0001</v>
      </c>
      <c r="L1041" s="10">
        <v>1</v>
      </c>
      <c r="M1041" s="10">
        <v>1</v>
      </c>
    </row>
    <row r="1042" spans="1:13">
      <c r="A1042" s="8">
        <v>43353</v>
      </c>
      <c r="B1042" s="9">
        <v>0.58263888888888882</v>
      </c>
      <c r="C1042" s="10" t="str">
        <f>"FES1162646165"</f>
        <v>FES1162646165</v>
      </c>
      <c r="D1042" s="10" t="s">
        <v>19</v>
      </c>
      <c r="E1042" s="10" t="s">
        <v>542</v>
      </c>
      <c r="F1042" s="10" t="str">
        <f>"2170648631 "</f>
        <v xml:space="preserve">2170648631 </v>
      </c>
      <c r="G1042" s="10" t="str">
        <f t="shared" si="26"/>
        <v>ON1</v>
      </c>
      <c r="H1042" s="10" t="s">
        <v>21</v>
      </c>
      <c r="I1042" s="10" t="s">
        <v>543</v>
      </c>
      <c r="J1042" s="10" t="str">
        <f>""</f>
        <v/>
      </c>
      <c r="K1042" s="10" t="str">
        <f>"PFES1162646165_0001"</f>
        <v>PFES1162646165_0001</v>
      </c>
      <c r="L1042" s="10">
        <v>1</v>
      </c>
      <c r="M1042" s="10">
        <v>1</v>
      </c>
    </row>
    <row r="1043" spans="1:13">
      <c r="A1043" s="8">
        <v>43353</v>
      </c>
      <c r="B1043" s="9">
        <v>0.58263888888888882</v>
      </c>
      <c r="C1043" s="10" t="str">
        <f>"FES1162646146"</f>
        <v>FES1162646146</v>
      </c>
      <c r="D1043" s="10" t="s">
        <v>19</v>
      </c>
      <c r="E1043" s="10" t="s">
        <v>98</v>
      </c>
      <c r="F1043" s="10" t="str">
        <f>"2170647927 "</f>
        <v xml:space="preserve">2170647927 </v>
      </c>
      <c r="G1043" s="10" t="str">
        <f t="shared" si="26"/>
        <v>ON1</v>
      </c>
      <c r="H1043" s="10" t="s">
        <v>21</v>
      </c>
      <c r="I1043" s="10" t="s">
        <v>74</v>
      </c>
      <c r="J1043" s="10" t="str">
        <f>""</f>
        <v/>
      </c>
      <c r="K1043" s="10" t="str">
        <f>"PFES1162646146_0001"</f>
        <v>PFES1162646146_0001</v>
      </c>
      <c r="L1043" s="10">
        <v>1</v>
      </c>
      <c r="M1043" s="10">
        <v>1</v>
      </c>
    </row>
    <row r="1044" spans="1:13">
      <c r="A1044" s="8">
        <v>43353</v>
      </c>
      <c r="B1044" s="9">
        <v>0.58194444444444449</v>
      </c>
      <c r="C1044" s="10" t="str">
        <f>"FES1162646034"</f>
        <v>FES1162646034</v>
      </c>
      <c r="D1044" s="10" t="s">
        <v>19</v>
      </c>
      <c r="E1044" s="10" t="s">
        <v>328</v>
      </c>
      <c r="F1044" s="10" t="str">
        <f>"2170647735 "</f>
        <v xml:space="preserve">2170647735 </v>
      </c>
      <c r="G1044" s="10" t="str">
        <f t="shared" si="26"/>
        <v>ON1</v>
      </c>
      <c r="H1044" s="10" t="s">
        <v>21</v>
      </c>
      <c r="I1044" s="10" t="s">
        <v>57</v>
      </c>
      <c r="J1044" s="10" t="str">
        <f>""</f>
        <v/>
      </c>
      <c r="K1044" s="10" t="str">
        <f>"PFES1162646034_0001"</f>
        <v>PFES1162646034_0001</v>
      </c>
      <c r="L1044" s="10">
        <v>1</v>
      </c>
      <c r="M1044" s="10">
        <v>1</v>
      </c>
    </row>
    <row r="1045" spans="1:13">
      <c r="A1045" s="8">
        <v>43353</v>
      </c>
      <c r="B1045" s="9">
        <v>0.58124999999999993</v>
      </c>
      <c r="C1045" s="10" t="str">
        <f>"FES1162646163"</f>
        <v>FES1162646163</v>
      </c>
      <c r="D1045" s="10" t="s">
        <v>19</v>
      </c>
      <c r="E1045" s="10" t="s">
        <v>592</v>
      </c>
      <c r="F1045" s="10" t="str">
        <f>"217068142 "</f>
        <v xml:space="preserve">217068142 </v>
      </c>
      <c r="G1045" s="10" t="str">
        <f>"DBC"</f>
        <v>DBC</v>
      </c>
      <c r="H1045" s="10" t="s">
        <v>21</v>
      </c>
      <c r="I1045" s="10" t="s">
        <v>159</v>
      </c>
      <c r="J1045" s="10" t="str">
        <f>""</f>
        <v/>
      </c>
      <c r="K1045" s="10" t="str">
        <f>"PFES1162646163_0001"</f>
        <v>PFES1162646163_0001</v>
      </c>
      <c r="L1045" s="10">
        <v>1</v>
      </c>
      <c r="M1045" s="10">
        <v>1</v>
      </c>
    </row>
    <row r="1046" spans="1:13">
      <c r="A1046" s="8">
        <v>43353</v>
      </c>
      <c r="B1046" s="9">
        <v>0.58124999999999993</v>
      </c>
      <c r="C1046" s="10" t="str">
        <f>"FES1162646224"</f>
        <v>FES1162646224</v>
      </c>
      <c r="D1046" s="10" t="s">
        <v>19</v>
      </c>
      <c r="E1046" s="10" t="s">
        <v>298</v>
      </c>
      <c r="F1046" s="10" t="str">
        <f>"2170648361 "</f>
        <v xml:space="preserve">2170648361 </v>
      </c>
      <c r="G1046" s="10" t="str">
        <f t="shared" ref="G1046:G1066" si="27">"ON1"</f>
        <v>ON1</v>
      </c>
      <c r="H1046" s="10" t="s">
        <v>21</v>
      </c>
      <c r="I1046" s="10" t="s">
        <v>68</v>
      </c>
      <c r="J1046" s="10" t="str">
        <f>""</f>
        <v/>
      </c>
      <c r="K1046" s="10" t="str">
        <f>"PFES1162646224_0001"</f>
        <v>PFES1162646224_0001</v>
      </c>
      <c r="L1046" s="10">
        <v>1</v>
      </c>
      <c r="M1046" s="10">
        <v>2</v>
      </c>
    </row>
    <row r="1047" spans="1:13">
      <c r="A1047" s="8">
        <v>43353</v>
      </c>
      <c r="B1047" s="9">
        <v>0.58124999999999993</v>
      </c>
      <c r="C1047" s="10" t="str">
        <f>"FES1162646131"</f>
        <v>FES1162646131</v>
      </c>
      <c r="D1047" s="10" t="s">
        <v>19</v>
      </c>
      <c r="E1047" s="10" t="s">
        <v>134</v>
      </c>
      <c r="F1047" s="10" t="str">
        <f>"2170647168 "</f>
        <v xml:space="preserve">2170647168 </v>
      </c>
      <c r="G1047" s="10" t="str">
        <f t="shared" si="27"/>
        <v>ON1</v>
      </c>
      <c r="H1047" s="10" t="s">
        <v>21</v>
      </c>
      <c r="I1047" s="10" t="s">
        <v>135</v>
      </c>
      <c r="J1047" s="10" t="str">
        <f>""</f>
        <v/>
      </c>
      <c r="K1047" s="10" t="str">
        <f>"PFES1162646131_0001"</f>
        <v>PFES1162646131_0001</v>
      </c>
      <c r="L1047" s="10">
        <v>1</v>
      </c>
      <c r="M1047" s="10">
        <v>1</v>
      </c>
    </row>
    <row r="1048" spans="1:13">
      <c r="A1048" s="8">
        <v>43353</v>
      </c>
      <c r="B1048" s="9">
        <v>0.5805555555555556</v>
      </c>
      <c r="C1048" s="10" t="str">
        <f>"FES1162646238"</f>
        <v>FES1162646238</v>
      </c>
      <c r="D1048" s="10" t="s">
        <v>19</v>
      </c>
      <c r="E1048" s="10" t="s">
        <v>88</v>
      </c>
      <c r="F1048" s="10" t="str">
        <f>"2170650998 "</f>
        <v xml:space="preserve">2170650998 </v>
      </c>
      <c r="G1048" s="10" t="str">
        <f t="shared" si="27"/>
        <v>ON1</v>
      </c>
      <c r="H1048" s="10" t="s">
        <v>21</v>
      </c>
      <c r="I1048" s="10" t="s">
        <v>89</v>
      </c>
      <c r="J1048" s="10" t="str">
        <f>""</f>
        <v/>
      </c>
      <c r="K1048" s="10" t="str">
        <f>"PFES1162646238_0001"</f>
        <v>PFES1162646238_0001</v>
      </c>
      <c r="L1048" s="10">
        <v>1</v>
      </c>
      <c r="M1048" s="10">
        <v>1</v>
      </c>
    </row>
    <row r="1049" spans="1:13">
      <c r="A1049" s="8">
        <v>43353</v>
      </c>
      <c r="B1049" s="9">
        <v>0.5805555555555556</v>
      </c>
      <c r="C1049" s="10" t="str">
        <f>"FES1162646123"</f>
        <v>FES1162646123</v>
      </c>
      <c r="D1049" s="10" t="s">
        <v>19</v>
      </c>
      <c r="E1049" s="10" t="s">
        <v>398</v>
      </c>
      <c r="F1049" s="10" t="str">
        <f>"2170645657 "</f>
        <v xml:space="preserve">2170645657 </v>
      </c>
      <c r="G1049" s="10" t="str">
        <f t="shared" si="27"/>
        <v>ON1</v>
      </c>
      <c r="H1049" s="10" t="s">
        <v>21</v>
      </c>
      <c r="I1049" s="10" t="s">
        <v>89</v>
      </c>
      <c r="J1049" s="10" t="str">
        <f>""</f>
        <v/>
      </c>
      <c r="K1049" s="10" t="str">
        <f>"PFES1162646123_0001"</f>
        <v>PFES1162646123_0001</v>
      </c>
      <c r="L1049" s="10">
        <v>1</v>
      </c>
      <c r="M1049" s="10">
        <v>1</v>
      </c>
    </row>
    <row r="1050" spans="1:13">
      <c r="A1050" s="8">
        <v>43353</v>
      </c>
      <c r="B1050" s="9">
        <v>0.57986111111111105</v>
      </c>
      <c r="C1050" s="10" t="str">
        <f>"FES1162646184"</f>
        <v>FES1162646184</v>
      </c>
      <c r="D1050" s="10" t="s">
        <v>19</v>
      </c>
      <c r="E1050" s="10" t="s">
        <v>130</v>
      </c>
      <c r="F1050" s="10" t="str">
        <f>"2170650968 "</f>
        <v xml:space="preserve">2170650968 </v>
      </c>
      <c r="G1050" s="10" t="str">
        <f t="shared" si="27"/>
        <v>ON1</v>
      </c>
      <c r="H1050" s="10" t="s">
        <v>21</v>
      </c>
      <c r="I1050" s="10" t="s">
        <v>131</v>
      </c>
      <c r="J1050" s="10" t="str">
        <f>""</f>
        <v/>
      </c>
      <c r="K1050" s="10" t="str">
        <f>"PFES1162646184_0001"</f>
        <v>PFES1162646184_0001</v>
      </c>
      <c r="L1050" s="10">
        <v>1</v>
      </c>
      <c r="M1050" s="10">
        <v>1</v>
      </c>
    </row>
    <row r="1051" spans="1:13">
      <c r="A1051" s="8">
        <v>43353</v>
      </c>
      <c r="B1051" s="9">
        <v>0.57986111111111105</v>
      </c>
      <c r="C1051" s="10" t="str">
        <f>"FES1162646121"</f>
        <v>FES1162646121</v>
      </c>
      <c r="D1051" s="10" t="s">
        <v>19</v>
      </c>
      <c r="E1051" s="10" t="s">
        <v>174</v>
      </c>
      <c r="F1051" s="10" t="str">
        <f>"2170643989 "</f>
        <v xml:space="preserve">2170643989 </v>
      </c>
      <c r="G1051" s="10" t="str">
        <f t="shared" si="27"/>
        <v>ON1</v>
      </c>
      <c r="H1051" s="10" t="s">
        <v>21</v>
      </c>
      <c r="I1051" s="10" t="s">
        <v>175</v>
      </c>
      <c r="J1051" s="10" t="str">
        <f>""</f>
        <v/>
      </c>
      <c r="K1051" s="10" t="str">
        <f>"PFES1162646121_0001"</f>
        <v>PFES1162646121_0001</v>
      </c>
      <c r="L1051" s="10">
        <v>1</v>
      </c>
      <c r="M1051" s="10">
        <v>6</v>
      </c>
    </row>
    <row r="1052" spans="1:13">
      <c r="A1052" s="8">
        <v>43353</v>
      </c>
      <c r="B1052" s="9">
        <v>0.57986111111111105</v>
      </c>
      <c r="C1052" s="10" t="str">
        <f>"FES1162646314"</f>
        <v>FES1162646314</v>
      </c>
      <c r="D1052" s="10" t="s">
        <v>19</v>
      </c>
      <c r="E1052" s="10" t="s">
        <v>41</v>
      </c>
      <c r="F1052" s="10" t="str">
        <f>"2170651089 "</f>
        <v xml:space="preserve">2170651089 </v>
      </c>
      <c r="G1052" s="10" t="str">
        <f t="shared" si="27"/>
        <v>ON1</v>
      </c>
      <c r="H1052" s="10" t="s">
        <v>21</v>
      </c>
      <c r="I1052" s="10" t="s">
        <v>42</v>
      </c>
      <c r="J1052" s="10" t="str">
        <f>""</f>
        <v/>
      </c>
      <c r="K1052" s="10" t="str">
        <f>"PFES1162646314_0001"</f>
        <v>PFES1162646314_0001</v>
      </c>
      <c r="L1052" s="10">
        <v>1</v>
      </c>
      <c r="M1052" s="10">
        <v>1</v>
      </c>
    </row>
    <row r="1053" spans="1:13">
      <c r="A1053" s="8">
        <v>43353</v>
      </c>
      <c r="B1053" s="9">
        <v>0.57916666666666672</v>
      </c>
      <c r="C1053" s="10" t="str">
        <f>"FES1162646113"</f>
        <v>FES1162646113</v>
      </c>
      <c r="D1053" s="10" t="s">
        <v>19</v>
      </c>
      <c r="E1053" s="10" t="s">
        <v>620</v>
      </c>
      <c r="F1053" s="10" t="str">
        <f>"2170640699 "</f>
        <v xml:space="preserve">2170640699 </v>
      </c>
      <c r="G1053" s="10" t="str">
        <f t="shared" si="27"/>
        <v>ON1</v>
      </c>
      <c r="H1053" s="10" t="s">
        <v>21</v>
      </c>
      <c r="I1053" s="10" t="s">
        <v>117</v>
      </c>
      <c r="J1053" s="10" t="str">
        <f>""</f>
        <v/>
      </c>
      <c r="K1053" s="10" t="str">
        <f>"PFES1162646113_0001"</f>
        <v>PFES1162646113_0001</v>
      </c>
      <c r="L1053" s="10">
        <v>1</v>
      </c>
      <c r="M1053" s="10">
        <v>4</v>
      </c>
    </row>
    <row r="1054" spans="1:13">
      <c r="A1054" s="8">
        <v>43353</v>
      </c>
      <c r="B1054" s="9">
        <v>0.57916666666666672</v>
      </c>
      <c r="C1054" s="10" t="str">
        <f>"FES1162646313"</f>
        <v>FES1162646313</v>
      </c>
      <c r="D1054" s="10" t="s">
        <v>19</v>
      </c>
      <c r="E1054" s="10" t="s">
        <v>445</v>
      </c>
      <c r="F1054" s="10" t="str">
        <f>"2170651087 "</f>
        <v xml:space="preserve">2170651087 </v>
      </c>
      <c r="G1054" s="10" t="str">
        <f t="shared" si="27"/>
        <v>ON1</v>
      </c>
      <c r="H1054" s="10" t="s">
        <v>21</v>
      </c>
      <c r="I1054" s="10" t="s">
        <v>206</v>
      </c>
      <c r="J1054" s="10" t="str">
        <f>""</f>
        <v/>
      </c>
      <c r="K1054" s="10" t="str">
        <f>"PFES1162646313_0001"</f>
        <v>PFES1162646313_0001</v>
      </c>
      <c r="L1054" s="10">
        <v>1</v>
      </c>
      <c r="M1054" s="10">
        <v>1</v>
      </c>
    </row>
    <row r="1055" spans="1:13">
      <c r="A1055" s="8">
        <v>43353</v>
      </c>
      <c r="B1055" s="9">
        <v>0.57847222222222217</v>
      </c>
      <c r="C1055" s="10" t="str">
        <f>"FES1162646197"</f>
        <v>FES1162646197</v>
      </c>
      <c r="D1055" s="10" t="s">
        <v>19</v>
      </c>
      <c r="E1055" s="10" t="s">
        <v>174</v>
      </c>
      <c r="F1055" s="10" t="str">
        <f>"2170644821 "</f>
        <v xml:space="preserve">2170644821 </v>
      </c>
      <c r="G1055" s="10" t="str">
        <f t="shared" si="27"/>
        <v>ON1</v>
      </c>
      <c r="H1055" s="10" t="s">
        <v>21</v>
      </c>
      <c r="I1055" s="10" t="s">
        <v>175</v>
      </c>
      <c r="J1055" s="10" t="str">
        <f>""</f>
        <v/>
      </c>
      <c r="K1055" s="10" t="str">
        <f>"PFES1162646197_0001"</f>
        <v>PFES1162646197_0001</v>
      </c>
      <c r="L1055" s="10">
        <v>1</v>
      </c>
      <c r="M1055" s="10">
        <v>10</v>
      </c>
    </row>
    <row r="1056" spans="1:13">
      <c r="A1056" s="8">
        <v>43353</v>
      </c>
      <c r="B1056" s="9">
        <v>0.57708333333333328</v>
      </c>
      <c r="C1056" s="10" t="str">
        <f>"FES1162646196"</f>
        <v>FES1162646196</v>
      </c>
      <c r="D1056" s="10" t="s">
        <v>19</v>
      </c>
      <c r="E1056" s="10" t="s">
        <v>174</v>
      </c>
      <c r="F1056" s="10" t="str">
        <f>"2170644243 "</f>
        <v xml:space="preserve">2170644243 </v>
      </c>
      <c r="G1056" s="10" t="str">
        <f t="shared" si="27"/>
        <v>ON1</v>
      </c>
      <c r="H1056" s="10" t="s">
        <v>21</v>
      </c>
      <c r="I1056" s="10" t="s">
        <v>175</v>
      </c>
      <c r="J1056" s="10" t="str">
        <f>""</f>
        <v/>
      </c>
      <c r="K1056" s="10" t="str">
        <f>"PFES1162646196_0001"</f>
        <v>PFES1162646196_0001</v>
      </c>
      <c r="L1056" s="10">
        <v>1</v>
      </c>
      <c r="M1056" s="10">
        <v>2</v>
      </c>
    </row>
    <row r="1057" spans="1:13">
      <c r="A1057" s="8">
        <v>43353</v>
      </c>
      <c r="B1057" s="9">
        <v>0.5756944444444444</v>
      </c>
      <c r="C1057" s="10" t="str">
        <f>"FES1162646198"</f>
        <v>FES1162646198</v>
      </c>
      <c r="D1057" s="10" t="s">
        <v>19</v>
      </c>
      <c r="E1057" s="10" t="s">
        <v>188</v>
      </c>
      <c r="F1057" s="10" t="str">
        <f>"2170646596 "</f>
        <v xml:space="preserve">2170646596 </v>
      </c>
      <c r="G1057" s="10" t="str">
        <f t="shared" si="27"/>
        <v>ON1</v>
      </c>
      <c r="H1057" s="10" t="s">
        <v>21</v>
      </c>
      <c r="I1057" s="10" t="s">
        <v>26</v>
      </c>
      <c r="J1057" s="10" t="str">
        <f>""</f>
        <v/>
      </c>
      <c r="K1057" s="10" t="str">
        <f>"PFES1162646198_0001"</f>
        <v>PFES1162646198_0001</v>
      </c>
      <c r="L1057" s="10">
        <v>1</v>
      </c>
      <c r="M1057" s="10">
        <v>3</v>
      </c>
    </row>
    <row r="1058" spans="1:13">
      <c r="A1058" s="8">
        <v>43353</v>
      </c>
      <c r="B1058" s="9">
        <v>0.57430555555555551</v>
      </c>
      <c r="C1058" s="10" t="str">
        <f>"FES1162646203"</f>
        <v>FES1162646203</v>
      </c>
      <c r="D1058" s="10" t="s">
        <v>19</v>
      </c>
      <c r="E1058" s="10" t="s">
        <v>120</v>
      </c>
      <c r="F1058" s="10" t="str">
        <f>"2170647829 "</f>
        <v xml:space="preserve">2170647829 </v>
      </c>
      <c r="G1058" s="10" t="str">
        <f t="shared" si="27"/>
        <v>ON1</v>
      </c>
      <c r="H1058" s="10" t="s">
        <v>21</v>
      </c>
      <c r="I1058" s="10" t="s">
        <v>66</v>
      </c>
      <c r="J1058" s="10" t="str">
        <f>""</f>
        <v/>
      </c>
      <c r="K1058" s="10" t="str">
        <f>"PFES1162646203_0001"</f>
        <v>PFES1162646203_0001</v>
      </c>
      <c r="L1058" s="10">
        <v>1</v>
      </c>
      <c r="M1058" s="10">
        <v>1</v>
      </c>
    </row>
    <row r="1059" spans="1:13">
      <c r="A1059" s="8">
        <v>43353</v>
      </c>
      <c r="B1059" s="9">
        <v>0.56111111111111112</v>
      </c>
      <c r="C1059" s="10" t="str">
        <f>"FES1162646210"</f>
        <v>FES1162646210</v>
      </c>
      <c r="D1059" s="10" t="s">
        <v>19</v>
      </c>
      <c r="E1059" s="10" t="s">
        <v>141</v>
      </c>
      <c r="F1059" s="10" t="str">
        <f>"2170648175 "</f>
        <v xml:space="preserve">2170648175 </v>
      </c>
      <c r="G1059" s="10" t="str">
        <f t="shared" si="27"/>
        <v>ON1</v>
      </c>
      <c r="H1059" s="10" t="s">
        <v>21</v>
      </c>
      <c r="I1059" s="10" t="s">
        <v>91</v>
      </c>
      <c r="J1059" s="10" t="str">
        <f>""</f>
        <v/>
      </c>
      <c r="K1059" s="10" t="str">
        <f>"PFES1162646210_0001"</f>
        <v>PFES1162646210_0001</v>
      </c>
      <c r="L1059" s="10">
        <v>1</v>
      </c>
      <c r="M1059" s="10">
        <v>1</v>
      </c>
    </row>
    <row r="1060" spans="1:13">
      <c r="A1060" s="8">
        <v>43353</v>
      </c>
      <c r="B1060" s="9">
        <v>0.56111111111111112</v>
      </c>
      <c r="C1060" s="10" t="str">
        <f>"FES1162646161"</f>
        <v>FES1162646161</v>
      </c>
      <c r="D1060" s="10" t="s">
        <v>19</v>
      </c>
      <c r="E1060" s="10" t="s">
        <v>141</v>
      </c>
      <c r="F1060" s="10" t="str">
        <f>"2170648120 "</f>
        <v xml:space="preserve">2170648120 </v>
      </c>
      <c r="G1060" s="10" t="str">
        <f t="shared" si="27"/>
        <v>ON1</v>
      </c>
      <c r="H1060" s="10" t="s">
        <v>21</v>
      </c>
      <c r="I1060" s="10" t="s">
        <v>91</v>
      </c>
      <c r="J1060" s="10" t="str">
        <f>""</f>
        <v/>
      </c>
      <c r="K1060" s="10" t="str">
        <f>"PFES1162646161_0001"</f>
        <v>PFES1162646161_0001</v>
      </c>
      <c r="L1060" s="10">
        <v>1</v>
      </c>
      <c r="M1060" s="10">
        <v>1</v>
      </c>
    </row>
    <row r="1061" spans="1:13">
      <c r="A1061" s="8">
        <v>43353</v>
      </c>
      <c r="B1061" s="9">
        <v>0.56111111111111112</v>
      </c>
      <c r="C1061" s="10" t="str">
        <f>"FES1162646116"</f>
        <v>FES1162646116</v>
      </c>
      <c r="D1061" s="10" t="s">
        <v>19</v>
      </c>
      <c r="E1061" s="10" t="s">
        <v>232</v>
      </c>
      <c r="F1061" s="10" t="str">
        <f>"2170642699 "</f>
        <v xml:space="preserve">2170642699 </v>
      </c>
      <c r="G1061" s="10" t="str">
        <f t="shared" si="27"/>
        <v>ON1</v>
      </c>
      <c r="H1061" s="10" t="s">
        <v>21</v>
      </c>
      <c r="I1061" s="10" t="s">
        <v>233</v>
      </c>
      <c r="J1061" s="10" t="str">
        <f>""</f>
        <v/>
      </c>
      <c r="K1061" s="10" t="str">
        <f>"PFES1162646116_0001"</f>
        <v>PFES1162646116_0001</v>
      </c>
      <c r="L1061" s="10">
        <v>1</v>
      </c>
      <c r="M1061" s="10">
        <v>1</v>
      </c>
    </row>
    <row r="1062" spans="1:13">
      <c r="A1062" s="8">
        <v>43353</v>
      </c>
      <c r="B1062" s="9">
        <v>0.56041666666666667</v>
      </c>
      <c r="C1062" s="10" t="str">
        <f>"FES1162646122"</f>
        <v>FES1162646122</v>
      </c>
      <c r="D1062" s="10" t="s">
        <v>19</v>
      </c>
      <c r="E1062" s="10" t="s">
        <v>232</v>
      </c>
      <c r="F1062" s="10" t="str">
        <f>"2170644564 "</f>
        <v xml:space="preserve">2170644564 </v>
      </c>
      <c r="G1062" s="10" t="str">
        <f t="shared" si="27"/>
        <v>ON1</v>
      </c>
      <c r="H1062" s="10" t="s">
        <v>21</v>
      </c>
      <c r="I1062" s="10" t="s">
        <v>233</v>
      </c>
      <c r="J1062" s="10" t="str">
        <f>""</f>
        <v/>
      </c>
      <c r="K1062" s="10" t="str">
        <f>"PFES1162646122_0001"</f>
        <v>PFES1162646122_0001</v>
      </c>
      <c r="L1062" s="10">
        <v>1</v>
      </c>
      <c r="M1062" s="10">
        <v>1</v>
      </c>
    </row>
    <row r="1063" spans="1:13">
      <c r="A1063" s="8">
        <v>43353</v>
      </c>
      <c r="B1063" s="9">
        <v>0.56041666666666667</v>
      </c>
      <c r="C1063" s="10" t="str">
        <f>"FES1162646212"</f>
        <v>FES1162646212</v>
      </c>
      <c r="D1063" s="10" t="s">
        <v>19</v>
      </c>
      <c r="E1063" s="10" t="s">
        <v>673</v>
      </c>
      <c r="F1063" s="10" t="str">
        <f>"2170648218 "</f>
        <v xml:space="preserve">2170648218 </v>
      </c>
      <c r="G1063" s="10" t="str">
        <f t="shared" si="27"/>
        <v>ON1</v>
      </c>
      <c r="H1063" s="10" t="s">
        <v>21</v>
      </c>
      <c r="I1063" s="10" t="s">
        <v>83</v>
      </c>
      <c r="J1063" s="10" t="str">
        <f>""</f>
        <v/>
      </c>
      <c r="K1063" s="10" t="str">
        <f>"PFES1162646212_0001"</f>
        <v>PFES1162646212_0001</v>
      </c>
      <c r="L1063" s="10">
        <v>1</v>
      </c>
      <c r="M1063" s="10">
        <v>1</v>
      </c>
    </row>
    <row r="1064" spans="1:13">
      <c r="A1064" s="8">
        <v>43353</v>
      </c>
      <c r="B1064" s="9">
        <v>0.55972222222222223</v>
      </c>
      <c r="C1064" s="10" t="str">
        <f>"FES1162646201"</f>
        <v>FES1162646201</v>
      </c>
      <c r="D1064" s="10" t="s">
        <v>19</v>
      </c>
      <c r="E1064" s="10" t="s">
        <v>674</v>
      </c>
      <c r="F1064" s="10" t="str">
        <f>"2170647676 "</f>
        <v xml:space="preserve">2170647676 </v>
      </c>
      <c r="G1064" s="10" t="str">
        <f t="shared" si="27"/>
        <v>ON1</v>
      </c>
      <c r="H1064" s="10" t="s">
        <v>21</v>
      </c>
      <c r="I1064" s="10" t="s">
        <v>355</v>
      </c>
      <c r="J1064" s="10" t="str">
        <f>""</f>
        <v/>
      </c>
      <c r="K1064" s="10" t="str">
        <f>"PFES1162646201_0001"</f>
        <v>PFES1162646201_0001</v>
      </c>
      <c r="L1064" s="10">
        <v>1</v>
      </c>
      <c r="M1064" s="10">
        <v>1</v>
      </c>
    </row>
    <row r="1065" spans="1:13">
      <c r="A1065" s="8">
        <v>43353</v>
      </c>
      <c r="B1065" s="9">
        <v>0.55972222222222223</v>
      </c>
      <c r="C1065" s="10" t="str">
        <f>"FES1162646143"</f>
        <v>FES1162646143</v>
      </c>
      <c r="D1065" s="10" t="s">
        <v>19</v>
      </c>
      <c r="E1065" s="10" t="s">
        <v>27</v>
      </c>
      <c r="F1065" s="10" t="str">
        <f>"2170647679 "</f>
        <v xml:space="preserve">2170647679 </v>
      </c>
      <c r="G1065" s="10" t="str">
        <f t="shared" si="27"/>
        <v>ON1</v>
      </c>
      <c r="H1065" s="10" t="s">
        <v>21</v>
      </c>
      <c r="I1065" s="10" t="s">
        <v>28</v>
      </c>
      <c r="J1065" s="10" t="str">
        <f>""</f>
        <v/>
      </c>
      <c r="K1065" s="10" t="str">
        <f>"PFES1162646143_0001"</f>
        <v>PFES1162646143_0001</v>
      </c>
      <c r="L1065" s="10">
        <v>1</v>
      </c>
      <c r="M1065" s="10">
        <v>1</v>
      </c>
    </row>
    <row r="1066" spans="1:13">
      <c r="A1066" s="8">
        <v>43353</v>
      </c>
      <c r="B1066" s="9">
        <v>0.55972222222222223</v>
      </c>
      <c r="C1066" s="10" t="str">
        <f>"FES1162646154"</f>
        <v>FES1162646154</v>
      </c>
      <c r="D1066" s="10" t="s">
        <v>19</v>
      </c>
      <c r="E1066" s="10" t="s">
        <v>675</v>
      </c>
      <c r="F1066" s="10" t="str">
        <f>"2170648062 "</f>
        <v xml:space="preserve">2170648062 </v>
      </c>
      <c r="G1066" s="10" t="str">
        <f t="shared" si="27"/>
        <v>ON1</v>
      </c>
      <c r="H1066" s="10" t="s">
        <v>21</v>
      </c>
      <c r="I1066" s="10" t="s">
        <v>333</v>
      </c>
      <c r="J1066" s="10" t="str">
        <f>""</f>
        <v/>
      </c>
      <c r="K1066" s="10" t="str">
        <f>"PFES1162646154_0001"</f>
        <v>PFES1162646154_0001</v>
      </c>
      <c r="L1066" s="10">
        <v>1</v>
      </c>
      <c r="M1066" s="10">
        <v>1</v>
      </c>
    </row>
    <row r="1067" spans="1:13">
      <c r="A1067" s="8">
        <v>43353</v>
      </c>
      <c r="B1067" s="9">
        <v>0.55972222222222223</v>
      </c>
      <c r="C1067" s="10" t="str">
        <f>"FES1162646078"</f>
        <v>FES1162646078</v>
      </c>
      <c r="D1067" s="10" t="s">
        <v>19</v>
      </c>
      <c r="E1067" s="10" t="s">
        <v>232</v>
      </c>
      <c r="F1067" s="10" t="str">
        <f>"2170650919 "</f>
        <v xml:space="preserve">2170650919 </v>
      </c>
      <c r="G1067" s="10" t="str">
        <f>"DBC"</f>
        <v>DBC</v>
      </c>
      <c r="H1067" s="10" t="s">
        <v>21</v>
      </c>
      <c r="I1067" s="10" t="s">
        <v>233</v>
      </c>
      <c r="J1067" s="10" t="str">
        <f>""</f>
        <v/>
      </c>
      <c r="K1067" s="10" t="str">
        <f>"PFES1162646078_0001"</f>
        <v>PFES1162646078_0001</v>
      </c>
      <c r="L1067" s="10">
        <v>1</v>
      </c>
      <c r="M1067" s="10">
        <v>20</v>
      </c>
    </row>
    <row r="1068" spans="1:13">
      <c r="A1068" s="8">
        <v>43353</v>
      </c>
      <c r="B1068" s="9">
        <v>0.55902777777777779</v>
      </c>
      <c r="C1068" s="10" t="str">
        <f>"FES1162646088"</f>
        <v>FES1162646088</v>
      </c>
      <c r="D1068" s="10" t="s">
        <v>19</v>
      </c>
      <c r="E1068" s="10" t="s">
        <v>244</v>
      </c>
      <c r="F1068" s="10" t="str">
        <f>"2170650935 "</f>
        <v xml:space="preserve">2170650935 </v>
      </c>
      <c r="G1068" s="10" t="str">
        <f t="shared" ref="G1068:G1095" si="28">"ON1"</f>
        <v>ON1</v>
      </c>
      <c r="H1068" s="10" t="s">
        <v>21</v>
      </c>
      <c r="I1068" s="10" t="s">
        <v>145</v>
      </c>
      <c r="J1068" s="10" t="str">
        <f>""</f>
        <v/>
      </c>
      <c r="K1068" s="10" t="str">
        <f>"PFES1162646088_0001"</f>
        <v>PFES1162646088_0001</v>
      </c>
      <c r="L1068" s="10">
        <v>1</v>
      </c>
      <c r="M1068" s="10">
        <v>1</v>
      </c>
    </row>
    <row r="1069" spans="1:13">
      <c r="A1069" s="8">
        <v>43353</v>
      </c>
      <c r="B1069" s="9">
        <v>0.55902777777777779</v>
      </c>
      <c r="C1069" s="10" t="str">
        <f>"FES1162646059"</f>
        <v>FES1162646059</v>
      </c>
      <c r="D1069" s="10" t="s">
        <v>19</v>
      </c>
      <c r="E1069" s="10" t="s">
        <v>676</v>
      </c>
      <c r="F1069" s="10" t="str">
        <f>"2170650446 "</f>
        <v xml:space="preserve">2170650446 </v>
      </c>
      <c r="G1069" s="10" t="str">
        <f t="shared" si="28"/>
        <v>ON1</v>
      </c>
      <c r="H1069" s="10" t="s">
        <v>21</v>
      </c>
      <c r="I1069" s="10" t="s">
        <v>677</v>
      </c>
      <c r="J1069" s="10" t="str">
        <f>""</f>
        <v/>
      </c>
      <c r="K1069" s="10" t="str">
        <f>"PFES1162646059_0001"</f>
        <v>PFES1162646059_0001</v>
      </c>
      <c r="L1069" s="10">
        <v>1</v>
      </c>
      <c r="M1069" s="10">
        <v>1</v>
      </c>
    </row>
    <row r="1070" spans="1:13">
      <c r="A1070" s="8">
        <v>43353</v>
      </c>
      <c r="B1070" s="9">
        <v>0.55833333333333335</v>
      </c>
      <c r="C1070" s="10" t="str">
        <f>"FES1162646045"</f>
        <v>FES1162646045</v>
      </c>
      <c r="D1070" s="10" t="s">
        <v>19</v>
      </c>
      <c r="E1070" s="10" t="s">
        <v>359</v>
      </c>
      <c r="F1070" s="10" t="str">
        <f>"2170649635 "</f>
        <v xml:space="preserve">2170649635 </v>
      </c>
      <c r="G1070" s="10" t="str">
        <f t="shared" si="28"/>
        <v>ON1</v>
      </c>
      <c r="H1070" s="10" t="s">
        <v>21</v>
      </c>
      <c r="I1070" s="10" t="s">
        <v>87</v>
      </c>
      <c r="J1070" s="10" t="str">
        <f>""</f>
        <v/>
      </c>
      <c r="K1070" s="10" t="str">
        <f>"PFES1162646045_0001"</f>
        <v>PFES1162646045_0001</v>
      </c>
      <c r="L1070" s="10">
        <v>1</v>
      </c>
      <c r="M1070" s="10">
        <v>1</v>
      </c>
    </row>
    <row r="1071" spans="1:13">
      <c r="A1071" s="8">
        <v>43353</v>
      </c>
      <c r="B1071" s="9">
        <v>0.55833333333333335</v>
      </c>
      <c r="C1071" s="10" t="str">
        <f>"FES1162646185"</f>
        <v>FES1162646185</v>
      </c>
      <c r="D1071" s="10" t="s">
        <v>19</v>
      </c>
      <c r="E1071" s="10" t="s">
        <v>359</v>
      </c>
      <c r="F1071" s="10" t="str">
        <f>"2170650202 "</f>
        <v xml:space="preserve">2170650202 </v>
      </c>
      <c r="G1071" s="10" t="str">
        <f t="shared" si="28"/>
        <v>ON1</v>
      </c>
      <c r="H1071" s="10" t="s">
        <v>21</v>
      </c>
      <c r="I1071" s="10" t="s">
        <v>87</v>
      </c>
      <c r="J1071" s="10" t="str">
        <f>""</f>
        <v/>
      </c>
      <c r="K1071" s="10" t="str">
        <f>"PFES1162646185_0001"</f>
        <v>PFES1162646185_0001</v>
      </c>
      <c r="L1071" s="10">
        <v>1</v>
      </c>
      <c r="M1071" s="10">
        <v>1</v>
      </c>
    </row>
    <row r="1072" spans="1:13">
      <c r="A1072" s="8">
        <v>43353</v>
      </c>
      <c r="B1072" s="9">
        <v>0.55763888888888891</v>
      </c>
      <c r="C1072" s="10" t="str">
        <f>"FES1162646079"</f>
        <v>FES1162646079</v>
      </c>
      <c r="D1072" s="10" t="s">
        <v>19</v>
      </c>
      <c r="E1072" s="10" t="s">
        <v>678</v>
      </c>
      <c r="F1072" s="10" t="str">
        <f>"2170650920 "</f>
        <v xml:space="preserve">2170650920 </v>
      </c>
      <c r="G1072" s="10" t="str">
        <f t="shared" si="28"/>
        <v>ON1</v>
      </c>
      <c r="H1072" s="10" t="s">
        <v>21</v>
      </c>
      <c r="I1072" s="10" t="s">
        <v>679</v>
      </c>
      <c r="J1072" s="10" t="str">
        <f>""</f>
        <v/>
      </c>
      <c r="K1072" s="10" t="str">
        <f>"PFES1162646079_0001"</f>
        <v>PFES1162646079_0001</v>
      </c>
      <c r="L1072" s="10">
        <v>1</v>
      </c>
      <c r="M1072" s="10">
        <v>1</v>
      </c>
    </row>
    <row r="1073" spans="1:13">
      <c r="A1073" s="8">
        <v>43353</v>
      </c>
      <c r="B1073" s="9">
        <v>0.55763888888888891</v>
      </c>
      <c r="C1073" s="10" t="str">
        <f>"FES1162646234"</f>
        <v>FES1162646234</v>
      </c>
      <c r="D1073" s="10" t="s">
        <v>19</v>
      </c>
      <c r="E1073" s="10" t="s">
        <v>39</v>
      </c>
      <c r="F1073" s="10" t="str">
        <f>"2170650990 "</f>
        <v xml:space="preserve">2170650990 </v>
      </c>
      <c r="G1073" s="10" t="str">
        <f t="shared" si="28"/>
        <v>ON1</v>
      </c>
      <c r="H1073" s="10" t="s">
        <v>21</v>
      </c>
      <c r="I1073" s="10" t="s">
        <v>40</v>
      </c>
      <c r="J1073" s="10" t="str">
        <f>""</f>
        <v/>
      </c>
      <c r="K1073" s="10" t="str">
        <f>"PFES1162646234_0001"</f>
        <v>PFES1162646234_0001</v>
      </c>
      <c r="L1073" s="10">
        <v>1</v>
      </c>
      <c r="M1073" s="10">
        <v>1</v>
      </c>
    </row>
    <row r="1074" spans="1:13">
      <c r="A1074" s="8">
        <v>43353</v>
      </c>
      <c r="B1074" s="9">
        <v>0.55694444444444446</v>
      </c>
      <c r="C1074" s="10" t="str">
        <f>"FES1162646155"</f>
        <v>FES1162646155</v>
      </c>
      <c r="D1074" s="10" t="s">
        <v>19</v>
      </c>
      <c r="E1074" s="10" t="s">
        <v>39</v>
      </c>
      <c r="F1074" s="10" t="str">
        <f>"2170648069 "</f>
        <v xml:space="preserve">2170648069 </v>
      </c>
      <c r="G1074" s="10" t="str">
        <f t="shared" si="28"/>
        <v>ON1</v>
      </c>
      <c r="H1074" s="10" t="s">
        <v>21</v>
      </c>
      <c r="I1074" s="10" t="s">
        <v>40</v>
      </c>
      <c r="J1074" s="10" t="str">
        <f>""</f>
        <v/>
      </c>
      <c r="K1074" s="10" t="str">
        <f>"PFES1162646155_0001"</f>
        <v>PFES1162646155_0001</v>
      </c>
      <c r="L1074" s="10">
        <v>1</v>
      </c>
      <c r="M1074" s="10">
        <v>1</v>
      </c>
    </row>
    <row r="1075" spans="1:13">
      <c r="A1075" s="8">
        <v>43353</v>
      </c>
      <c r="B1075" s="9">
        <v>0.55694444444444446</v>
      </c>
      <c r="C1075" s="10" t="str">
        <f>"FES1162646051"</f>
        <v>FES1162646051</v>
      </c>
      <c r="D1075" s="10" t="s">
        <v>19</v>
      </c>
      <c r="E1075" s="10" t="s">
        <v>680</v>
      </c>
      <c r="F1075" s="10" t="str">
        <f>"2170649884 "</f>
        <v xml:space="preserve">2170649884 </v>
      </c>
      <c r="G1075" s="10" t="str">
        <f t="shared" si="28"/>
        <v>ON1</v>
      </c>
      <c r="H1075" s="10" t="s">
        <v>21</v>
      </c>
      <c r="I1075" s="10" t="s">
        <v>650</v>
      </c>
      <c r="J1075" s="10" t="str">
        <f>""</f>
        <v/>
      </c>
      <c r="K1075" s="10" t="str">
        <f>"PFES1162646051_0001"</f>
        <v>PFES1162646051_0001</v>
      </c>
      <c r="L1075" s="10">
        <v>1</v>
      </c>
      <c r="M1075" s="10">
        <v>1</v>
      </c>
    </row>
    <row r="1076" spans="1:13">
      <c r="A1076" s="8">
        <v>43353</v>
      </c>
      <c r="B1076" s="9">
        <v>0.55625000000000002</v>
      </c>
      <c r="C1076" s="10" t="str">
        <f>"FES1162646164"</f>
        <v>FES1162646164</v>
      </c>
      <c r="D1076" s="10" t="s">
        <v>19</v>
      </c>
      <c r="E1076" s="10" t="s">
        <v>144</v>
      </c>
      <c r="F1076" s="10" t="str">
        <f>"2170648190 "</f>
        <v xml:space="preserve">2170648190 </v>
      </c>
      <c r="G1076" s="10" t="str">
        <f t="shared" si="28"/>
        <v>ON1</v>
      </c>
      <c r="H1076" s="10" t="s">
        <v>21</v>
      </c>
      <c r="I1076" s="10" t="s">
        <v>145</v>
      </c>
      <c r="J1076" s="10" t="str">
        <f>""</f>
        <v/>
      </c>
      <c r="K1076" s="10" t="str">
        <f>"PFES1162646164_0001"</f>
        <v>PFES1162646164_0001</v>
      </c>
      <c r="L1076" s="10">
        <v>1</v>
      </c>
      <c r="M1076" s="10">
        <v>1</v>
      </c>
    </row>
    <row r="1077" spans="1:13">
      <c r="A1077" s="8">
        <v>43353</v>
      </c>
      <c r="B1077" s="9">
        <v>0.55625000000000002</v>
      </c>
      <c r="C1077" s="10" t="str">
        <f>"FES1162646089"</f>
        <v>FES1162646089</v>
      </c>
      <c r="D1077" s="10" t="s">
        <v>19</v>
      </c>
      <c r="E1077" s="10" t="s">
        <v>144</v>
      </c>
      <c r="F1077" s="10" t="str">
        <f>"2170650937 "</f>
        <v xml:space="preserve">2170650937 </v>
      </c>
      <c r="G1077" s="10" t="str">
        <f t="shared" si="28"/>
        <v>ON1</v>
      </c>
      <c r="H1077" s="10" t="s">
        <v>21</v>
      </c>
      <c r="I1077" s="10" t="s">
        <v>145</v>
      </c>
      <c r="J1077" s="10" t="str">
        <f>""</f>
        <v/>
      </c>
      <c r="K1077" s="10" t="str">
        <f>"PFES1162646089_0001"</f>
        <v>PFES1162646089_0001</v>
      </c>
      <c r="L1077" s="10">
        <v>1</v>
      </c>
      <c r="M1077" s="10">
        <v>1</v>
      </c>
    </row>
    <row r="1078" spans="1:13">
      <c r="A1078" s="8">
        <v>43353</v>
      </c>
      <c r="B1078" s="9">
        <v>0.55555555555555558</v>
      </c>
      <c r="C1078" s="10" t="str">
        <f>"FES1162646175"</f>
        <v>FES1162646175</v>
      </c>
      <c r="D1078" s="10" t="s">
        <v>19</v>
      </c>
      <c r="E1078" s="10" t="s">
        <v>212</v>
      </c>
      <c r="F1078" s="10" t="str">
        <f>"2170649581 "</f>
        <v xml:space="preserve">2170649581 </v>
      </c>
      <c r="G1078" s="10" t="str">
        <f t="shared" si="28"/>
        <v>ON1</v>
      </c>
      <c r="H1078" s="10" t="s">
        <v>21</v>
      </c>
      <c r="I1078" s="10" t="s">
        <v>211</v>
      </c>
      <c r="J1078" s="10" t="str">
        <f>""</f>
        <v/>
      </c>
      <c r="K1078" s="10" t="str">
        <f>"PFES1162646175_0001"</f>
        <v>PFES1162646175_0001</v>
      </c>
      <c r="L1078" s="10">
        <v>1</v>
      </c>
      <c r="M1078" s="10">
        <v>1</v>
      </c>
    </row>
    <row r="1079" spans="1:13">
      <c r="A1079" s="8">
        <v>43353</v>
      </c>
      <c r="B1079" s="9">
        <v>0.55555555555555558</v>
      </c>
      <c r="C1079" s="10" t="str">
        <f>"FES1162646262"</f>
        <v>FES1162646262</v>
      </c>
      <c r="D1079" s="10" t="s">
        <v>19</v>
      </c>
      <c r="E1079" s="10" t="s">
        <v>445</v>
      </c>
      <c r="F1079" s="10" t="str">
        <f>"2170651026 "</f>
        <v xml:space="preserve">2170651026 </v>
      </c>
      <c r="G1079" s="10" t="str">
        <f t="shared" si="28"/>
        <v>ON1</v>
      </c>
      <c r="H1079" s="10" t="s">
        <v>21</v>
      </c>
      <c r="I1079" s="10" t="s">
        <v>206</v>
      </c>
      <c r="J1079" s="10" t="str">
        <f>""</f>
        <v/>
      </c>
      <c r="K1079" s="10" t="str">
        <f>"PFES1162646262_0001"</f>
        <v>PFES1162646262_0001</v>
      </c>
      <c r="L1079" s="10">
        <v>1</v>
      </c>
      <c r="M1079" s="10">
        <v>1</v>
      </c>
    </row>
    <row r="1080" spans="1:13">
      <c r="A1080" s="8">
        <v>43353</v>
      </c>
      <c r="B1080" s="9">
        <v>0.55555555555555558</v>
      </c>
      <c r="C1080" s="10" t="str">
        <f>"FES1162646219"</f>
        <v>FES1162646219</v>
      </c>
      <c r="D1080" s="10" t="s">
        <v>19</v>
      </c>
      <c r="E1080" s="10" t="s">
        <v>65</v>
      </c>
      <c r="F1080" s="10" t="str">
        <f>"2170648268 "</f>
        <v xml:space="preserve">2170648268 </v>
      </c>
      <c r="G1080" s="10" t="str">
        <f t="shared" si="28"/>
        <v>ON1</v>
      </c>
      <c r="H1080" s="10" t="s">
        <v>21</v>
      </c>
      <c r="I1080" s="10" t="s">
        <v>66</v>
      </c>
      <c r="J1080" s="10" t="str">
        <f>""</f>
        <v/>
      </c>
      <c r="K1080" s="10" t="str">
        <f>"PFES1162646219_0001"</f>
        <v>PFES1162646219_0001</v>
      </c>
      <c r="L1080" s="10">
        <v>1</v>
      </c>
      <c r="M1080" s="10">
        <v>1</v>
      </c>
    </row>
    <row r="1081" spans="1:13">
      <c r="A1081" s="8">
        <v>43353</v>
      </c>
      <c r="B1081" s="9">
        <v>0.55486111111111114</v>
      </c>
      <c r="C1081" s="10" t="str">
        <f>"FES1162646235"</f>
        <v>FES1162646235</v>
      </c>
      <c r="D1081" s="10" t="s">
        <v>19</v>
      </c>
      <c r="E1081" s="10" t="s">
        <v>583</v>
      </c>
      <c r="F1081" s="10" t="str">
        <f>"2170650993 "</f>
        <v xml:space="preserve">2170650993 </v>
      </c>
      <c r="G1081" s="10" t="str">
        <f t="shared" si="28"/>
        <v>ON1</v>
      </c>
      <c r="H1081" s="10" t="s">
        <v>21</v>
      </c>
      <c r="I1081" s="10" t="s">
        <v>584</v>
      </c>
      <c r="J1081" s="10" t="str">
        <f>""</f>
        <v/>
      </c>
      <c r="K1081" s="10" t="str">
        <f>"PFES1162646235_0001"</f>
        <v>PFES1162646235_0001</v>
      </c>
      <c r="L1081" s="10">
        <v>1</v>
      </c>
      <c r="M1081" s="10">
        <v>1</v>
      </c>
    </row>
    <row r="1082" spans="1:13">
      <c r="A1082" s="8">
        <v>43353</v>
      </c>
      <c r="B1082" s="9">
        <v>0.55486111111111114</v>
      </c>
      <c r="C1082" s="10" t="str">
        <f>"FES1162646118"</f>
        <v>FES1162646118</v>
      </c>
      <c r="D1082" s="10" t="s">
        <v>19</v>
      </c>
      <c r="E1082" s="10" t="s">
        <v>174</v>
      </c>
      <c r="F1082" s="10" t="str">
        <f>"2170643765 "</f>
        <v xml:space="preserve">2170643765 </v>
      </c>
      <c r="G1082" s="10" t="str">
        <f t="shared" si="28"/>
        <v>ON1</v>
      </c>
      <c r="H1082" s="10" t="s">
        <v>21</v>
      </c>
      <c r="I1082" s="10" t="s">
        <v>175</v>
      </c>
      <c r="J1082" s="10" t="str">
        <f>""</f>
        <v/>
      </c>
      <c r="K1082" s="10" t="str">
        <f>"PFES1162646118_0001"</f>
        <v>PFES1162646118_0001</v>
      </c>
      <c r="L1082" s="10">
        <v>1</v>
      </c>
      <c r="M1082" s="10">
        <v>1</v>
      </c>
    </row>
    <row r="1083" spans="1:13">
      <c r="A1083" s="8">
        <v>43353</v>
      </c>
      <c r="B1083" s="9">
        <v>0.55486111111111114</v>
      </c>
      <c r="C1083" s="10" t="str">
        <f>"FES1162646296"</f>
        <v>FES1162646296</v>
      </c>
      <c r="D1083" s="10" t="s">
        <v>19</v>
      </c>
      <c r="E1083" s="10" t="s">
        <v>65</v>
      </c>
      <c r="F1083" s="10" t="str">
        <f>"2170651063 "</f>
        <v xml:space="preserve">2170651063 </v>
      </c>
      <c r="G1083" s="10" t="str">
        <f t="shared" si="28"/>
        <v>ON1</v>
      </c>
      <c r="H1083" s="10" t="s">
        <v>21</v>
      </c>
      <c r="I1083" s="10" t="s">
        <v>66</v>
      </c>
      <c r="J1083" s="10" t="str">
        <f>""</f>
        <v/>
      </c>
      <c r="K1083" s="10" t="str">
        <f>"PFES1162646296_0001"</f>
        <v>PFES1162646296_0001</v>
      </c>
      <c r="L1083" s="10">
        <v>1</v>
      </c>
      <c r="M1083" s="10">
        <v>1</v>
      </c>
    </row>
    <row r="1084" spans="1:13">
      <c r="A1084" s="8">
        <v>43353</v>
      </c>
      <c r="B1084" s="9">
        <v>0.5541666666666667</v>
      </c>
      <c r="C1084" s="10" t="str">
        <f>"FES1162646281"</f>
        <v>FES1162646281</v>
      </c>
      <c r="D1084" s="10" t="s">
        <v>19</v>
      </c>
      <c r="E1084" s="10" t="s">
        <v>681</v>
      </c>
      <c r="F1084" s="10" t="str">
        <f>"2170651045 "</f>
        <v xml:space="preserve">2170651045 </v>
      </c>
      <c r="G1084" s="10" t="str">
        <f t="shared" si="28"/>
        <v>ON1</v>
      </c>
      <c r="H1084" s="10" t="s">
        <v>21</v>
      </c>
      <c r="I1084" s="10" t="s">
        <v>124</v>
      </c>
      <c r="J1084" s="10" t="str">
        <f>""</f>
        <v/>
      </c>
      <c r="K1084" s="10" t="str">
        <f>"PFES1162646281_0001"</f>
        <v>PFES1162646281_0001</v>
      </c>
      <c r="L1084" s="10">
        <v>1</v>
      </c>
      <c r="M1084" s="10">
        <v>1</v>
      </c>
    </row>
    <row r="1085" spans="1:13">
      <c r="A1085" s="8">
        <v>43353</v>
      </c>
      <c r="B1085" s="9">
        <v>0.5541666666666667</v>
      </c>
      <c r="C1085" s="10" t="str">
        <f>"FES1162646105"</f>
        <v>FES1162646105</v>
      </c>
      <c r="D1085" s="10" t="s">
        <v>19</v>
      </c>
      <c r="E1085" s="10" t="s">
        <v>612</v>
      </c>
      <c r="F1085" s="10" t="str">
        <f>"2170650959 "</f>
        <v xml:space="preserve">2170650959 </v>
      </c>
      <c r="G1085" s="10" t="str">
        <f t="shared" si="28"/>
        <v>ON1</v>
      </c>
      <c r="H1085" s="10" t="s">
        <v>21</v>
      </c>
      <c r="I1085" s="10" t="s">
        <v>613</v>
      </c>
      <c r="J1085" s="10" t="str">
        <f>""</f>
        <v/>
      </c>
      <c r="K1085" s="10" t="str">
        <f>"PFES1162646105_0001"</f>
        <v>PFES1162646105_0001</v>
      </c>
      <c r="L1085" s="10">
        <v>1</v>
      </c>
      <c r="M1085" s="10">
        <v>1</v>
      </c>
    </row>
    <row r="1086" spans="1:13">
      <c r="A1086" s="8">
        <v>43353</v>
      </c>
      <c r="B1086" s="9">
        <v>0.5541666666666667</v>
      </c>
      <c r="C1086" s="10" t="str">
        <f>"FES1162646209"</f>
        <v>FES1162646209</v>
      </c>
      <c r="D1086" s="10" t="s">
        <v>19</v>
      </c>
      <c r="E1086" s="10" t="s">
        <v>75</v>
      </c>
      <c r="F1086" s="10" t="str">
        <f>"2170648163 "</f>
        <v xml:space="preserve">2170648163 </v>
      </c>
      <c r="G1086" s="10" t="str">
        <f t="shared" si="28"/>
        <v>ON1</v>
      </c>
      <c r="H1086" s="10" t="s">
        <v>21</v>
      </c>
      <c r="I1086" s="10" t="s">
        <v>68</v>
      </c>
      <c r="J1086" s="10" t="str">
        <f>""</f>
        <v/>
      </c>
      <c r="K1086" s="10" t="str">
        <f>"PFES1162646209_0001"</f>
        <v>PFES1162646209_0001</v>
      </c>
      <c r="L1086" s="10">
        <v>1</v>
      </c>
      <c r="M1086" s="10">
        <v>1</v>
      </c>
    </row>
    <row r="1087" spans="1:13">
      <c r="A1087" s="8">
        <v>43353</v>
      </c>
      <c r="B1087" s="9">
        <v>0.55347222222222225</v>
      </c>
      <c r="C1087" s="10" t="str">
        <f>"FES1162646236"</f>
        <v>FES1162646236</v>
      </c>
      <c r="D1087" s="10" t="s">
        <v>19</v>
      </c>
      <c r="E1087" s="10" t="s">
        <v>119</v>
      </c>
      <c r="F1087" s="10" t="str">
        <f>"2170650996 "</f>
        <v xml:space="preserve">2170650996 </v>
      </c>
      <c r="G1087" s="10" t="str">
        <f t="shared" si="28"/>
        <v>ON1</v>
      </c>
      <c r="H1087" s="10" t="s">
        <v>21</v>
      </c>
      <c r="I1087" s="10" t="s">
        <v>68</v>
      </c>
      <c r="J1087" s="10" t="str">
        <f>""</f>
        <v/>
      </c>
      <c r="K1087" s="10" t="str">
        <f>"PFES1162646236_0001"</f>
        <v>PFES1162646236_0001</v>
      </c>
      <c r="L1087" s="10">
        <v>1</v>
      </c>
      <c r="M1087" s="10">
        <v>1</v>
      </c>
    </row>
    <row r="1088" spans="1:13">
      <c r="A1088" s="8">
        <v>43353</v>
      </c>
      <c r="B1088" s="9">
        <v>0.55347222222222225</v>
      </c>
      <c r="C1088" s="10" t="str">
        <f>"FES1162646162"</f>
        <v>FES1162646162</v>
      </c>
      <c r="D1088" s="10" t="s">
        <v>19</v>
      </c>
      <c r="E1088" s="10" t="s">
        <v>123</v>
      </c>
      <c r="F1088" s="10" t="str">
        <f>"2170648134 "</f>
        <v xml:space="preserve">2170648134 </v>
      </c>
      <c r="G1088" s="10" t="str">
        <f t="shared" si="28"/>
        <v>ON1</v>
      </c>
      <c r="H1088" s="10" t="s">
        <v>21</v>
      </c>
      <c r="I1088" s="10" t="s">
        <v>124</v>
      </c>
      <c r="J1088" s="10" t="str">
        <f>""</f>
        <v/>
      </c>
      <c r="K1088" s="10" t="str">
        <f>"PFES1162646162_0001"</f>
        <v>PFES1162646162_0001</v>
      </c>
      <c r="L1088" s="10">
        <v>1</v>
      </c>
      <c r="M1088" s="10">
        <v>1</v>
      </c>
    </row>
    <row r="1089" spans="1:13">
      <c r="A1089" s="8">
        <v>43353</v>
      </c>
      <c r="B1089" s="9">
        <v>0.55347222222222225</v>
      </c>
      <c r="C1089" s="10" t="str">
        <f>"FES1162646299"</f>
        <v>FES1162646299</v>
      </c>
      <c r="D1089" s="10" t="s">
        <v>19</v>
      </c>
      <c r="E1089" s="10" t="s">
        <v>123</v>
      </c>
      <c r="F1089" s="10" t="str">
        <f>"2170651017 "</f>
        <v xml:space="preserve">2170651017 </v>
      </c>
      <c r="G1089" s="10" t="str">
        <f t="shared" si="28"/>
        <v>ON1</v>
      </c>
      <c r="H1089" s="10" t="s">
        <v>21</v>
      </c>
      <c r="I1089" s="10" t="s">
        <v>124</v>
      </c>
      <c r="J1089" s="10" t="str">
        <f>""</f>
        <v/>
      </c>
      <c r="K1089" s="10" t="str">
        <f>"PFES1162646299_0001"</f>
        <v>PFES1162646299_0001</v>
      </c>
      <c r="L1089" s="10">
        <v>1</v>
      </c>
      <c r="M1089" s="10">
        <v>1</v>
      </c>
    </row>
    <row r="1090" spans="1:13">
      <c r="A1090" s="8">
        <v>43353</v>
      </c>
      <c r="B1090" s="9">
        <v>0.55277777777777781</v>
      </c>
      <c r="C1090" s="10" t="str">
        <f>"FES1162646106"</f>
        <v>FES1162646106</v>
      </c>
      <c r="D1090" s="10" t="s">
        <v>19</v>
      </c>
      <c r="E1090" s="10" t="s">
        <v>612</v>
      </c>
      <c r="F1090" s="10" t="str">
        <f>"2170650960 "</f>
        <v xml:space="preserve">2170650960 </v>
      </c>
      <c r="G1090" s="10" t="str">
        <f t="shared" si="28"/>
        <v>ON1</v>
      </c>
      <c r="H1090" s="10" t="s">
        <v>21</v>
      </c>
      <c r="I1090" s="10" t="s">
        <v>613</v>
      </c>
      <c r="J1090" s="10" t="str">
        <f>""</f>
        <v/>
      </c>
      <c r="K1090" s="10" t="str">
        <f>"PFES1162646106_0001"</f>
        <v>PFES1162646106_0001</v>
      </c>
      <c r="L1090" s="10">
        <v>1</v>
      </c>
      <c r="M1090" s="10">
        <v>1</v>
      </c>
    </row>
    <row r="1091" spans="1:13">
      <c r="A1091" s="8">
        <v>43353</v>
      </c>
      <c r="B1091" s="9">
        <v>0.55208333333333337</v>
      </c>
      <c r="C1091" s="10" t="str">
        <f>"FES1162646124"</f>
        <v>FES1162646124</v>
      </c>
      <c r="D1091" s="10" t="s">
        <v>19</v>
      </c>
      <c r="E1091" s="10" t="s">
        <v>336</v>
      </c>
      <c r="F1091" s="10" t="str">
        <f>"2170646018 "</f>
        <v xml:space="preserve">2170646018 </v>
      </c>
      <c r="G1091" s="10" t="str">
        <f t="shared" si="28"/>
        <v>ON1</v>
      </c>
      <c r="H1091" s="10" t="s">
        <v>21</v>
      </c>
      <c r="I1091" s="10" t="s">
        <v>117</v>
      </c>
      <c r="J1091" s="10" t="str">
        <f>""</f>
        <v/>
      </c>
      <c r="K1091" s="10" t="str">
        <f>"PFES1162646124_0001"</f>
        <v>PFES1162646124_0001</v>
      </c>
      <c r="L1091" s="10">
        <v>1</v>
      </c>
      <c r="M1091" s="10">
        <v>1</v>
      </c>
    </row>
    <row r="1092" spans="1:13">
      <c r="A1092" s="8">
        <v>43353</v>
      </c>
      <c r="B1092" s="9">
        <v>0.54791666666666672</v>
      </c>
      <c r="C1092" s="10" t="str">
        <f>"FES1162646031"</f>
        <v>FES1162646031</v>
      </c>
      <c r="D1092" s="10" t="s">
        <v>19</v>
      </c>
      <c r="E1092" s="10" t="s">
        <v>682</v>
      </c>
      <c r="F1092" s="10" t="str">
        <f>"2170645774 "</f>
        <v xml:space="preserve">2170645774 </v>
      </c>
      <c r="G1092" s="10" t="str">
        <f t="shared" si="28"/>
        <v>ON1</v>
      </c>
      <c r="H1092" s="10" t="s">
        <v>21</v>
      </c>
      <c r="I1092" s="10" t="s">
        <v>683</v>
      </c>
      <c r="J1092" s="10" t="str">
        <f>""</f>
        <v/>
      </c>
      <c r="K1092" s="10" t="str">
        <f>"PFES1162646031_0001"</f>
        <v>PFES1162646031_0001</v>
      </c>
      <c r="L1092" s="10">
        <v>1</v>
      </c>
      <c r="M1092" s="10">
        <v>1</v>
      </c>
    </row>
    <row r="1093" spans="1:13">
      <c r="A1093" s="8">
        <v>43353</v>
      </c>
      <c r="B1093" s="9">
        <v>0.54652777777777783</v>
      </c>
      <c r="C1093" s="10" t="str">
        <f>"FES1162646066"</f>
        <v>FES1162646066</v>
      </c>
      <c r="D1093" s="10" t="s">
        <v>19</v>
      </c>
      <c r="E1093" s="10" t="s">
        <v>458</v>
      </c>
      <c r="F1093" s="10" t="str">
        <f>"2170650902 "</f>
        <v xml:space="preserve">2170650902 </v>
      </c>
      <c r="G1093" s="10" t="str">
        <f t="shared" si="28"/>
        <v>ON1</v>
      </c>
      <c r="H1093" s="10" t="s">
        <v>21</v>
      </c>
      <c r="I1093" s="10" t="s">
        <v>76</v>
      </c>
      <c r="J1093" s="10" t="str">
        <f>""</f>
        <v/>
      </c>
      <c r="K1093" s="10" t="str">
        <f>"PFES1162646066_0001"</f>
        <v>PFES1162646066_0001</v>
      </c>
      <c r="L1093" s="10">
        <v>1</v>
      </c>
      <c r="M1093" s="10">
        <v>2</v>
      </c>
    </row>
    <row r="1094" spans="1:13">
      <c r="A1094" s="8">
        <v>43353</v>
      </c>
      <c r="B1094" s="9">
        <v>0.54583333333333328</v>
      </c>
      <c r="C1094" s="10" t="str">
        <f>"FES1162646102"</f>
        <v>FES1162646102</v>
      </c>
      <c r="D1094" s="10" t="s">
        <v>19</v>
      </c>
      <c r="E1094" s="10" t="s">
        <v>599</v>
      </c>
      <c r="F1094" s="10" t="str">
        <f>"2170650955 "</f>
        <v xml:space="preserve">2170650955 </v>
      </c>
      <c r="G1094" s="10" t="str">
        <f t="shared" si="28"/>
        <v>ON1</v>
      </c>
      <c r="H1094" s="10" t="s">
        <v>21</v>
      </c>
      <c r="I1094" s="10" t="s">
        <v>187</v>
      </c>
      <c r="J1094" s="10" t="str">
        <f>""</f>
        <v/>
      </c>
      <c r="K1094" s="10" t="str">
        <f>"PFES1162646102_0001"</f>
        <v>PFES1162646102_0001</v>
      </c>
      <c r="L1094" s="10">
        <v>1</v>
      </c>
      <c r="M1094" s="10">
        <v>4</v>
      </c>
    </row>
    <row r="1095" spans="1:13">
      <c r="A1095" s="8">
        <v>43353</v>
      </c>
      <c r="B1095" s="9">
        <v>0.5444444444444444</v>
      </c>
      <c r="C1095" s="10" t="str">
        <f>"FES1162646139"</f>
        <v>FES1162646139</v>
      </c>
      <c r="D1095" s="10" t="s">
        <v>19</v>
      </c>
      <c r="E1095" s="10" t="s">
        <v>218</v>
      </c>
      <c r="F1095" s="10" t="str">
        <f>"2170647428 "</f>
        <v xml:space="preserve">2170647428 </v>
      </c>
      <c r="G1095" s="10" t="str">
        <f t="shared" si="28"/>
        <v>ON1</v>
      </c>
      <c r="H1095" s="10" t="s">
        <v>21</v>
      </c>
      <c r="I1095" s="10" t="s">
        <v>24</v>
      </c>
      <c r="J1095" s="10" t="str">
        <f>""</f>
        <v/>
      </c>
      <c r="K1095" s="10" t="str">
        <f>"PFES1162646139_0001"</f>
        <v>PFES1162646139_0001</v>
      </c>
      <c r="L1095" s="10">
        <v>1</v>
      </c>
      <c r="M1095" s="10">
        <v>1</v>
      </c>
    </row>
    <row r="1096" spans="1:13">
      <c r="A1096" s="8">
        <v>43353</v>
      </c>
      <c r="B1096" s="9">
        <v>0.54166666666666663</v>
      </c>
      <c r="C1096" s="10" t="str">
        <f>"FES1162646083"</f>
        <v>FES1162646083</v>
      </c>
      <c r="D1096" s="10" t="s">
        <v>19</v>
      </c>
      <c r="E1096" s="10" t="s">
        <v>503</v>
      </c>
      <c r="F1096" s="10" t="str">
        <f>"2170650926 "</f>
        <v xml:space="preserve">2170650926 </v>
      </c>
      <c r="G1096" s="10" t="str">
        <f>"DBC"</f>
        <v>DBC</v>
      </c>
      <c r="H1096" s="10" t="s">
        <v>21</v>
      </c>
      <c r="I1096" s="10" t="s">
        <v>504</v>
      </c>
      <c r="J1096" s="10" t="str">
        <f>"FRAGILE OIL"</f>
        <v>FRAGILE OIL</v>
      </c>
      <c r="K1096" s="10" t="str">
        <f>"PFES1162646083_0001"</f>
        <v>PFES1162646083_0001</v>
      </c>
      <c r="L1096" s="10">
        <v>1</v>
      </c>
      <c r="M1096" s="10">
        <v>2</v>
      </c>
    </row>
    <row r="1097" spans="1:13">
      <c r="A1097" s="8">
        <v>43353</v>
      </c>
      <c r="B1097" s="9">
        <v>0.53472222222222221</v>
      </c>
      <c r="C1097" s="10" t="str">
        <f>"FES1162646091"</f>
        <v>FES1162646091</v>
      </c>
      <c r="D1097" s="10" t="s">
        <v>19</v>
      </c>
      <c r="E1097" s="10" t="s">
        <v>612</v>
      </c>
      <c r="F1097" s="10" t="str">
        <f>"2170650940 "</f>
        <v xml:space="preserve">2170650940 </v>
      </c>
      <c r="G1097" s="10" t="str">
        <f t="shared" ref="G1097:G1144" si="29">"ON1"</f>
        <v>ON1</v>
      </c>
      <c r="H1097" s="10" t="s">
        <v>21</v>
      </c>
      <c r="I1097" s="10" t="s">
        <v>613</v>
      </c>
      <c r="J1097" s="10" t="str">
        <f>""</f>
        <v/>
      </c>
      <c r="K1097" s="10" t="str">
        <f>"PFES1162646091_0001"</f>
        <v>PFES1162646091_0001</v>
      </c>
      <c r="L1097" s="10">
        <v>1</v>
      </c>
      <c r="M1097" s="10">
        <v>1</v>
      </c>
    </row>
    <row r="1098" spans="1:13">
      <c r="A1098" s="8">
        <v>43353</v>
      </c>
      <c r="B1098" s="9">
        <v>0.53472222222222221</v>
      </c>
      <c r="C1098" s="10" t="str">
        <f>"FES1162646032"</f>
        <v>FES1162646032</v>
      </c>
      <c r="D1098" s="10" t="s">
        <v>19</v>
      </c>
      <c r="E1098" s="10" t="s">
        <v>188</v>
      </c>
      <c r="F1098" s="10" t="str">
        <f>"2170646595 "</f>
        <v xml:space="preserve">2170646595 </v>
      </c>
      <c r="G1098" s="10" t="str">
        <f t="shared" si="29"/>
        <v>ON1</v>
      </c>
      <c r="H1098" s="10" t="s">
        <v>21</v>
      </c>
      <c r="I1098" s="10" t="s">
        <v>26</v>
      </c>
      <c r="J1098" s="10" t="str">
        <f>""</f>
        <v/>
      </c>
      <c r="K1098" s="10" t="str">
        <f>"PFES1162646032_0001"</f>
        <v>PFES1162646032_0001</v>
      </c>
      <c r="L1098" s="10">
        <v>1</v>
      </c>
      <c r="M1098" s="10">
        <v>1</v>
      </c>
    </row>
    <row r="1099" spans="1:13">
      <c r="A1099" s="8">
        <v>43353</v>
      </c>
      <c r="B1099" s="9">
        <v>0.53402777777777777</v>
      </c>
      <c r="C1099" s="10" t="str">
        <f>"FES1162646200"</f>
        <v>FES1162646200</v>
      </c>
      <c r="D1099" s="10" t="s">
        <v>19</v>
      </c>
      <c r="E1099" s="10" t="s">
        <v>88</v>
      </c>
      <c r="F1099" s="10" t="str">
        <f>"2170647459 "</f>
        <v xml:space="preserve">2170647459 </v>
      </c>
      <c r="G1099" s="10" t="str">
        <f t="shared" si="29"/>
        <v>ON1</v>
      </c>
      <c r="H1099" s="10" t="s">
        <v>21</v>
      </c>
      <c r="I1099" s="10" t="s">
        <v>89</v>
      </c>
      <c r="J1099" s="10" t="str">
        <f>""</f>
        <v/>
      </c>
      <c r="K1099" s="10" t="str">
        <f>"PFES1162646200_0001"</f>
        <v>PFES1162646200_0001</v>
      </c>
      <c r="L1099" s="10">
        <v>1</v>
      </c>
      <c r="M1099" s="10">
        <v>1</v>
      </c>
    </row>
    <row r="1100" spans="1:13">
      <c r="A1100" s="8">
        <v>43353</v>
      </c>
      <c r="B1100" s="9">
        <v>0.53402777777777777</v>
      </c>
      <c r="C1100" s="10" t="str">
        <f>"FES1162646192"</f>
        <v>FES1162646192</v>
      </c>
      <c r="D1100" s="10" t="s">
        <v>19</v>
      </c>
      <c r="E1100" s="10" t="s">
        <v>684</v>
      </c>
      <c r="F1100" s="10" t="str">
        <f>"2170650978 "</f>
        <v xml:space="preserve">2170650978 </v>
      </c>
      <c r="G1100" s="10" t="str">
        <f t="shared" si="29"/>
        <v>ON1</v>
      </c>
      <c r="H1100" s="10" t="s">
        <v>21</v>
      </c>
      <c r="I1100" s="10" t="s">
        <v>290</v>
      </c>
      <c r="J1100" s="10" t="str">
        <f>""</f>
        <v/>
      </c>
      <c r="K1100" s="10" t="str">
        <f>"PFES1162646192_0001"</f>
        <v>PFES1162646192_0001</v>
      </c>
      <c r="L1100" s="10">
        <v>1</v>
      </c>
      <c r="M1100" s="10">
        <v>1</v>
      </c>
    </row>
    <row r="1101" spans="1:13">
      <c r="A1101" s="8">
        <v>43353</v>
      </c>
      <c r="B1101" s="9">
        <v>0.53402777777777777</v>
      </c>
      <c r="C1101" s="10" t="str">
        <f>"FES1162646240"</f>
        <v>FES1162646240</v>
      </c>
      <c r="D1101" s="10" t="s">
        <v>19</v>
      </c>
      <c r="E1101" s="10" t="s">
        <v>452</v>
      </c>
      <c r="F1101" s="10" t="str">
        <f>"2170650985 "</f>
        <v xml:space="preserve">2170650985 </v>
      </c>
      <c r="G1101" s="10" t="str">
        <f t="shared" si="29"/>
        <v>ON1</v>
      </c>
      <c r="H1101" s="10" t="s">
        <v>21</v>
      </c>
      <c r="I1101" s="10" t="s">
        <v>143</v>
      </c>
      <c r="J1101" s="10" t="str">
        <f>""</f>
        <v/>
      </c>
      <c r="K1101" s="10" t="str">
        <f>"PFES1162646240_0001"</f>
        <v>PFES1162646240_0001</v>
      </c>
      <c r="L1101" s="10">
        <v>1</v>
      </c>
      <c r="M1101" s="10">
        <v>1</v>
      </c>
    </row>
    <row r="1102" spans="1:13">
      <c r="A1102" s="8">
        <v>43353</v>
      </c>
      <c r="B1102" s="9">
        <v>0.53333333333333333</v>
      </c>
      <c r="C1102" s="10" t="str">
        <f>"FES1162646152"</f>
        <v>FES1162646152</v>
      </c>
      <c r="D1102" s="10" t="s">
        <v>19</v>
      </c>
      <c r="E1102" s="10" t="s">
        <v>685</v>
      </c>
      <c r="F1102" s="10" t="str">
        <f>"2170648057 "</f>
        <v xml:space="preserve">2170648057 </v>
      </c>
      <c r="G1102" s="10" t="str">
        <f t="shared" si="29"/>
        <v>ON1</v>
      </c>
      <c r="H1102" s="10" t="s">
        <v>21</v>
      </c>
      <c r="I1102" s="10" t="s">
        <v>686</v>
      </c>
      <c r="J1102" s="10" t="str">
        <f>""</f>
        <v/>
      </c>
      <c r="K1102" s="10" t="str">
        <f>"PFES1162646152_0001"</f>
        <v>PFES1162646152_0001</v>
      </c>
      <c r="L1102" s="10">
        <v>1</v>
      </c>
      <c r="M1102" s="10">
        <v>1</v>
      </c>
    </row>
    <row r="1103" spans="1:13">
      <c r="A1103" s="8">
        <v>43353</v>
      </c>
      <c r="B1103" s="9">
        <v>0.53333333333333333</v>
      </c>
      <c r="C1103" s="10" t="str">
        <f>"FES1162646206"</f>
        <v>FES1162646206</v>
      </c>
      <c r="D1103" s="10" t="s">
        <v>19</v>
      </c>
      <c r="E1103" s="10" t="s">
        <v>320</v>
      </c>
      <c r="F1103" s="10" t="str">
        <f>"2170648150 "</f>
        <v xml:space="preserve">2170648150 </v>
      </c>
      <c r="G1103" s="10" t="str">
        <f t="shared" si="29"/>
        <v>ON1</v>
      </c>
      <c r="H1103" s="10" t="s">
        <v>21</v>
      </c>
      <c r="I1103" s="10" t="s">
        <v>321</v>
      </c>
      <c r="J1103" s="10" t="str">
        <f>""</f>
        <v/>
      </c>
      <c r="K1103" s="10" t="str">
        <f>"PFES1162646206_0001"</f>
        <v>PFES1162646206_0001</v>
      </c>
      <c r="L1103" s="10">
        <v>1</v>
      </c>
      <c r="M1103" s="10">
        <v>1</v>
      </c>
    </row>
    <row r="1104" spans="1:13">
      <c r="A1104" s="8">
        <v>43353</v>
      </c>
      <c r="B1104" s="9">
        <v>0.53263888888888888</v>
      </c>
      <c r="C1104" s="10" t="str">
        <f>"FES1162646241"</f>
        <v>FES1162646241</v>
      </c>
      <c r="D1104" s="10" t="s">
        <v>19</v>
      </c>
      <c r="E1104" s="10" t="s">
        <v>485</v>
      </c>
      <c r="F1104" s="10" t="str">
        <f>"2170650999 "</f>
        <v xml:space="preserve">2170650999 </v>
      </c>
      <c r="G1104" s="10" t="str">
        <f t="shared" si="29"/>
        <v>ON1</v>
      </c>
      <c r="H1104" s="10" t="s">
        <v>21</v>
      </c>
      <c r="I1104" s="10" t="s">
        <v>486</v>
      </c>
      <c r="J1104" s="10" t="str">
        <f>""</f>
        <v/>
      </c>
      <c r="K1104" s="10" t="str">
        <f>"PFES1162646241_0001"</f>
        <v>PFES1162646241_0001</v>
      </c>
      <c r="L1104" s="10">
        <v>1</v>
      </c>
      <c r="M1104" s="10">
        <v>1</v>
      </c>
    </row>
    <row r="1105" spans="1:13">
      <c r="A1105" s="8">
        <v>43353</v>
      </c>
      <c r="B1105" s="9">
        <v>0.53263888888888888</v>
      </c>
      <c r="C1105" s="10" t="str">
        <f>"FES1162646215"</f>
        <v>FES1162646215</v>
      </c>
      <c r="D1105" s="10" t="s">
        <v>19</v>
      </c>
      <c r="E1105" s="10" t="s">
        <v>320</v>
      </c>
      <c r="F1105" s="10" t="str">
        <f>"2170648238 "</f>
        <v xml:space="preserve">2170648238 </v>
      </c>
      <c r="G1105" s="10" t="str">
        <f t="shared" si="29"/>
        <v>ON1</v>
      </c>
      <c r="H1105" s="10" t="s">
        <v>21</v>
      </c>
      <c r="I1105" s="10" t="s">
        <v>321</v>
      </c>
      <c r="J1105" s="10" t="str">
        <f>""</f>
        <v/>
      </c>
      <c r="K1105" s="10" t="str">
        <f>"PFES1162646215_0001"</f>
        <v>PFES1162646215_0001</v>
      </c>
      <c r="L1105" s="10">
        <v>1</v>
      </c>
      <c r="M1105" s="10">
        <v>1</v>
      </c>
    </row>
    <row r="1106" spans="1:13">
      <c r="A1106" s="8">
        <v>43353</v>
      </c>
      <c r="B1106" s="9">
        <v>0.53194444444444444</v>
      </c>
      <c r="C1106" s="10" t="str">
        <f>"FES1162646228"</f>
        <v>FES1162646228</v>
      </c>
      <c r="D1106" s="10" t="s">
        <v>19</v>
      </c>
      <c r="E1106" s="10" t="s">
        <v>232</v>
      </c>
      <c r="F1106" s="10" t="str">
        <f>"2170650928 "</f>
        <v xml:space="preserve">2170650928 </v>
      </c>
      <c r="G1106" s="10" t="str">
        <f t="shared" si="29"/>
        <v>ON1</v>
      </c>
      <c r="H1106" s="10" t="s">
        <v>21</v>
      </c>
      <c r="I1106" s="10" t="s">
        <v>233</v>
      </c>
      <c r="J1106" s="10" t="str">
        <f>""</f>
        <v/>
      </c>
      <c r="K1106" s="10" t="str">
        <f>"PFES1162646228_0001"</f>
        <v>PFES1162646228_0001</v>
      </c>
      <c r="L1106" s="10">
        <v>1</v>
      </c>
      <c r="M1106" s="10">
        <v>1</v>
      </c>
    </row>
    <row r="1107" spans="1:13">
      <c r="A1107" s="8">
        <v>43353</v>
      </c>
      <c r="B1107" s="9">
        <v>0.53194444444444444</v>
      </c>
      <c r="C1107" s="10" t="str">
        <f>"FES1162646172"</f>
        <v>FES1162646172</v>
      </c>
      <c r="D1107" s="10" t="s">
        <v>19</v>
      </c>
      <c r="E1107" s="10" t="s">
        <v>604</v>
      </c>
      <c r="F1107" s="10" t="str">
        <f>"2170649512 "</f>
        <v xml:space="preserve">2170649512 </v>
      </c>
      <c r="G1107" s="10" t="str">
        <f t="shared" si="29"/>
        <v>ON1</v>
      </c>
      <c r="H1107" s="10" t="s">
        <v>21</v>
      </c>
      <c r="I1107" s="10" t="s">
        <v>486</v>
      </c>
      <c r="J1107" s="10" t="str">
        <f>""</f>
        <v/>
      </c>
      <c r="K1107" s="10" t="str">
        <f>"PFES1162646172_0001"</f>
        <v>PFES1162646172_0001</v>
      </c>
      <c r="L1107" s="10">
        <v>1</v>
      </c>
      <c r="M1107" s="10">
        <v>1</v>
      </c>
    </row>
    <row r="1108" spans="1:13">
      <c r="A1108" s="8">
        <v>43353</v>
      </c>
      <c r="B1108" s="9">
        <v>0.53194444444444444</v>
      </c>
      <c r="C1108" s="10" t="str">
        <f>"FES1162646176"</f>
        <v>FES1162646176</v>
      </c>
      <c r="D1108" s="10" t="s">
        <v>19</v>
      </c>
      <c r="E1108" s="10" t="s">
        <v>162</v>
      </c>
      <c r="F1108" s="10" t="str">
        <f>"2170649682 "</f>
        <v xml:space="preserve">2170649682 </v>
      </c>
      <c r="G1108" s="10" t="str">
        <f t="shared" si="29"/>
        <v>ON1</v>
      </c>
      <c r="H1108" s="10" t="s">
        <v>21</v>
      </c>
      <c r="I1108" s="10" t="s">
        <v>30</v>
      </c>
      <c r="J1108" s="10" t="str">
        <f>""</f>
        <v/>
      </c>
      <c r="K1108" s="10" t="str">
        <f>"PFES1162646176_0001"</f>
        <v>PFES1162646176_0001</v>
      </c>
      <c r="L1108" s="10">
        <v>1</v>
      </c>
      <c r="M1108" s="10">
        <v>1</v>
      </c>
    </row>
    <row r="1109" spans="1:13">
      <c r="A1109" s="8">
        <v>43353</v>
      </c>
      <c r="B1109" s="9">
        <v>0.53125</v>
      </c>
      <c r="C1109" s="10" t="str">
        <f>"FES1162646085"</f>
        <v>FES1162646085</v>
      </c>
      <c r="D1109" s="10" t="s">
        <v>19</v>
      </c>
      <c r="E1109" s="10" t="s">
        <v>232</v>
      </c>
      <c r="F1109" s="10" t="str">
        <f>"2170650928 "</f>
        <v xml:space="preserve">2170650928 </v>
      </c>
      <c r="G1109" s="10" t="str">
        <f t="shared" si="29"/>
        <v>ON1</v>
      </c>
      <c r="H1109" s="10" t="s">
        <v>21</v>
      </c>
      <c r="I1109" s="10" t="s">
        <v>233</v>
      </c>
      <c r="J1109" s="10" t="str">
        <f>""</f>
        <v/>
      </c>
      <c r="K1109" s="10" t="str">
        <f>"PFES1162646085_0001"</f>
        <v>PFES1162646085_0001</v>
      </c>
      <c r="L1109" s="10">
        <v>1</v>
      </c>
      <c r="M1109" s="10">
        <v>1</v>
      </c>
    </row>
    <row r="1110" spans="1:13">
      <c r="A1110" s="8">
        <v>43353</v>
      </c>
      <c r="B1110" s="9">
        <v>0.53055555555555556</v>
      </c>
      <c r="C1110" s="10" t="str">
        <f>"FES1162646046"</f>
        <v>FES1162646046</v>
      </c>
      <c r="D1110" s="10" t="s">
        <v>19</v>
      </c>
      <c r="E1110" s="10" t="s">
        <v>424</v>
      </c>
      <c r="F1110" s="10" t="str">
        <f>"2170649717 "</f>
        <v xml:space="preserve">2170649717 </v>
      </c>
      <c r="G1110" s="10" t="str">
        <f t="shared" si="29"/>
        <v>ON1</v>
      </c>
      <c r="H1110" s="10" t="s">
        <v>21</v>
      </c>
      <c r="I1110" s="10" t="s">
        <v>97</v>
      </c>
      <c r="J1110" s="10" t="str">
        <f>""</f>
        <v/>
      </c>
      <c r="K1110" s="10" t="str">
        <f>"PFES1162646046_0001"</f>
        <v>PFES1162646046_0001</v>
      </c>
      <c r="L1110" s="10">
        <v>1</v>
      </c>
      <c r="M1110" s="10">
        <v>1</v>
      </c>
    </row>
    <row r="1111" spans="1:13">
      <c r="A1111" s="8">
        <v>43353</v>
      </c>
      <c r="B1111" s="9">
        <v>0.53055555555555556</v>
      </c>
      <c r="C1111" s="10" t="str">
        <f>"FES1162646073"</f>
        <v>FES1162646073</v>
      </c>
      <c r="D1111" s="10" t="s">
        <v>19</v>
      </c>
      <c r="E1111" s="10" t="s">
        <v>482</v>
      </c>
      <c r="F1111" s="10" t="str">
        <f>"2170650914 "</f>
        <v xml:space="preserve">2170650914 </v>
      </c>
      <c r="G1111" s="10" t="str">
        <f t="shared" si="29"/>
        <v>ON1</v>
      </c>
      <c r="H1111" s="10" t="s">
        <v>21</v>
      </c>
      <c r="I1111" s="10" t="s">
        <v>474</v>
      </c>
      <c r="J1111" s="10" t="str">
        <f>""</f>
        <v/>
      </c>
      <c r="K1111" s="10" t="str">
        <f>"PFES1162646073_0001"</f>
        <v>PFES1162646073_0001</v>
      </c>
      <c r="L1111" s="10">
        <v>1</v>
      </c>
      <c r="M1111" s="10">
        <v>1</v>
      </c>
    </row>
    <row r="1112" spans="1:13">
      <c r="A1112" s="8">
        <v>43353</v>
      </c>
      <c r="B1112" s="9">
        <v>0.53055555555555556</v>
      </c>
      <c r="C1112" s="10" t="str">
        <f>"FES1162646037"</f>
        <v>FES1162646037</v>
      </c>
      <c r="D1112" s="10" t="s">
        <v>19</v>
      </c>
      <c r="E1112" s="10" t="s">
        <v>687</v>
      </c>
      <c r="F1112" s="10" t="str">
        <f>"2170648587 "</f>
        <v xml:space="preserve">2170648587 </v>
      </c>
      <c r="G1112" s="10" t="str">
        <f t="shared" si="29"/>
        <v>ON1</v>
      </c>
      <c r="H1112" s="10" t="s">
        <v>21</v>
      </c>
      <c r="I1112" s="10" t="s">
        <v>688</v>
      </c>
      <c r="J1112" s="10" t="str">
        <f>""</f>
        <v/>
      </c>
      <c r="K1112" s="10" t="str">
        <f>"PFES1162646037_0001"</f>
        <v>PFES1162646037_0001</v>
      </c>
      <c r="L1112" s="10">
        <v>1</v>
      </c>
      <c r="M1112" s="10">
        <v>1</v>
      </c>
    </row>
    <row r="1113" spans="1:13">
      <c r="A1113" s="8">
        <v>43353</v>
      </c>
      <c r="B1113" s="9">
        <v>0.52986111111111112</v>
      </c>
      <c r="C1113" s="10" t="str">
        <f>"FES1162646099"</f>
        <v>FES1162646099</v>
      </c>
      <c r="D1113" s="10" t="s">
        <v>19</v>
      </c>
      <c r="E1113" s="10" t="s">
        <v>689</v>
      </c>
      <c r="F1113" s="10" t="str">
        <f>"2170650947 "</f>
        <v xml:space="preserve">2170650947 </v>
      </c>
      <c r="G1113" s="10" t="str">
        <f t="shared" si="29"/>
        <v>ON1</v>
      </c>
      <c r="H1113" s="10" t="s">
        <v>21</v>
      </c>
      <c r="I1113" s="10" t="s">
        <v>561</v>
      </c>
      <c r="J1113" s="10" t="str">
        <f>""</f>
        <v/>
      </c>
      <c r="K1113" s="10" t="str">
        <f>"PFES1162646099_0001"</f>
        <v>PFES1162646099_0001</v>
      </c>
      <c r="L1113" s="10">
        <v>1</v>
      </c>
      <c r="M1113" s="10">
        <v>1</v>
      </c>
    </row>
    <row r="1114" spans="1:13">
      <c r="A1114" s="8">
        <v>43353</v>
      </c>
      <c r="B1114" s="9">
        <v>0.52916666666666667</v>
      </c>
      <c r="C1114" s="10" t="str">
        <f>"FES1162646225"</f>
        <v>FES1162646225</v>
      </c>
      <c r="D1114" s="10" t="s">
        <v>19</v>
      </c>
      <c r="E1114" s="10" t="s">
        <v>144</v>
      </c>
      <c r="F1114" s="10" t="str">
        <f>"2170648364 "</f>
        <v xml:space="preserve">2170648364 </v>
      </c>
      <c r="G1114" s="10" t="str">
        <f t="shared" si="29"/>
        <v>ON1</v>
      </c>
      <c r="H1114" s="10" t="s">
        <v>21</v>
      </c>
      <c r="I1114" s="10" t="s">
        <v>145</v>
      </c>
      <c r="J1114" s="10" t="str">
        <f>""</f>
        <v/>
      </c>
      <c r="K1114" s="10" t="str">
        <f>"PFES1162646225_0001"</f>
        <v>PFES1162646225_0001</v>
      </c>
      <c r="L1114" s="10">
        <v>1</v>
      </c>
      <c r="M1114" s="10">
        <v>1</v>
      </c>
    </row>
    <row r="1115" spans="1:13">
      <c r="A1115" s="8">
        <v>43353</v>
      </c>
      <c r="B1115" s="9">
        <v>0.52847222222222223</v>
      </c>
      <c r="C1115" s="10" t="str">
        <f>"FES1162646144"</f>
        <v>FES1162646144</v>
      </c>
      <c r="D1115" s="10" t="s">
        <v>19</v>
      </c>
      <c r="E1115" s="10" t="s">
        <v>27</v>
      </c>
      <c r="F1115" s="10" t="str">
        <f>"2170647818 "</f>
        <v xml:space="preserve">2170647818 </v>
      </c>
      <c r="G1115" s="10" t="str">
        <f t="shared" si="29"/>
        <v>ON1</v>
      </c>
      <c r="H1115" s="10" t="s">
        <v>21</v>
      </c>
      <c r="I1115" s="10" t="s">
        <v>28</v>
      </c>
      <c r="J1115" s="10" t="str">
        <f>""</f>
        <v/>
      </c>
      <c r="K1115" s="10" t="str">
        <f>"PFES1162646144_0001"</f>
        <v>PFES1162646144_0001</v>
      </c>
      <c r="L1115" s="10">
        <v>1</v>
      </c>
      <c r="M1115" s="10">
        <v>1</v>
      </c>
    </row>
    <row r="1116" spans="1:13">
      <c r="A1116" s="8">
        <v>43353</v>
      </c>
      <c r="B1116" s="9">
        <v>0.52847222222222223</v>
      </c>
      <c r="C1116" s="10" t="str">
        <f>"FES1162646204"</f>
        <v>FES1162646204</v>
      </c>
      <c r="D1116" s="10" t="s">
        <v>19</v>
      </c>
      <c r="E1116" s="10" t="s">
        <v>690</v>
      </c>
      <c r="F1116" s="10" t="str">
        <f>"2170648082 "</f>
        <v xml:space="preserve">2170648082 </v>
      </c>
      <c r="G1116" s="10" t="str">
        <f t="shared" si="29"/>
        <v>ON1</v>
      </c>
      <c r="H1116" s="10" t="s">
        <v>21</v>
      </c>
      <c r="I1116" s="10" t="s">
        <v>691</v>
      </c>
      <c r="J1116" s="10" t="str">
        <f>""</f>
        <v/>
      </c>
      <c r="K1116" s="10" t="str">
        <f>"PFES1162646204_0001"</f>
        <v>PFES1162646204_0001</v>
      </c>
      <c r="L1116" s="10">
        <v>1</v>
      </c>
      <c r="M1116" s="10">
        <v>1</v>
      </c>
    </row>
    <row r="1117" spans="1:13">
      <c r="A1117" s="8">
        <v>43353</v>
      </c>
      <c r="B1117" s="9">
        <v>0.52777777777777779</v>
      </c>
      <c r="C1117" s="10" t="str">
        <f>"FES1162646211"</f>
        <v>FES1162646211</v>
      </c>
      <c r="D1117" s="10" t="s">
        <v>19</v>
      </c>
      <c r="E1117" s="10" t="s">
        <v>692</v>
      </c>
      <c r="F1117" s="10" t="str">
        <f>"2170648212 "</f>
        <v xml:space="preserve">2170648212 </v>
      </c>
      <c r="G1117" s="10" t="str">
        <f t="shared" si="29"/>
        <v>ON1</v>
      </c>
      <c r="H1117" s="10" t="s">
        <v>21</v>
      </c>
      <c r="I1117" s="10" t="s">
        <v>418</v>
      </c>
      <c r="J1117" s="10" t="str">
        <f>""</f>
        <v/>
      </c>
      <c r="K1117" s="10" t="str">
        <f>"PFES1162646211_0001"</f>
        <v>PFES1162646211_0001</v>
      </c>
      <c r="L1117" s="10">
        <v>1</v>
      </c>
      <c r="M1117" s="10">
        <v>1</v>
      </c>
    </row>
    <row r="1118" spans="1:13">
      <c r="A1118" s="8">
        <v>43353</v>
      </c>
      <c r="B1118" s="9">
        <v>0.52777777777777779</v>
      </c>
      <c r="C1118" s="10" t="str">
        <f>"FES1162646132"</f>
        <v>FES1162646132</v>
      </c>
      <c r="D1118" s="10" t="s">
        <v>19</v>
      </c>
      <c r="E1118" s="10" t="s">
        <v>134</v>
      </c>
      <c r="F1118" s="10" t="str">
        <f>"2170647169 "</f>
        <v xml:space="preserve">2170647169 </v>
      </c>
      <c r="G1118" s="10" t="str">
        <f t="shared" si="29"/>
        <v>ON1</v>
      </c>
      <c r="H1118" s="10" t="s">
        <v>21</v>
      </c>
      <c r="I1118" s="10" t="s">
        <v>135</v>
      </c>
      <c r="J1118" s="10" t="str">
        <f>""</f>
        <v/>
      </c>
      <c r="K1118" s="10" t="str">
        <f>"PFES1162646132_0001"</f>
        <v>PFES1162646132_0001</v>
      </c>
      <c r="L1118" s="10">
        <v>1</v>
      </c>
      <c r="M1118" s="10">
        <v>1</v>
      </c>
    </row>
    <row r="1119" spans="1:13">
      <c r="A1119" s="8">
        <v>43353</v>
      </c>
      <c r="B1119" s="9">
        <v>0.52708333333333335</v>
      </c>
      <c r="C1119" s="10" t="str">
        <f>"FES1162646188"</f>
        <v>FES1162646188</v>
      </c>
      <c r="D1119" s="10" t="s">
        <v>19</v>
      </c>
      <c r="E1119" s="10" t="s">
        <v>693</v>
      </c>
      <c r="F1119" s="10" t="str">
        <f>"2170650971 "</f>
        <v xml:space="preserve">2170650971 </v>
      </c>
      <c r="G1119" s="10" t="str">
        <f t="shared" si="29"/>
        <v>ON1</v>
      </c>
      <c r="H1119" s="10" t="s">
        <v>21</v>
      </c>
      <c r="I1119" s="10" t="s">
        <v>694</v>
      </c>
      <c r="J1119" s="10" t="str">
        <f>""</f>
        <v/>
      </c>
      <c r="K1119" s="10" t="str">
        <f>"PFES1162646188_0001"</f>
        <v>PFES1162646188_0001</v>
      </c>
      <c r="L1119" s="10">
        <v>1</v>
      </c>
      <c r="M1119" s="10">
        <v>1</v>
      </c>
    </row>
    <row r="1120" spans="1:13">
      <c r="A1120" s="8">
        <v>43353</v>
      </c>
      <c r="B1120" s="9">
        <v>0.52708333333333335</v>
      </c>
      <c r="C1120" s="10" t="str">
        <f>"FES1162646173"</f>
        <v>FES1162646173</v>
      </c>
      <c r="D1120" s="10" t="s">
        <v>19</v>
      </c>
      <c r="E1120" s="10" t="s">
        <v>162</v>
      </c>
      <c r="F1120" s="10" t="str">
        <f>"2170649537 "</f>
        <v xml:space="preserve">2170649537 </v>
      </c>
      <c r="G1120" s="10" t="str">
        <f t="shared" si="29"/>
        <v>ON1</v>
      </c>
      <c r="H1120" s="10" t="s">
        <v>21</v>
      </c>
      <c r="I1120" s="10" t="s">
        <v>30</v>
      </c>
      <c r="J1120" s="10" t="str">
        <f>""</f>
        <v/>
      </c>
      <c r="K1120" s="10" t="str">
        <f>"PFES1162646173_0001"</f>
        <v>PFES1162646173_0001</v>
      </c>
      <c r="L1120" s="10">
        <v>1</v>
      </c>
      <c r="M1120" s="10">
        <v>1</v>
      </c>
    </row>
    <row r="1121" spans="1:13">
      <c r="A1121" s="8">
        <v>43353</v>
      </c>
      <c r="B1121" s="9">
        <v>0.52638888888888891</v>
      </c>
      <c r="C1121" s="10" t="str">
        <f>"FES1162646181"</f>
        <v>FES1162646181</v>
      </c>
      <c r="D1121" s="10" t="s">
        <v>19</v>
      </c>
      <c r="E1121" s="10" t="s">
        <v>228</v>
      </c>
      <c r="F1121" s="10" t="str">
        <f>"2170650742 "</f>
        <v xml:space="preserve">2170650742 </v>
      </c>
      <c r="G1121" s="10" t="str">
        <f t="shared" si="29"/>
        <v>ON1</v>
      </c>
      <c r="H1121" s="10" t="s">
        <v>21</v>
      </c>
      <c r="I1121" s="10" t="s">
        <v>229</v>
      </c>
      <c r="J1121" s="10" t="str">
        <f>""</f>
        <v/>
      </c>
      <c r="K1121" s="10" t="str">
        <f>"PFES1162646181_0001"</f>
        <v>PFES1162646181_0001</v>
      </c>
      <c r="L1121" s="10">
        <v>1</v>
      </c>
      <c r="M1121" s="10">
        <v>1</v>
      </c>
    </row>
    <row r="1122" spans="1:13">
      <c r="A1122" s="8">
        <v>43353</v>
      </c>
      <c r="B1122" s="9">
        <v>0.52638888888888891</v>
      </c>
      <c r="C1122" s="10" t="str">
        <f>"FES1162646177"</f>
        <v>FES1162646177</v>
      </c>
      <c r="D1122" s="10" t="s">
        <v>19</v>
      </c>
      <c r="E1122" s="10" t="s">
        <v>84</v>
      </c>
      <c r="F1122" s="10" t="str">
        <f>"2170649847 "</f>
        <v xml:space="preserve">2170649847 </v>
      </c>
      <c r="G1122" s="10" t="str">
        <f t="shared" si="29"/>
        <v>ON1</v>
      </c>
      <c r="H1122" s="10" t="s">
        <v>21</v>
      </c>
      <c r="I1122" s="10" t="s">
        <v>85</v>
      </c>
      <c r="J1122" s="10" t="str">
        <f>""</f>
        <v/>
      </c>
      <c r="K1122" s="10" t="str">
        <f>"PFES1162646177_0001"</f>
        <v>PFES1162646177_0001</v>
      </c>
      <c r="L1122" s="10">
        <v>1</v>
      </c>
      <c r="M1122" s="10">
        <v>1</v>
      </c>
    </row>
    <row r="1123" spans="1:13">
      <c r="A1123" s="8">
        <v>43353</v>
      </c>
      <c r="B1123" s="9">
        <v>0.52638888888888891</v>
      </c>
      <c r="C1123" s="10" t="str">
        <f>"FES1162646056"</f>
        <v>FES1162646056</v>
      </c>
      <c r="D1123" s="10" t="s">
        <v>19</v>
      </c>
      <c r="E1123" s="10" t="s">
        <v>446</v>
      </c>
      <c r="F1123" s="10" t="str">
        <f>"2170650306 "</f>
        <v xml:space="preserve">2170650306 </v>
      </c>
      <c r="G1123" s="10" t="str">
        <f t="shared" si="29"/>
        <v>ON1</v>
      </c>
      <c r="H1123" s="10" t="s">
        <v>21</v>
      </c>
      <c r="I1123" s="10" t="s">
        <v>201</v>
      </c>
      <c r="J1123" s="10" t="str">
        <f>""</f>
        <v/>
      </c>
      <c r="K1123" s="10" t="str">
        <f>"PFES1162646056_0001"</f>
        <v>PFES1162646056_0001</v>
      </c>
      <c r="L1123" s="10">
        <v>1</v>
      </c>
      <c r="M1123" s="10">
        <v>1</v>
      </c>
    </row>
    <row r="1124" spans="1:13">
      <c r="A1124" s="8">
        <v>43353</v>
      </c>
      <c r="B1124" s="9">
        <v>0.52569444444444446</v>
      </c>
      <c r="C1124" s="10" t="str">
        <f>"FES1162646063"</f>
        <v>FES1162646063</v>
      </c>
      <c r="D1124" s="10" t="s">
        <v>19</v>
      </c>
      <c r="E1124" s="10" t="s">
        <v>81</v>
      </c>
      <c r="F1124" s="10" t="str">
        <f>"2170650898 "</f>
        <v xml:space="preserve">2170650898 </v>
      </c>
      <c r="G1124" s="10" t="str">
        <f t="shared" si="29"/>
        <v>ON1</v>
      </c>
      <c r="H1124" s="10" t="s">
        <v>21</v>
      </c>
      <c r="I1124" s="10" t="s">
        <v>28</v>
      </c>
      <c r="J1124" s="10" t="str">
        <f>""</f>
        <v/>
      </c>
      <c r="K1124" s="10" t="str">
        <f>"PFES1162646063_0001"</f>
        <v>PFES1162646063_0001</v>
      </c>
      <c r="L1124" s="10">
        <v>1</v>
      </c>
      <c r="M1124" s="10">
        <v>1</v>
      </c>
    </row>
    <row r="1125" spans="1:13">
      <c r="A1125" s="8">
        <v>43353</v>
      </c>
      <c r="B1125" s="9">
        <v>0.52569444444444446</v>
      </c>
      <c r="C1125" s="10" t="str">
        <f>"FES1162646191"</f>
        <v>FES1162646191</v>
      </c>
      <c r="D1125" s="10" t="s">
        <v>19</v>
      </c>
      <c r="E1125" s="10" t="s">
        <v>695</v>
      </c>
      <c r="F1125" s="10" t="str">
        <f>"2170650975 "</f>
        <v xml:space="preserve">2170650975 </v>
      </c>
      <c r="G1125" s="10" t="str">
        <f t="shared" si="29"/>
        <v>ON1</v>
      </c>
      <c r="H1125" s="10" t="s">
        <v>21</v>
      </c>
      <c r="I1125" s="10" t="s">
        <v>696</v>
      </c>
      <c r="J1125" s="10" t="str">
        <f>""</f>
        <v/>
      </c>
      <c r="K1125" s="10" t="str">
        <f>"PFES1162646191_0001"</f>
        <v>PFES1162646191_0001</v>
      </c>
      <c r="L1125" s="10">
        <v>1</v>
      </c>
      <c r="M1125" s="10">
        <v>1</v>
      </c>
    </row>
    <row r="1126" spans="1:13">
      <c r="A1126" s="8">
        <v>43353</v>
      </c>
      <c r="B1126" s="9">
        <v>0.52500000000000002</v>
      </c>
      <c r="C1126" s="10" t="str">
        <f>"FES1162646103"</f>
        <v>FES1162646103</v>
      </c>
      <c r="D1126" s="10" t="s">
        <v>19</v>
      </c>
      <c r="E1126" s="10" t="s">
        <v>149</v>
      </c>
      <c r="F1126" s="10" t="str">
        <f>"2170650956 "</f>
        <v xml:space="preserve">2170650956 </v>
      </c>
      <c r="G1126" s="10" t="str">
        <f t="shared" si="29"/>
        <v>ON1</v>
      </c>
      <c r="H1126" s="10" t="s">
        <v>21</v>
      </c>
      <c r="I1126" s="10" t="s">
        <v>150</v>
      </c>
      <c r="J1126" s="10" t="str">
        <f>""</f>
        <v/>
      </c>
      <c r="K1126" s="10" t="str">
        <f>"PFES1162646103_0001"</f>
        <v>PFES1162646103_0001</v>
      </c>
      <c r="L1126" s="10">
        <v>1</v>
      </c>
      <c r="M1126" s="10">
        <v>1</v>
      </c>
    </row>
    <row r="1127" spans="1:13">
      <c r="A1127" s="8">
        <v>43353</v>
      </c>
      <c r="B1127" s="9">
        <v>0.52500000000000002</v>
      </c>
      <c r="C1127" s="10" t="str">
        <f>"FES1162646095"</f>
        <v>FES1162646095</v>
      </c>
      <c r="D1127" s="10" t="s">
        <v>19</v>
      </c>
      <c r="E1127" s="10" t="s">
        <v>697</v>
      </c>
      <c r="F1127" s="10" t="str">
        <f>"2170650944 "</f>
        <v xml:space="preserve">2170650944 </v>
      </c>
      <c r="G1127" s="10" t="str">
        <f t="shared" si="29"/>
        <v>ON1</v>
      </c>
      <c r="H1127" s="10" t="s">
        <v>21</v>
      </c>
      <c r="I1127" s="10" t="s">
        <v>57</v>
      </c>
      <c r="J1127" s="10" t="str">
        <f>""</f>
        <v/>
      </c>
      <c r="K1127" s="10" t="str">
        <f>"PFES1162646095_0001"</f>
        <v>PFES1162646095_0001</v>
      </c>
      <c r="L1127" s="10">
        <v>1</v>
      </c>
      <c r="M1127" s="10">
        <v>1</v>
      </c>
    </row>
    <row r="1128" spans="1:13">
      <c r="A1128" s="8">
        <v>43353</v>
      </c>
      <c r="B1128" s="9">
        <v>0.52500000000000002</v>
      </c>
      <c r="C1128" s="10" t="str">
        <f>"FES1162646054"</f>
        <v>FES1162646054</v>
      </c>
      <c r="D1128" s="10" t="s">
        <v>19</v>
      </c>
      <c r="E1128" s="10" t="s">
        <v>103</v>
      </c>
      <c r="F1128" s="10" t="str">
        <f>"2170650248 "</f>
        <v xml:space="preserve">2170650248 </v>
      </c>
      <c r="G1128" s="10" t="str">
        <f t="shared" si="29"/>
        <v>ON1</v>
      </c>
      <c r="H1128" s="10" t="s">
        <v>21</v>
      </c>
      <c r="I1128" s="10" t="s">
        <v>433</v>
      </c>
      <c r="J1128" s="10" t="str">
        <f>""</f>
        <v/>
      </c>
      <c r="K1128" s="10" t="str">
        <f>"PFES1162646054_0001"</f>
        <v>PFES1162646054_0001</v>
      </c>
      <c r="L1128" s="10">
        <v>1</v>
      </c>
      <c r="M1128" s="10">
        <v>1</v>
      </c>
    </row>
    <row r="1129" spans="1:13">
      <c r="A1129" s="8">
        <v>43353</v>
      </c>
      <c r="B1129" s="9">
        <v>0.52430555555555558</v>
      </c>
      <c r="C1129" s="10" t="str">
        <f>"FES1162646183"</f>
        <v>FES1162646183</v>
      </c>
      <c r="D1129" s="10" t="s">
        <v>19</v>
      </c>
      <c r="E1129" s="10" t="s">
        <v>458</v>
      </c>
      <c r="F1129" s="10" t="str">
        <f>"21706509802 "</f>
        <v xml:space="preserve">21706509802 </v>
      </c>
      <c r="G1129" s="10" t="str">
        <f t="shared" si="29"/>
        <v>ON1</v>
      </c>
      <c r="H1129" s="10" t="s">
        <v>21</v>
      </c>
      <c r="I1129" s="10" t="s">
        <v>76</v>
      </c>
      <c r="J1129" s="10" t="str">
        <f>""</f>
        <v/>
      </c>
      <c r="K1129" s="10" t="str">
        <f>"PFES1162646183_0001"</f>
        <v>PFES1162646183_0001</v>
      </c>
      <c r="L1129" s="10">
        <v>1</v>
      </c>
      <c r="M1129" s="10">
        <v>1</v>
      </c>
    </row>
    <row r="1130" spans="1:13">
      <c r="A1130" s="8">
        <v>43353</v>
      </c>
      <c r="B1130" s="9">
        <v>0.52430555555555558</v>
      </c>
      <c r="C1130" s="10" t="str">
        <f>"FES1162646057"</f>
        <v>FES1162646057</v>
      </c>
      <c r="D1130" s="10" t="s">
        <v>19</v>
      </c>
      <c r="E1130" s="10" t="s">
        <v>103</v>
      </c>
      <c r="F1130" s="10" t="str">
        <f>"2170650307 "</f>
        <v xml:space="preserve">2170650307 </v>
      </c>
      <c r="G1130" s="10" t="str">
        <f t="shared" si="29"/>
        <v>ON1</v>
      </c>
      <c r="H1130" s="10" t="s">
        <v>21</v>
      </c>
      <c r="I1130" s="10" t="s">
        <v>433</v>
      </c>
      <c r="J1130" s="10" t="str">
        <f>""</f>
        <v/>
      </c>
      <c r="K1130" s="10" t="str">
        <f>"PFES1162646057_0001"</f>
        <v>PFES1162646057_0001</v>
      </c>
      <c r="L1130" s="10">
        <v>1</v>
      </c>
      <c r="M1130" s="10">
        <v>1</v>
      </c>
    </row>
    <row r="1131" spans="1:13">
      <c r="A1131" s="8">
        <v>43353</v>
      </c>
      <c r="B1131" s="9">
        <v>0.52361111111111114</v>
      </c>
      <c r="C1131" s="10" t="str">
        <f>"FES1162646174"</f>
        <v>FES1162646174</v>
      </c>
      <c r="D1131" s="10" t="s">
        <v>19</v>
      </c>
      <c r="E1131" s="10" t="s">
        <v>570</v>
      </c>
      <c r="F1131" s="10" t="str">
        <f>"2170649559 "</f>
        <v xml:space="preserve">2170649559 </v>
      </c>
      <c r="G1131" s="10" t="str">
        <f t="shared" si="29"/>
        <v>ON1</v>
      </c>
      <c r="H1131" s="10" t="s">
        <v>21</v>
      </c>
      <c r="I1131" s="10" t="s">
        <v>571</v>
      </c>
      <c r="J1131" s="10" t="str">
        <f>""</f>
        <v/>
      </c>
      <c r="K1131" s="10" t="str">
        <f>"PFES1162646174_0001"</f>
        <v>PFES1162646174_0001</v>
      </c>
      <c r="L1131" s="10">
        <v>1</v>
      </c>
      <c r="M1131" s="10">
        <v>1</v>
      </c>
    </row>
    <row r="1132" spans="1:13">
      <c r="A1132" s="8">
        <v>43353</v>
      </c>
      <c r="B1132" s="9">
        <v>0.52152777777777781</v>
      </c>
      <c r="C1132" s="10" t="str">
        <f>"FES1162646125"</f>
        <v>FES1162646125</v>
      </c>
      <c r="D1132" s="10" t="s">
        <v>19</v>
      </c>
      <c r="E1132" s="10" t="s">
        <v>144</v>
      </c>
      <c r="F1132" s="10" t="str">
        <f>"2170646314 "</f>
        <v xml:space="preserve">2170646314 </v>
      </c>
      <c r="G1132" s="10" t="str">
        <f t="shared" si="29"/>
        <v>ON1</v>
      </c>
      <c r="H1132" s="10" t="s">
        <v>21</v>
      </c>
      <c r="I1132" s="10" t="s">
        <v>145</v>
      </c>
      <c r="J1132" s="10" t="str">
        <f>""</f>
        <v/>
      </c>
      <c r="K1132" s="10" t="str">
        <f>"PFES1162646125_0001"</f>
        <v>PFES1162646125_0001</v>
      </c>
      <c r="L1132" s="10">
        <v>1</v>
      </c>
      <c r="M1132" s="10">
        <v>1</v>
      </c>
    </row>
    <row r="1133" spans="1:13">
      <c r="A1133" s="8">
        <v>43353</v>
      </c>
      <c r="B1133" s="9">
        <v>0.52152777777777781</v>
      </c>
      <c r="C1133" s="10" t="str">
        <f>"FES1162646149"</f>
        <v>FES1162646149</v>
      </c>
      <c r="D1133" s="10" t="s">
        <v>19</v>
      </c>
      <c r="E1133" s="10" t="s">
        <v>139</v>
      </c>
      <c r="F1133" s="10" t="str">
        <f>"2170647985 "</f>
        <v xml:space="preserve">2170647985 </v>
      </c>
      <c r="G1133" s="10" t="str">
        <f t="shared" si="29"/>
        <v>ON1</v>
      </c>
      <c r="H1133" s="10" t="s">
        <v>21</v>
      </c>
      <c r="I1133" s="10" t="s">
        <v>140</v>
      </c>
      <c r="J1133" s="10" t="str">
        <f>""</f>
        <v/>
      </c>
      <c r="K1133" s="10" t="str">
        <f>"PFES1162646149_0001"</f>
        <v>PFES1162646149_0001</v>
      </c>
      <c r="L1133" s="10">
        <v>1</v>
      </c>
      <c r="M1133" s="10">
        <v>1</v>
      </c>
    </row>
    <row r="1134" spans="1:13">
      <c r="A1134" s="8">
        <v>43353</v>
      </c>
      <c r="B1134" s="9">
        <v>0.52083333333333337</v>
      </c>
      <c r="C1134" s="10" t="str">
        <f>"FES1162646087"</f>
        <v>FES1162646087</v>
      </c>
      <c r="D1134" s="10" t="s">
        <v>19</v>
      </c>
      <c r="E1134" s="10" t="s">
        <v>58</v>
      </c>
      <c r="F1134" s="10" t="str">
        <f>"2170650934 "</f>
        <v xml:space="preserve">2170650934 </v>
      </c>
      <c r="G1134" s="10" t="str">
        <f t="shared" si="29"/>
        <v>ON1</v>
      </c>
      <c r="H1134" s="10" t="s">
        <v>21</v>
      </c>
      <c r="I1134" s="10" t="s">
        <v>30</v>
      </c>
      <c r="J1134" s="10" t="str">
        <f>""</f>
        <v/>
      </c>
      <c r="K1134" s="10" t="str">
        <f>"PFES1162646087_0001"</f>
        <v>PFES1162646087_0001</v>
      </c>
      <c r="L1134" s="10">
        <v>1</v>
      </c>
      <c r="M1134" s="10">
        <v>1</v>
      </c>
    </row>
    <row r="1135" spans="1:13">
      <c r="A1135" s="8">
        <v>43353</v>
      </c>
      <c r="B1135" s="9">
        <v>0.52083333333333337</v>
      </c>
      <c r="C1135" s="10" t="str">
        <f>"FES1162646033"</f>
        <v>FES1162646033</v>
      </c>
      <c r="D1135" s="10" t="s">
        <v>19</v>
      </c>
      <c r="E1135" s="10" t="s">
        <v>424</v>
      </c>
      <c r="F1135" s="10" t="str">
        <f>"21706474873 "</f>
        <v xml:space="preserve">21706474873 </v>
      </c>
      <c r="G1135" s="10" t="str">
        <f t="shared" si="29"/>
        <v>ON1</v>
      </c>
      <c r="H1135" s="10" t="s">
        <v>21</v>
      </c>
      <c r="I1135" s="10" t="s">
        <v>97</v>
      </c>
      <c r="J1135" s="10" t="str">
        <f>""</f>
        <v/>
      </c>
      <c r="K1135" s="10" t="str">
        <f>"PFES1162646033_0001"</f>
        <v>PFES1162646033_0001</v>
      </c>
      <c r="L1135" s="10">
        <v>1</v>
      </c>
      <c r="M1135" s="10">
        <v>1</v>
      </c>
    </row>
    <row r="1136" spans="1:13">
      <c r="A1136" s="8">
        <v>43353</v>
      </c>
      <c r="B1136" s="9">
        <v>0.52013888888888882</v>
      </c>
      <c r="C1136" s="10" t="str">
        <f>"FES1162646055"</f>
        <v>FES1162646055</v>
      </c>
      <c r="D1136" s="10" t="s">
        <v>19</v>
      </c>
      <c r="E1136" s="10" t="s">
        <v>103</v>
      </c>
      <c r="F1136" s="10" t="str">
        <f>"2170650251 "</f>
        <v xml:space="preserve">2170650251 </v>
      </c>
      <c r="G1136" s="10" t="str">
        <f t="shared" si="29"/>
        <v>ON1</v>
      </c>
      <c r="H1136" s="10" t="s">
        <v>21</v>
      </c>
      <c r="I1136" s="10" t="s">
        <v>433</v>
      </c>
      <c r="J1136" s="10" t="str">
        <f>""</f>
        <v/>
      </c>
      <c r="K1136" s="10" t="str">
        <f>"PFES1162646055_0001"</f>
        <v>PFES1162646055_0001</v>
      </c>
      <c r="L1136" s="10">
        <v>1</v>
      </c>
      <c r="M1136" s="10">
        <v>1</v>
      </c>
    </row>
    <row r="1137" spans="1:13">
      <c r="A1137" s="8">
        <v>43353</v>
      </c>
      <c r="B1137" s="9">
        <v>0.52013888888888882</v>
      </c>
      <c r="C1137" s="10" t="str">
        <f>"FES1162646247"</f>
        <v>FES1162646247</v>
      </c>
      <c r="D1137" s="10" t="s">
        <v>19</v>
      </c>
      <c r="E1137" s="10" t="s">
        <v>698</v>
      </c>
      <c r="F1137" s="10" t="str">
        <f>"2170651006 "</f>
        <v xml:space="preserve">2170651006 </v>
      </c>
      <c r="G1137" s="10" t="str">
        <f t="shared" si="29"/>
        <v>ON1</v>
      </c>
      <c r="H1137" s="10" t="s">
        <v>21</v>
      </c>
      <c r="I1137" s="10" t="s">
        <v>126</v>
      </c>
      <c r="J1137" s="10" t="str">
        <f>""</f>
        <v/>
      </c>
      <c r="K1137" s="10" t="str">
        <f>"PFES1162646247_0001"</f>
        <v>PFES1162646247_0001</v>
      </c>
      <c r="L1137" s="10">
        <v>1</v>
      </c>
      <c r="M1137" s="10">
        <v>1</v>
      </c>
    </row>
    <row r="1138" spans="1:13">
      <c r="A1138" s="8">
        <v>43353</v>
      </c>
      <c r="B1138" s="9">
        <v>0.51944444444444449</v>
      </c>
      <c r="C1138" s="10" t="str">
        <f>"FES1162645828"</f>
        <v>FES1162645828</v>
      </c>
      <c r="D1138" s="10" t="s">
        <v>19</v>
      </c>
      <c r="E1138" s="10" t="s">
        <v>698</v>
      </c>
      <c r="F1138" s="10" t="str">
        <f>"2170650544 "</f>
        <v xml:space="preserve">2170650544 </v>
      </c>
      <c r="G1138" s="10" t="str">
        <f t="shared" si="29"/>
        <v>ON1</v>
      </c>
      <c r="H1138" s="10" t="s">
        <v>21</v>
      </c>
      <c r="I1138" s="10" t="s">
        <v>126</v>
      </c>
      <c r="J1138" s="10" t="str">
        <f>""</f>
        <v/>
      </c>
      <c r="K1138" s="10" t="str">
        <f>"PFES1162645828_0001"</f>
        <v>PFES1162645828_0001</v>
      </c>
      <c r="L1138" s="10">
        <v>1</v>
      </c>
      <c r="M1138" s="10">
        <v>1</v>
      </c>
    </row>
    <row r="1139" spans="1:13">
      <c r="A1139" s="8">
        <v>43353</v>
      </c>
      <c r="B1139" s="9">
        <v>0.51944444444444449</v>
      </c>
      <c r="C1139" s="10" t="str">
        <f>"FES1162646097"</f>
        <v>FES1162646097</v>
      </c>
      <c r="D1139" s="10" t="s">
        <v>19</v>
      </c>
      <c r="E1139" s="10" t="s">
        <v>699</v>
      </c>
      <c r="F1139" s="10" t="str">
        <f>"2170650945 "</f>
        <v xml:space="preserve">2170650945 </v>
      </c>
      <c r="G1139" s="10" t="str">
        <f t="shared" si="29"/>
        <v>ON1</v>
      </c>
      <c r="H1139" s="10" t="s">
        <v>21</v>
      </c>
      <c r="I1139" s="10" t="s">
        <v>700</v>
      </c>
      <c r="J1139" s="10" t="str">
        <f>""</f>
        <v/>
      </c>
      <c r="K1139" s="10" t="str">
        <f>"PFES1162646097_0001"</f>
        <v>PFES1162646097_0001</v>
      </c>
      <c r="L1139" s="10">
        <v>1</v>
      </c>
      <c r="M1139" s="10">
        <v>1</v>
      </c>
    </row>
    <row r="1140" spans="1:13">
      <c r="A1140" s="8">
        <v>43353</v>
      </c>
      <c r="B1140" s="9">
        <v>0.51874999999999993</v>
      </c>
      <c r="C1140" s="10" t="str">
        <f>"FES1162646115"</f>
        <v>FES1162646115</v>
      </c>
      <c r="D1140" s="10" t="s">
        <v>19</v>
      </c>
      <c r="E1140" s="10" t="s">
        <v>61</v>
      </c>
      <c r="F1140" s="10" t="str">
        <f>"2170642300 "</f>
        <v xml:space="preserve">2170642300 </v>
      </c>
      <c r="G1140" s="10" t="str">
        <f t="shared" si="29"/>
        <v>ON1</v>
      </c>
      <c r="H1140" s="10" t="s">
        <v>21</v>
      </c>
      <c r="I1140" s="10" t="s">
        <v>62</v>
      </c>
      <c r="J1140" s="10" t="str">
        <f>""</f>
        <v/>
      </c>
      <c r="K1140" s="10" t="str">
        <f>"PFES1162646115_0001"</f>
        <v>PFES1162646115_0001</v>
      </c>
      <c r="L1140" s="10">
        <v>1</v>
      </c>
      <c r="M1140" s="10">
        <v>1</v>
      </c>
    </row>
    <row r="1141" spans="1:13">
      <c r="A1141" s="8">
        <v>43353</v>
      </c>
      <c r="B1141" s="9">
        <v>0.5180555555555556</v>
      </c>
      <c r="C1141" s="10" t="str">
        <f>"FES1162646071"</f>
        <v>FES1162646071</v>
      </c>
      <c r="D1141" s="10" t="s">
        <v>19</v>
      </c>
      <c r="E1141" s="10" t="s">
        <v>141</v>
      </c>
      <c r="F1141" s="10" t="str">
        <f>"2170650912 "</f>
        <v xml:space="preserve">2170650912 </v>
      </c>
      <c r="G1141" s="10" t="str">
        <f t="shared" si="29"/>
        <v>ON1</v>
      </c>
      <c r="H1141" s="10" t="s">
        <v>21</v>
      </c>
      <c r="I1141" s="10" t="s">
        <v>91</v>
      </c>
      <c r="J1141" s="10" t="str">
        <f>""</f>
        <v/>
      </c>
      <c r="K1141" s="10" t="str">
        <f>"PFES1162646071_0001"</f>
        <v>PFES1162646071_0001</v>
      </c>
      <c r="L1141" s="10">
        <v>1</v>
      </c>
      <c r="M1141" s="10">
        <v>1</v>
      </c>
    </row>
    <row r="1142" spans="1:13">
      <c r="A1142" s="8">
        <v>43353</v>
      </c>
      <c r="B1142" s="9">
        <v>0.5180555555555556</v>
      </c>
      <c r="C1142" s="10" t="str">
        <f>"FES1162646061"</f>
        <v>FES1162646061</v>
      </c>
      <c r="D1142" s="10" t="s">
        <v>19</v>
      </c>
      <c r="E1142" s="10" t="s">
        <v>160</v>
      </c>
      <c r="F1142" s="10" t="str">
        <f>"2170650816 "</f>
        <v xml:space="preserve">2170650816 </v>
      </c>
      <c r="G1142" s="10" t="str">
        <f t="shared" si="29"/>
        <v>ON1</v>
      </c>
      <c r="H1142" s="10" t="s">
        <v>21</v>
      </c>
      <c r="I1142" s="10" t="s">
        <v>161</v>
      </c>
      <c r="J1142" s="10" t="str">
        <f>""</f>
        <v/>
      </c>
      <c r="K1142" s="10" t="str">
        <f>"PFES1162646061_0001"</f>
        <v>PFES1162646061_0001</v>
      </c>
      <c r="L1142" s="10">
        <v>1</v>
      </c>
      <c r="M1142" s="10">
        <v>1</v>
      </c>
    </row>
    <row r="1143" spans="1:13">
      <c r="A1143" s="8">
        <v>43353</v>
      </c>
      <c r="B1143" s="9">
        <v>0.51736111111111105</v>
      </c>
      <c r="C1143" s="10" t="str">
        <f>"FES1162646150"</f>
        <v>FES1162646150</v>
      </c>
      <c r="D1143" s="10" t="s">
        <v>19</v>
      </c>
      <c r="E1143" s="10" t="s">
        <v>20</v>
      </c>
      <c r="F1143" s="10" t="str">
        <f>"2170647990 "</f>
        <v xml:space="preserve">2170647990 </v>
      </c>
      <c r="G1143" s="10" t="str">
        <f t="shared" si="29"/>
        <v>ON1</v>
      </c>
      <c r="H1143" s="10" t="s">
        <v>21</v>
      </c>
      <c r="I1143" s="10" t="s">
        <v>22</v>
      </c>
      <c r="J1143" s="10" t="str">
        <f>""</f>
        <v/>
      </c>
      <c r="K1143" s="10" t="str">
        <f>"PFES1162646150_0001"</f>
        <v>PFES1162646150_0001</v>
      </c>
      <c r="L1143" s="10">
        <v>1</v>
      </c>
      <c r="M1143" s="10">
        <v>1</v>
      </c>
    </row>
    <row r="1144" spans="1:13">
      <c r="A1144" s="8">
        <v>43353</v>
      </c>
      <c r="B1144" s="9">
        <v>0.47847222222222219</v>
      </c>
      <c r="C1144" s="10" t="str">
        <f>"FES1162646036"</f>
        <v>FES1162646036</v>
      </c>
      <c r="D1144" s="10" t="s">
        <v>19</v>
      </c>
      <c r="E1144" s="10" t="s">
        <v>120</v>
      </c>
      <c r="F1144" s="10" t="str">
        <f>"2170647827 "</f>
        <v xml:space="preserve">2170647827 </v>
      </c>
      <c r="G1144" s="10" t="str">
        <f t="shared" si="29"/>
        <v>ON1</v>
      </c>
      <c r="H1144" s="10" t="s">
        <v>21</v>
      </c>
      <c r="I1144" s="10" t="s">
        <v>66</v>
      </c>
      <c r="J1144" s="10" t="str">
        <f>""</f>
        <v/>
      </c>
      <c r="K1144" s="10" t="str">
        <f>"PFES1162646036_0001"</f>
        <v>PFES1162646036_0001</v>
      </c>
      <c r="L1144" s="10">
        <v>1</v>
      </c>
      <c r="M1144" s="10">
        <v>17</v>
      </c>
    </row>
    <row r="1145" spans="1:13">
      <c r="A1145" s="8">
        <v>43353</v>
      </c>
      <c r="B1145" s="9">
        <v>0.4770833333333333</v>
      </c>
      <c r="C1145" s="10" t="str">
        <f>"FES1162646077"</f>
        <v>FES1162646077</v>
      </c>
      <c r="D1145" s="10" t="s">
        <v>19</v>
      </c>
      <c r="E1145" s="10" t="s">
        <v>281</v>
      </c>
      <c r="F1145" s="10" t="str">
        <f>"2170650918 "</f>
        <v xml:space="preserve">2170650918 </v>
      </c>
      <c r="G1145" s="10" t="str">
        <f>"DBC"</f>
        <v>DBC</v>
      </c>
      <c r="H1145" s="10" t="s">
        <v>21</v>
      </c>
      <c r="I1145" s="10" t="s">
        <v>282</v>
      </c>
      <c r="J1145" s="10" t="str">
        <f>""</f>
        <v/>
      </c>
      <c r="K1145" s="10" t="str">
        <f>"PFES1162646077_0001"</f>
        <v>PFES1162646077_0001</v>
      </c>
      <c r="L1145" s="10">
        <v>2</v>
      </c>
      <c r="M1145" s="10">
        <v>38</v>
      </c>
    </row>
    <row r="1146" spans="1:13">
      <c r="A1146" s="8">
        <v>43353</v>
      </c>
      <c r="B1146" s="9">
        <v>0.4770833333333333</v>
      </c>
      <c r="C1146" s="10" t="str">
        <f>"FES1162646077"</f>
        <v>FES1162646077</v>
      </c>
      <c r="D1146" s="10" t="s">
        <v>19</v>
      </c>
      <c r="E1146" s="10" t="s">
        <v>281</v>
      </c>
      <c r="F1146" s="10" t="str">
        <f>"2170650918 "</f>
        <v xml:space="preserve">2170650918 </v>
      </c>
      <c r="G1146" s="10" t="str">
        <f>"DBC"</f>
        <v>DBC</v>
      </c>
      <c r="H1146" s="10" t="s">
        <v>21</v>
      </c>
      <c r="I1146" s="10" t="s">
        <v>282</v>
      </c>
      <c r="J1146" s="10"/>
      <c r="K1146" s="10" t="str">
        <f>"PFES1162646077_0002"</f>
        <v>PFES1162646077_0002</v>
      </c>
      <c r="L1146" s="10">
        <v>2</v>
      </c>
      <c r="M1146" s="10">
        <v>38</v>
      </c>
    </row>
    <row r="1147" spans="1:13">
      <c r="A1147" s="8">
        <v>43353</v>
      </c>
      <c r="B1147" s="9">
        <v>0.47569444444444442</v>
      </c>
      <c r="C1147" s="10" t="str">
        <f>"FES1162646062"</f>
        <v>FES1162646062</v>
      </c>
      <c r="D1147" s="10" t="s">
        <v>19</v>
      </c>
      <c r="E1147" s="10" t="s">
        <v>656</v>
      </c>
      <c r="F1147" s="10" t="str">
        <f>"2170650873 "</f>
        <v xml:space="preserve">2170650873 </v>
      </c>
      <c r="G1147" s="10" t="str">
        <f>"ON1"</f>
        <v>ON1</v>
      </c>
      <c r="H1147" s="10" t="s">
        <v>21</v>
      </c>
      <c r="I1147" s="10" t="s">
        <v>124</v>
      </c>
      <c r="J1147" s="10" t="str">
        <f>""</f>
        <v/>
      </c>
      <c r="K1147" s="10" t="str">
        <f>"PFES1162646062_0001"</f>
        <v>PFES1162646062_0001</v>
      </c>
      <c r="L1147" s="10">
        <v>1</v>
      </c>
      <c r="M1147" s="10">
        <v>10</v>
      </c>
    </row>
    <row r="1148" spans="1:13">
      <c r="A1148" s="8">
        <v>43353</v>
      </c>
      <c r="B1148" s="9">
        <v>0.47013888888888888</v>
      </c>
      <c r="C1148" s="10" t="str">
        <f>"FES1162646243"</f>
        <v>FES1162646243</v>
      </c>
      <c r="D1148" s="10" t="s">
        <v>19</v>
      </c>
      <c r="E1148" s="10" t="s">
        <v>123</v>
      </c>
      <c r="F1148" s="10" t="str">
        <f>"2170651001 "</f>
        <v xml:space="preserve">2170651001 </v>
      </c>
      <c r="G1148" s="10" t="str">
        <f>"SDX"</f>
        <v>SDX</v>
      </c>
      <c r="H1148" s="10" t="s">
        <v>21</v>
      </c>
      <c r="I1148" s="10" t="s">
        <v>124</v>
      </c>
      <c r="J1148" s="10" t="str">
        <f>"SDX"</f>
        <v>SDX</v>
      </c>
      <c r="K1148" s="10" t="str">
        <f>"PFES1162646243_0001"</f>
        <v>PFES1162646243_0001</v>
      </c>
      <c r="L1148" s="10">
        <v>1</v>
      </c>
      <c r="M1148" s="10">
        <v>1</v>
      </c>
    </row>
    <row r="1149" spans="1:13">
      <c r="A1149" s="8">
        <v>43353</v>
      </c>
      <c r="B1149" s="9">
        <v>0.46875</v>
      </c>
      <c r="C1149" s="10" t="str">
        <f>"FES1162646035"</f>
        <v>FES1162646035</v>
      </c>
      <c r="D1149" s="10" t="s">
        <v>19</v>
      </c>
      <c r="E1149" s="10" t="s">
        <v>120</v>
      </c>
      <c r="F1149" s="10" t="str">
        <f>"2170647824 "</f>
        <v xml:space="preserve">2170647824 </v>
      </c>
      <c r="G1149" s="10" t="str">
        <f>"ON1"</f>
        <v>ON1</v>
      </c>
      <c r="H1149" s="10" t="s">
        <v>21</v>
      </c>
      <c r="I1149" s="10" t="s">
        <v>66</v>
      </c>
      <c r="J1149" s="10" t="str">
        <f>""</f>
        <v/>
      </c>
      <c r="K1149" s="10" t="str">
        <f>"PFES1162646035_0001"</f>
        <v>PFES1162646035_0001</v>
      </c>
      <c r="L1149" s="10">
        <v>1</v>
      </c>
      <c r="M1149" s="10">
        <v>3</v>
      </c>
    </row>
    <row r="1150" spans="1:13">
      <c r="A1150" s="8">
        <v>43354</v>
      </c>
      <c r="B1150" s="9">
        <v>0.6875</v>
      </c>
      <c r="C1150" s="10" t="str">
        <f>"FES1162646677"</f>
        <v>FES1162646677</v>
      </c>
      <c r="D1150" s="10" t="s">
        <v>19</v>
      </c>
      <c r="E1150" s="10" t="s">
        <v>546</v>
      </c>
      <c r="F1150" s="10" t="str">
        <f>"2170651352 "</f>
        <v xml:space="preserve">2170651352 </v>
      </c>
      <c r="G1150" s="10" t="str">
        <f t="shared" ref="G1150:G1163" si="30">"ON1"</f>
        <v>ON1</v>
      </c>
      <c r="H1150" s="10" t="s">
        <v>21</v>
      </c>
      <c r="I1150" s="10" t="s">
        <v>246</v>
      </c>
      <c r="J1150" s="10" t="str">
        <f>""</f>
        <v/>
      </c>
      <c r="K1150" s="10" t="str">
        <f>"PFES1162646677_0001"</f>
        <v>PFES1162646677_0001</v>
      </c>
      <c r="L1150" s="10">
        <v>1</v>
      </c>
      <c r="M1150" s="10">
        <v>1</v>
      </c>
    </row>
    <row r="1151" spans="1:13">
      <c r="A1151" s="8">
        <v>43354</v>
      </c>
      <c r="B1151" s="9">
        <v>0.6875</v>
      </c>
      <c r="C1151" s="10" t="str">
        <f>"FES1162646719"</f>
        <v>FES1162646719</v>
      </c>
      <c r="D1151" s="10" t="s">
        <v>19</v>
      </c>
      <c r="E1151" s="10" t="s">
        <v>570</v>
      </c>
      <c r="F1151" s="10" t="str">
        <f>"2170650543 "</f>
        <v xml:space="preserve">2170650543 </v>
      </c>
      <c r="G1151" s="10" t="str">
        <f t="shared" si="30"/>
        <v>ON1</v>
      </c>
      <c r="H1151" s="10" t="s">
        <v>21</v>
      </c>
      <c r="I1151" s="10" t="s">
        <v>571</v>
      </c>
      <c r="J1151" s="10" t="str">
        <f>""</f>
        <v/>
      </c>
      <c r="K1151" s="10" t="str">
        <f>"PFES1162646719_0001"</f>
        <v>PFES1162646719_0001</v>
      </c>
      <c r="L1151" s="10">
        <v>1</v>
      </c>
      <c r="M1151" s="10">
        <v>1</v>
      </c>
    </row>
    <row r="1152" spans="1:13">
      <c r="A1152" s="8">
        <v>43354</v>
      </c>
      <c r="B1152" s="9">
        <v>0.68680555555555556</v>
      </c>
      <c r="C1152" s="10" t="str">
        <f>"FES1162646708"</f>
        <v>FES1162646708</v>
      </c>
      <c r="D1152" s="10" t="s">
        <v>19</v>
      </c>
      <c r="E1152" s="10" t="s">
        <v>515</v>
      </c>
      <c r="F1152" s="10" t="str">
        <f>"2170651382 "</f>
        <v xml:space="preserve">2170651382 </v>
      </c>
      <c r="G1152" s="10" t="str">
        <f t="shared" si="30"/>
        <v>ON1</v>
      </c>
      <c r="H1152" s="10" t="s">
        <v>21</v>
      </c>
      <c r="I1152" s="10" t="s">
        <v>516</v>
      </c>
      <c r="J1152" s="10" t="str">
        <f>""</f>
        <v/>
      </c>
      <c r="K1152" s="10" t="str">
        <f>"PFES1162646708_0001"</f>
        <v>PFES1162646708_0001</v>
      </c>
      <c r="L1152" s="10">
        <v>1</v>
      </c>
      <c r="M1152" s="10">
        <v>1</v>
      </c>
    </row>
    <row r="1153" spans="1:13">
      <c r="A1153" s="8">
        <v>43354</v>
      </c>
      <c r="B1153" s="9">
        <v>0.68680555555555556</v>
      </c>
      <c r="C1153" s="10" t="str">
        <f>"FES1162646735"</f>
        <v>FES1162646735</v>
      </c>
      <c r="D1153" s="10" t="s">
        <v>19</v>
      </c>
      <c r="E1153" s="10" t="s">
        <v>701</v>
      </c>
      <c r="F1153" s="10" t="str">
        <f>"2170651412 "</f>
        <v xml:space="preserve">2170651412 </v>
      </c>
      <c r="G1153" s="10" t="str">
        <f t="shared" si="30"/>
        <v>ON1</v>
      </c>
      <c r="H1153" s="10" t="s">
        <v>21</v>
      </c>
      <c r="I1153" s="10" t="s">
        <v>126</v>
      </c>
      <c r="J1153" s="10" t="str">
        <f>""</f>
        <v/>
      </c>
      <c r="K1153" s="10" t="str">
        <f>"PFES1162646735_0001"</f>
        <v>PFES1162646735_0001</v>
      </c>
      <c r="L1153" s="10">
        <v>1</v>
      </c>
      <c r="M1153" s="10">
        <v>1</v>
      </c>
    </row>
    <row r="1154" spans="1:13">
      <c r="A1154" s="8">
        <v>43354</v>
      </c>
      <c r="B1154" s="9">
        <v>0.68680555555555556</v>
      </c>
      <c r="C1154" s="10" t="str">
        <f>"FES1162646397"</f>
        <v>FES1162646397</v>
      </c>
      <c r="D1154" s="10" t="s">
        <v>19</v>
      </c>
      <c r="E1154" s="10" t="s">
        <v>648</v>
      </c>
      <c r="F1154" s="10" t="str">
        <f>"2170646940 "</f>
        <v xml:space="preserve">2170646940 </v>
      </c>
      <c r="G1154" s="10" t="str">
        <f t="shared" si="30"/>
        <v>ON1</v>
      </c>
      <c r="H1154" s="10" t="s">
        <v>21</v>
      </c>
      <c r="I1154" s="10" t="s">
        <v>290</v>
      </c>
      <c r="J1154" s="10" t="str">
        <f>""</f>
        <v/>
      </c>
      <c r="K1154" s="10" t="str">
        <f>"PFES1162646397_0001"</f>
        <v>PFES1162646397_0001</v>
      </c>
      <c r="L1154" s="10">
        <v>1</v>
      </c>
      <c r="M1154" s="10">
        <v>2</v>
      </c>
    </row>
    <row r="1155" spans="1:13">
      <c r="A1155" s="8">
        <v>43354</v>
      </c>
      <c r="B1155" s="9">
        <v>0.68611111111111101</v>
      </c>
      <c r="C1155" s="10" t="str">
        <f>"FES1162646666"</f>
        <v>FES1162646666</v>
      </c>
      <c r="D1155" s="10" t="s">
        <v>19</v>
      </c>
      <c r="E1155" s="10" t="s">
        <v>615</v>
      </c>
      <c r="F1155" s="10" t="str">
        <f>"2170651342 "</f>
        <v xml:space="preserve">2170651342 </v>
      </c>
      <c r="G1155" s="10" t="str">
        <f t="shared" si="30"/>
        <v>ON1</v>
      </c>
      <c r="H1155" s="10" t="s">
        <v>21</v>
      </c>
      <c r="I1155" s="10" t="s">
        <v>57</v>
      </c>
      <c r="J1155" s="10" t="str">
        <f>""</f>
        <v/>
      </c>
      <c r="K1155" s="10" t="str">
        <f>"PFES1162646666_0001"</f>
        <v>PFES1162646666_0001</v>
      </c>
      <c r="L1155" s="10">
        <v>1</v>
      </c>
      <c r="M1155" s="10">
        <v>1</v>
      </c>
    </row>
    <row r="1156" spans="1:13">
      <c r="A1156" s="8">
        <v>43354</v>
      </c>
      <c r="B1156" s="9">
        <v>0.68611111111111101</v>
      </c>
      <c r="C1156" s="10" t="str">
        <f>"FES1162646615"</f>
        <v>FES1162646615</v>
      </c>
      <c r="D1156" s="10" t="s">
        <v>19</v>
      </c>
      <c r="E1156" s="10" t="s">
        <v>101</v>
      </c>
      <c r="F1156" s="10" t="str">
        <f>"2170651276 "</f>
        <v xml:space="preserve">2170651276 </v>
      </c>
      <c r="G1156" s="10" t="str">
        <f t="shared" si="30"/>
        <v>ON1</v>
      </c>
      <c r="H1156" s="10" t="s">
        <v>21</v>
      </c>
      <c r="I1156" s="10" t="s">
        <v>102</v>
      </c>
      <c r="J1156" s="10" t="str">
        <f>""</f>
        <v/>
      </c>
      <c r="K1156" s="10" t="str">
        <f>"PFES1162646615_0001"</f>
        <v>PFES1162646615_0001</v>
      </c>
      <c r="L1156" s="10">
        <v>1</v>
      </c>
      <c r="M1156" s="10">
        <v>1</v>
      </c>
    </row>
    <row r="1157" spans="1:13">
      <c r="A1157" s="8">
        <v>43354</v>
      </c>
      <c r="B1157" s="9">
        <v>0.68611111111111101</v>
      </c>
      <c r="C1157" s="10" t="str">
        <f>"FES1162646732"</f>
        <v>FES1162646732</v>
      </c>
      <c r="D1157" s="10" t="s">
        <v>19</v>
      </c>
      <c r="E1157" s="10" t="s">
        <v>251</v>
      </c>
      <c r="F1157" s="10" t="str">
        <f>"2170651409 "</f>
        <v xml:space="preserve">2170651409 </v>
      </c>
      <c r="G1157" s="10" t="str">
        <f t="shared" si="30"/>
        <v>ON1</v>
      </c>
      <c r="H1157" s="10" t="s">
        <v>21</v>
      </c>
      <c r="I1157" s="10" t="s">
        <v>252</v>
      </c>
      <c r="J1157" s="10" t="str">
        <f>""</f>
        <v/>
      </c>
      <c r="K1157" s="10" t="str">
        <f>"PFES1162646732_0001"</f>
        <v>PFES1162646732_0001</v>
      </c>
      <c r="L1157" s="10">
        <v>1</v>
      </c>
      <c r="M1157" s="10">
        <v>1</v>
      </c>
    </row>
    <row r="1158" spans="1:13">
      <c r="A1158" s="8">
        <v>43354</v>
      </c>
      <c r="B1158" s="9">
        <v>0.68541666666666667</v>
      </c>
      <c r="C1158" s="10" t="str">
        <f>"FES1162646584"</f>
        <v>FES1162646584</v>
      </c>
      <c r="D1158" s="10" t="s">
        <v>19</v>
      </c>
      <c r="E1158" s="10" t="s">
        <v>268</v>
      </c>
      <c r="F1158" s="10" t="str">
        <f>"2170649305 "</f>
        <v xml:space="preserve">2170649305 </v>
      </c>
      <c r="G1158" s="10" t="str">
        <f t="shared" si="30"/>
        <v>ON1</v>
      </c>
      <c r="H1158" s="10" t="s">
        <v>21</v>
      </c>
      <c r="I1158" s="10" t="s">
        <v>269</v>
      </c>
      <c r="J1158" s="10" t="str">
        <f>""</f>
        <v/>
      </c>
      <c r="K1158" s="10" t="str">
        <f>"PFES1162646584_0001"</f>
        <v>PFES1162646584_0001</v>
      </c>
      <c r="L1158" s="10">
        <v>1</v>
      </c>
      <c r="M1158" s="10">
        <v>3</v>
      </c>
    </row>
    <row r="1159" spans="1:13">
      <c r="A1159" s="8">
        <v>43354</v>
      </c>
      <c r="B1159" s="9">
        <v>0.68541666666666667</v>
      </c>
      <c r="C1159" s="10" t="str">
        <f>"FES1162646702"</f>
        <v>FES1162646702</v>
      </c>
      <c r="D1159" s="10" t="s">
        <v>19</v>
      </c>
      <c r="E1159" s="10" t="s">
        <v>702</v>
      </c>
      <c r="F1159" s="10" t="str">
        <f>"2170651375 "</f>
        <v xml:space="preserve">2170651375 </v>
      </c>
      <c r="G1159" s="10" t="str">
        <f t="shared" si="30"/>
        <v>ON1</v>
      </c>
      <c r="H1159" s="10" t="s">
        <v>21</v>
      </c>
      <c r="I1159" s="10" t="s">
        <v>57</v>
      </c>
      <c r="J1159" s="10" t="str">
        <f>""</f>
        <v/>
      </c>
      <c r="K1159" s="10" t="str">
        <f>"PFES1162646702_0001"</f>
        <v>PFES1162646702_0001</v>
      </c>
      <c r="L1159" s="10">
        <v>1</v>
      </c>
      <c r="M1159" s="10">
        <v>3</v>
      </c>
    </row>
    <row r="1160" spans="1:13">
      <c r="A1160" s="8">
        <v>43354</v>
      </c>
      <c r="B1160" s="9">
        <v>0.68541666666666667</v>
      </c>
      <c r="C1160" s="10" t="str">
        <f>"FES1162646724"</f>
        <v>FES1162646724</v>
      </c>
      <c r="D1160" s="10" t="s">
        <v>19</v>
      </c>
      <c r="E1160" s="10" t="s">
        <v>549</v>
      </c>
      <c r="F1160" s="10" t="str">
        <f>"2170651314 "</f>
        <v xml:space="preserve">2170651314 </v>
      </c>
      <c r="G1160" s="10" t="str">
        <f t="shared" si="30"/>
        <v>ON1</v>
      </c>
      <c r="H1160" s="10" t="s">
        <v>21</v>
      </c>
      <c r="I1160" s="10" t="s">
        <v>703</v>
      </c>
      <c r="J1160" s="10" t="str">
        <f>""</f>
        <v/>
      </c>
      <c r="K1160" s="10" t="str">
        <f>"PFES1162646724_0001"</f>
        <v>PFES1162646724_0001</v>
      </c>
      <c r="L1160" s="10">
        <v>1</v>
      </c>
      <c r="M1160" s="10">
        <v>4</v>
      </c>
    </row>
    <row r="1161" spans="1:13">
      <c r="A1161" s="8">
        <v>43354</v>
      </c>
      <c r="B1161" s="9">
        <v>0.68472222222222223</v>
      </c>
      <c r="C1161" s="10" t="str">
        <f>"FES1162646743"</f>
        <v>FES1162646743</v>
      </c>
      <c r="D1161" s="10" t="s">
        <v>19</v>
      </c>
      <c r="E1161" s="10" t="s">
        <v>704</v>
      </c>
      <c r="F1161" s="10" t="str">
        <f>"2170650763 "</f>
        <v xml:space="preserve">2170650763 </v>
      </c>
      <c r="G1161" s="10" t="str">
        <f t="shared" si="30"/>
        <v>ON1</v>
      </c>
      <c r="H1161" s="10" t="s">
        <v>21</v>
      </c>
      <c r="I1161" s="10" t="s">
        <v>525</v>
      </c>
      <c r="J1161" s="10" t="str">
        <f>""</f>
        <v/>
      </c>
      <c r="K1161" s="10" t="str">
        <f>"PFES1162646743_0001"</f>
        <v>PFES1162646743_0001</v>
      </c>
      <c r="L1161" s="10">
        <v>1</v>
      </c>
      <c r="M1161" s="10">
        <v>3</v>
      </c>
    </row>
    <row r="1162" spans="1:13">
      <c r="A1162" s="8">
        <v>43354</v>
      </c>
      <c r="B1162" s="9">
        <v>0.68472222222222223</v>
      </c>
      <c r="C1162" s="10" t="str">
        <f>"FES1162646049"</f>
        <v>FES1162646049</v>
      </c>
      <c r="D1162" s="10" t="s">
        <v>19</v>
      </c>
      <c r="E1162" s="10" t="s">
        <v>623</v>
      </c>
      <c r="F1162" s="10" t="str">
        <f>"217069779 "</f>
        <v xml:space="preserve">217069779 </v>
      </c>
      <c r="G1162" s="10" t="str">
        <f t="shared" si="30"/>
        <v>ON1</v>
      </c>
      <c r="H1162" s="10" t="s">
        <v>21</v>
      </c>
      <c r="I1162" s="10" t="s">
        <v>100</v>
      </c>
      <c r="J1162" s="10" t="str">
        <f>""</f>
        <v/>
      </c>
      <c r="K1162" s="10" t="str">
        <f>"PFES1162646049_0001"</f>
        <v>PFES1162646049_0001</v>
      </c>
      <c r="L1162" s="10">
        <v>1</v>
      </c>
      <c r="M1162" s="10">
        <v>3</v>
      </c>
    </row>
    <row r="1163" spans="1:13">
      <c r="A1163" s="8">
        <v>43354</v>
      </c>
      <c r="B1163" s="9">
        <v>0.68472222222222223</v>
      </c>
      <c r="C1163" s="10" t="str">
        <f>"FES1162646502"</f>
        <v>FES1162646502</v>
      </c>
      <c r="D1163" s="10" t="s">
        <v>19</v>
      </c>
      <c r="E1163" s="10" t="s">
        <v>573</v>
      </c>
      <c r="F1163" s="10" t="str">
        <f>"2170649073 "</f>
        <v xml:space="preserve">2170649073 </v>
      </c>
      <c r="G1163" s="10" t="str">
        <f t="shared" si="30"/>
        <v>ON1</v>
      </c>
      <c r="H1163" s="10" t="s">
        <v>21</v>
      </c>
      <c r="I1163" s="10" t="s">
        <v>105</v>
      </c>
      <c r="J1163" s="10" t="str">
        <f>""</f>
        <v/>
      </c>
      <c r="K1163" s="10" t="str">
        <f>"PFES1162646502_0001"</f>
        <v>PFES1162646502_0001</v>
      </c>
      <c r="L1163" s="10">
        <v>1</v>
      </c>
      <c r="M1163" s="10">
        <v>14</v>
      </c>
    </row>
    <row r="1164" spans="1:13">
      <c r="A1164" s="8">
        <v>43354</v>
      </c>
      <c r="B1164" s="9">
        <v>0.68402777777777779</v>
      </c>
      <c r="C1164" s="10" t="str">
        <f>"FES1162646429"</f>
        <v>FES1162646429</v>
      </c>
      <c r="D1164" s="10" t="s">
        <v>19</v>
      </c>
      <c r="E1164" s="10" t="s">
        <v>705</v>
      </c>
      <c r="F1164" s="10" t="str">
        <f>"2170650049 "</f>
        <v xml:space="preserve">2170650049 </v>
      </c>
      <c r="G1164" s="10" t="str">
        <f>"DBC"</f>
        <v>DBC</v>
      </c>
      <c r="H1164" s="10" t="s">
        <v>21</v>
      </c>
      <c r="I1164" s="10" t="s">
        <v>370</v>
      </c>
      <c r="J1164" s="10" t="str">
        <f>""</f>
        <v/>
      </c>
      <c r="K1164" s="10" t="str">
        <f>"PFES1162646429_0001"</f>
        <v>PFES1162646429_0001</v>
      </c>
      <c r="L1164" s="10">
        <v>1</v>
      </c>
      <c r="M1164" s="10">
        <v>3</v>
      </c>
    </row>
    <row r="1165" spans="1:13">
      <c r="A1165" s="8">
        <v>43354</v>
      </c>
      <c r="B1165" s="9">
        <v>0.68402777777777779</v>
      </c>
      <c r="C1165" s="10" t="str">
        <f>"FES1162646461"</f>
        <v>FES1162646461</v>
      </c>
      <c r="D1165" s="10" t="s">
        <v>19</v>
      </c>
      <c r="E1165" s="10" t="s">
        <v>181</v>
      </c>
      <c r="F1165" s="10" t="str">
        <f>"2170651176 "</f>
        <v xml:space="preserve">2170651176 </v>
      </c>
      <c r="G1165" s="10" t="str">
        <f>"ON2"</f>
        <v>ON2</v>
      </c>
      <c r="H1165" s="10" t="s">
        <v>21</v>
      </c>
      <c r="I1165" s="10" t="s">
        <v>24</v>
      </c>
      <c r="J1165" s="10" t="str">
        <f>"FRAGILE OIL"</f>
        <v>FRAGILE OIL</v>
      </c>
      <c r="K1165" s="10" t="str">
        <f>"PFES1162646461_0001"</f>
        <v>PFES1162646461_0001</v>
      </c>
      <c r="L1165" s="10">
        <v>1</v>
      </c>
      <c r="M1165" s="10">
        <v>4</v>
      </c>
    </row>
    <row r="1166" spans="1:13">
      <c r="A1166" s="8">
        <v>43354</v>
      </c>
      <c r="B1166" s="9">
        <v>0.68402777777777779</v>
      </c>
      <c r="C1166" s="10" t="str">
        <f>"FES1162646653"</f>
        <v>FES1162646653</v>
      </c>
      <c r="D1166" s="10" t="s">
        <v>19</v>
      </c>
      <c r="E1166" s="10" t="s">
        <v>153</v>
      </c>
      <c r="F1166" s="10" t="str">
        <f>"2170615325 "</f>
        <v xml:space="preserve">2170615325 </v>
      </c>
      <c r="G1166" s="10" t="str">
        <f>"ON1"</f>
        <v>ON1</v>
      </c>
      <c r="H1166" s="10" t="s">
        <v>21</v>
      </c>
      <c r="I1166" s="10" t="s">
        <v>154</v>
      </c>
      <c r="J1166" s="10" t="str">
        <f>""</f>
        <v/>
      </c>
      <c r="K1166" s="10" t="str">
        <f>"PFES1162646653_0001"</f>
        <v>PFES1162646653_0001</v>
      </c>
      <c r="L1166" s="10">
        <v>1</v>
      </c>
      <c r="M1166" s="10">
        <v>4</v>
      </c>
    </row>
    <row r="1167" spans="1:13">
      <c r="A1167" s="8">
        <v>43354</v>
      </c>
      <c r="B1167" s="9">
        <v>0.68333333333333324</v>
      </c>
      <c r="C1167" s="10" t="str">
        <f>"FES1162646483"</f>
        <v>FES1162646483</v>
      </c>
      <c r="D1167" s="10" t="s">
        <v>19</v>
      </c>
      <c r="E1167" s="10" t="s">
        <v>190</v>
      </c>
      <c r="F1167" s="10" t="str">
        <f>"2170644864 "</f>
        <v xml:space="preserve">2170644864 </v>
      </c>
      <c r="G1167" s="10" t="str">
        <f>"ON1"</f>
        <v>ON1</v>
      </c>
      <c r="H1167" s="10" t="s">
        <v>21</v>
      </c>
      <c r="I1167" s="10" t="s">
        <v>191</v>
      </c>
      <c r="J1167" s="10" t="str">
        <f>""</f>
        <v/>
      </c>
      <c r="K1167" s="10" t="str">
        <f>"PFES1162646483_0001"</f>
        <v>PFES1162646483_0001</v>
      </c>
      <c r="L1167" s="10">
        <v>1</v>
      </c>
      <c r="M1167" s="10">
        <v>4</v>
      </c>
    </row>
    <row r="1168" spans="1:13">
      <c r="A1168" s="8">
        <v>43354</v>
      </c>
      <c r="B1168" s="9">
        <v>0.68333333333333324</v>
      </c>
      <c r="C1168" s="10" t="str">
        <f>"FES1162646446"</f>
        <v>FES1162646446</v>
      </c>
      <c r="D1168" s="10" t="s">
        <v>19</v>
      </c>
      <c r="E1168" s="10" t="s">
        <v>705</v>
      </c>
      <c r="F1168" s="10" t="str">
        <f>"2170650906 "</f>
        <v xml:space="preserve">2170650906 </v>
      </c>
      <c r="G1168" s="10" t="str">
        <f>"DBC"</f>
        <v>DBC</v>
      </c>
      <c r="H1168" s="10" t="s">
        <v>21</v>
      </c>
      <c r="I1168" s="10" t="s">
        <v>370</v>
      </c>
      <c r="J1168" s="10" t="str">
        <f>""</f>
        <v/>
      </c>
      <c r="K1168" s="10" t="str">
        <f>"PFES1162646446_0001"</f>
        <v>PFES1162646446_0001</v>
      </c>
      <c r="L1168" s="10">
        <v>1</v>
      </c>
      <c r="M1168" s="10">
        <v>3</v>
      </c>
    </row>
    <row r="1169" spans="1:13">
      <c r="A1169" s="8">
        <v>43354</v>
      </c>
      <c r="B1169" s="9">
        <v>0.68333333333333324</v>
      </c>
      <c r="C1169" s="10" t="str">
        <f>"FES1162646657"</f>
        <v>FES1162646657</v>
      </c>
      <c r="D1169" s="10" t="s">
        <v>19</v>
      </c>
      <c r="E1169" s="10" t="s">
        <v>141</v>
      </c>
      <c r="F1169" s="10" t="str">
        <f>"2170650824 "</f>
        <v xml:space="preserve">2170650824 </v>
      </c>
      <c r="G1169" s="10" t="str">
        <f t="shared" ref="G1169:G1189" si="31">"ON1"</f>
        <v>ON1</v>
      </c>
      <c r="H1169" s="10" t="s">
        <v>21</v>
      </c>
      <c r="I1169" s="10" t="s">
        <v>91</v>
      </c>
      <c r="J1169" s="10" t="str">
        <f>""</f>
        <v/>
      </c>
      <c r="K1169" s="10" t="str">
        <f>"PFES1162646657_0001"</f>
        <v>PFES1162646657_0001</v>
      </c>
      <c r="L1169" s="10">
        <v>1</v>
      </c>
      <c r="M1169" s="10">
        <v>7</v>
      </c>
    </row>
    <row r="1170" spans="1:13">
      <c r="A1170" s="8">
        <v>43354</v>
      </c>
      <c r="B1170" s="9">
        <v>0.6791666666666667</v>
      </c>
      <c r="C1170" s="10" t="str">
        <f>"FES1162646745"</f>
        <v>FES1162646745</v>
      </c>
      <c r="D1170" s="10" t="s">
        <v>19</v>
      </c>
      <c r="E1170" s="10" t="s">
        <v>359</v>
      </c>
      <c r="F1170" s="10" t="str">
        <f>"2170651194 "</f>
        <v xml:space="preserve">2170651194 </v>
      </c>
      <c r="G1170" s="10" t="str">
        <f t="shared" si="31"/>
        <v>ON1</v>
      </c>
      <c r="H1170" s="10" t="s">
        <v>21</v>
      </c>
      <c r="I1170" s="10" t="s">
        <v>87</v>
      </c>
      <c r="J1170" s="10" t="str">
        <f>""</f>
        <v/>
      </c>
      <c r="K1170" s="10" t="str">
        <f>"PFES1162646745_0001"</f>
        <v>PFES1162646745_0001</v>
      </c>
      <c r="L1170" s="10">
        <v>1</v>
      </c>
      <c r="M1170" s="10">
        <v>1</v>
      </c>
    </row>
    <row r="1171" spans="1:13">
      <c r="A1171" s="8">
        <v>43354</v>
      </c>
      <c r="B1171" s="9">
        <v>0.6791666666666667</v>
      </c>
      <c r="C1171" s="10" t="str">
        <f>"FES1162646557"</f>
        <v>FES1162646557</v>
      </c>
      <c r="D1171" s="10" t="s">
        <v>19</v>
      </c>
      <c r="E1171" s="10" t="s">
        <v>37</v>
      </c>
      <c r="F1171" s="10" t="str">
        <f>"2170654559 "</f>
        <v xml:space="preserve">2170654559 </v>
      </c>
      <c r="G1171" s="10" t="str">
        <f t="shared" si="31"/>
        <v>ON1</v>
      </c>
      <c r="H1171" s="10" t="s">
        <v>21</v>
      </c>
      <c r="I1171" s="10" t="s">
        <v>26</v>
      </c>
      <c r="J1171" s="10" t="str">
        <f>""</f>
        <v/>
      </c>
      <c r="K1171" s="10" t="str">
        <f>"PFES1162646557_0001"</f>
        <v>PFES1162646557_0001</v>
      </c>
      <c r="L1171" s="10">
        <v>1</v>
      </c>
      <c r="M1171" s="10">
        <v>1</v>
      </c>
    </row>
    <row r="1172" spans="1:13">
      <c r="A1172" s="8">
        <v>43354</v>
      </c>
      <c r="B1172" s="9">
        <v>0.67847222222222225</v>
      </c>
      <c r="C1172" s="10" t="str">
        <f>"FES1162646566"</f>
        <v>FES1162646566</v>
      </c>
      <c r="D1172" s="10" t="s">
        <v>19</v>
      </c>
      <c r="E1172" s="10" t="s">
        <v>706</v>
      </c>
      <c r="F1172" s="10" t="str">
        <f>"21706584833 "</f>
        <v xml:space="preserve">21706584833 </v>
      </c>
      <c r="G1172" s="10" t="str">
        <f t="shared" si="31"/>
        <v>ON1</v>
      </c>
      <c r="H1172" s="10" t="s">
        <v>21</v>
      </c>
      <c r="I1172" s="10" t="s">
        <v>171</v>
      </c>
      <c r="J1172" s="10" t="str">
        <f>""</f>
        <v/>
      </c>
      <c r="K1172" s="10" t="str">
        <f>"PFES1162646566_0001"</f>
        <v>PFES1162646566_0001</v>
      </c>
      <c r="L1172" s="10">
        <v>1</v>
      </c>
      <c r="M1172" s="10">
        <v>1</v>
      </c>
    </row>
    <row r="1173" spans="1:13">
      <c r="A1173" s="8">
        <v>43354</v>
      </c>
      <c r="B1173" s="9">
        <v>0.67847222222222225</v>
      </c>
      <c r="C1173" s="10" t="str">
        <f>"FES1162646515"</f>
        <v>FES1162646515</v>
      </c>
      <c r="D1173" s="10" t="s">
        <v>19</v>
      </c>
      <c r="E1173" s="10" t="s">
        <v>104</v>
      </c>
      <c r="F1173" s="10" t="str">
        <f>"2170651219 "</f>
        <v xml:space="preserve">2170651219 </v>
      </c>
      <c r="G1173" s="10" t="str">
        <f t="shared" si="31"/>
        <v>ON1</v>
      </c>
      <c r="H1173" s="10" t="s">
        <v>21</v>
      </c>
      <c r="I1173" s="10" t="s">
        <v>105</v>
      </c>
      <c r="J1173" s="10" t="str">
        <f>""</f>
        <v/>
      </c>
      <c r="K1173" s="10" t="str">
        <f>"PFES1162646515_0001"</f>
        <v>PFES1162646515_0001</v>
      </c>
      <c r="L1173" s="10">
        <v>1</v>
      </c>
      <c r="M1173" s="10">
        <v>1</v>
      </c>
    </row>
    <row r="1174" spans="1:13">
      <c r="A1174" s="8">
        <v>43354</v>
      </c>
      <c r="B1174" s="9">
        <v>0.67847222222222225</v>
      </c>
      <c r="C1174" s="10" t="str">
        <f>"FES1162646744"</f>
        <v>FES1162646744</v>
      </c>
      <c r="D1174" s="10" t="s">
        <v>19</v>
      </c>
      <c r="E1174" s="10" t="s">
        <v>707</v>
      </c>
      <c r="F1174" s="10" t="str">
        <f>"2170651415 "</f>
        <v xml:space="preserve">2170651415 </v>
      </c>
      <c r="G1174" s="10" t="str">
        <f t="shared" si="31"/>
        <v>ON1</v>
      </c>
      <c r="H1174" s="10" t="s">
        <v>21</v>
      </c>
      <c r="I1174" s="10" t="s">
        <v>557</v>
      </c>
      <c r="J1174" s="10" t="str">
        <f>""</f>
        <v/>
      </c>
      <c r="K1174" s="10" t="str">
        <f>"PFES1162646744_0001"</f>
        <v>PFES1162646744_0001</v>
      </c>
      <c r="L1174" s="10">
        <v>1</v>
      </c>
      <c r="M1174" s="10">
        <v>1</v>
      </c>
    </row>
    <row r="1175" spans="1:13">
      <c r="A1175" s="8">
        <v>43354</v>
      </c>
      <c r="B1175" s="9">
        <v>0.6777777777777777</v>
      </c>
      <c r="C1175" s="10" t="str">
        <f>"FES1162646742"</f>
        <v>FES1162646742</v>
      </c>
      <c r="D1175" s="10" t="s">
        <v>19</v>
      </c>
      <c r="E1175" s="10" t="s">
        <v>359</v>
      </c>
      <c r="F1175" s="10" t="str">
        <f>"2170651166 "</f>
        <v xml:space="preserve">2170651166 </v>
      </c>
      <c r="G1175" s="10" t="str">
        <f t="shared" si="31"/>
        <v>ON1</v>
      </c>
      <c r="H1175" s="10" t="s">
        <v>21</v>
      </c>
      <c r="I1175" s="10" t="s">
        <v>87</v>
      </c>
      <c r="J1175" s="10" t="str">
        <f>""</f>
        <v/>
      </c>
      <c r="K1175" s="10" t="str">
        <f>"PFES1162646742_0001"</f>
        <v>PFES1162646742_0001</v>
      </c>
      <c r="L1175" s="10">
        <v>1</v>
      </c>
      <c r="M1175" s="10">
        <v>1</v>
      </c>
    </row>
    <row r="1176" spans="1:13">
      <c r="A1176" s="8">
        <v>43354</v>
      </c>
      <c r="B1176" s="9">
        <v>0.6777777777777777</v>
      </c>
      <c r="C1176" s="10" t="str">
        <f>"FES1162646738"</f>
        <v>FES1162646738</v>
      </c>
      <c r="D1176" s="10" t="s">
        <v>19</v>
      </c>
      <c r="E1176" s="10" t="s">
        <v>251</v>
      </c>
      <c r="F1176" s="10" t="str">
        <f>"2170650963 "</f>
        <v xml:space="preserve">2170650963 </v>
      </c>
      <c r="G1176" s="10" t="str">
        <f t="shared" si="31"/>
        <v>ON1</v>
      </c>
      <c r="H1176" s="10" t="s">
        <v>21</v>
      </c>
      <c r="I1176" s="10" t="s">
        <v>252</v>
      </c>
      <c r="J1176" s="10" t="str">
        <f>""</f>
        <v/>
      </c>
      <c r="K1176" s="10" t="str">
        <f>"PFES1162646738_0001"</f>
        <v>PFES1162646738_0001</v>
      </c>
      <c r="L1176" s="10">
        <v>1</v>
      </c>
      <c r="M1176" s="10">
        <v>1</v>
      </c>
    </row>
    <row r="1177" spans="1:13">
      <c r="A1177" s="8">
        <v>43354</v>
      </c>
      <c r="B1177" s="9">
        <v>0.6777777777777777</v>
      </c>
      <c r="C1177" s="10" t="str">
        <f>"FES1162646441"</f>
        <v>FES1162646441</v>
      </c>
      <c r="D1177" s="10" t="s">
        <v>19</v>
      </c>
      <c r="E1177" s="10" t="s">
        <v>224</v>
      </c>
      <c r="F1177" s="10" t="str">
        <f>"2170650731 "</f>
        <v xml:space="preserve">2170650731 </v>
      </c>
      <c r="G1177" s="10" t="str">
        <f t="shared" si="31"/>
        <v>ON1</v>
      </c>
      <c r="H1177" s="10" t="s">
        <v>21</v>
      </c>
      <c r="I1177" s="10" t="s">
        <v>225</v>
      </c>
      <c r="J1177" s="10" t="str">
        <f>""</f>
        <v/>
      </c>
      <c r="K1177" s="10" t="str">
        <f>"PFES1162646441_0001"</f>
        <v>PFES1162646441_0001</v>
      </c>
      <c r="L1177" s="10">
        <v>1</v>
      </c>
      <c r="M1177" s="10">
        <v>1</v>
      </c>
    </row>
    <row r="1178" spans="1:13">
      <c r="A1178" s="8">
        <v>43354</v>
      </c>
      <c r="B1178" s="9">
        <v>0.67708333333333337</v>
      </c>
      <c r="C1178" s="10" t="str">
        <f>"FES1162646686"</f>
        <v>FES1162646686</v>
      </c>
      <c r="D1178" s="10" t="s">
        <v>19</v>
      </c>
      <c r="E1178" s="10" t="s">
        <v>487</v>
      </c>
      <c r="F1178" s="10" t="str">
        <f>"21706451360 "</f>
        <v xml:space="preserve">21706451360 </v>
      </c>
      <c r="G1178" s="10" t="str">
        <f t="shared" si="31"/>
        <v>ON1</v>
      </c>
      <c r="H1178" s="10" t="s">
        <v>21</v>
      </c>
      <c r="I1178" s="10" t="s">
        <v>189</v>
      </c>
      <c r="J1178" s="10" t="str">
        <f>""</f>
        <v/>
      </c>
      <c r="K1178" s="10" t="str">
        <f>"PFES1162646686_0001"</f>
        <v>PFES1162646686_0001</v>
      </c>
      <c r="L1178" s="10">
        <v>1</v>
      </c>
      <c r="M1178" s="10">
        <v>1</v>
      </c>
    </row>
    <row r="1179" spans="1:13">
      <c r="A1179" s="8">
        <v>43354</v>
      </c>
      <c r="B1179" s="9">
        <v>0.67361111111111116</v>
      </c>
      <c r="C1179" s="10" t="str">
        <f>"FES1162646676"</f>
        <v>FES1162646676</v>
      </c>
      <c r="D1179" s="10" t="s">
        <v>19</v>
      </c>
      <c r="E1179" s="10" t="s">
        <v>324</v>
      </c>
      <c r="F1179" s="10" t="str">
        <f>"2170651351 "</f>
        <v xml:space="preserve">2170651351 </v>
      </c>
      <c r="G1179" s="10" t="str">
        <f t="shared" si="31"/>
        <v>ON1</v>
      </c>
      <c r="H1179" s="10" t="s">
        <v>21</v>
      </c>
      <c r="I1179" s="10" t="s">
        <v>24</v>
      </c>
      <c r="J1179" s="10" t="str">
        <f>""</f>
        <v/>
      </c>
      <c r="K1179" s="10" t="str">
        <f>"PFES1162646676_0001"</f>
        <v>PFES1162646676_0001</v>
      </c>
      <c r="L1179" s="10">
        <v>1</v>
      </c>
      <c r="M1179" s="10">
        <v>1</v>
      </c>
    </row>
    <row r="1180" spans="1:13">
      <c r="A1180" s="8">
        <v>43354</v>
      </c>
      <c r="B1180" s="9">
        <v>0.67361111111111116</v>
      </c>
      <c r="C1180" s="10" t="str">
        <f>"FES1162646661"</f>
        <v>FES1162646661</v>
      </c>
      <c r="D1180" s="10" t="s">
        <v>19</v>
      </c>
      <c r="E1180" s="10" t="s">
        <v>708</v>
      </c>
      <c r="F1180" s="10" t="str">
        <f>"2170646993 "</f>
        <v xml:space="preserve">2170646993 </v>
      </c>
      <c r="G1180" s="10" t="str">
        <f t="shared" si="31"/>
        <v>ON1</v>
      </c>
      <c r="H1180" s="10" t="s">
        <v>21</v>
      </c>
      <c r="I1180" s="10" t="s">
        <v>709</v>
      </c>
      <c r="J1180" s="10" t="str">
        <f>""</f>
        <v/>
      </c>
      <c r="K1180" s="10" t="str">
        <f>"PFES1162646661_0001"</f>
        <v>PFES1162646661_0001</v>
      </c>
      <c r="L1180" s="10">
        <v>1</v>
      </c>
      <c r="M1180" s="10">
        <v>1</v>
      </c>
    </row>
    <row r="1181" spans="1:13">
      <c r="A1181" s="8">
        <v>43354</v>
      </c>
      <c r="B1181" s="9">
        <v>0.67291666666666661</v>
      </c>
      <c r="C1181" s="10" t="str">
        <f>"FES1162646675"</f>
        <v>FES1162646675</v>
      </c>
      <c r="D1181" s="10" t="s">
        <v>19</v>
      </c>
      <c r="E1181" s="10" t="s">
        <v>324</v>
      </c>
      <c r="F1181" s="10" t="str">
        <f>"21706513560 "</f>
        <v xml:space="preserve">21706513560 </v>
      </c>
      <c r="G1181" s="10" t="str">
        <f t="shared" si="31"/>
        <v>ON1</v>
      </c>
      <c r="H1181" s="10" t="s">
        <v>21</v>
      </c>
      <c r="I1181" s="10" t="s">
        <v>24</v>
      </c>
      <c r="J1181" s="10" t="str">
        <f>""</f>
        <v/>
      </c>
      <c r="K1181" s="10" t="str">
        <f>"PFES1162646675_0001"</f>
        <v>PFES1162646675_0001</v>
      </c>
      <c r="L1181" s="10">
        <v>1</v>
      </c>
      <c r="M1181" s="10">
        <v>1</v>
      </c>
    </row>
    <row r="1182" spans="1:13">
      <c r="A1182" s="8">
        <v>43354</v>
      </c>
      <c r="B1182" s="9">
        <v>0.67291666666666661</v>
      </c>
      <c r="C1182" s="10" t="str">
        <f>"FES1162646621"</f>
        <v>FES1162646621</v>
      </c>
      <c r="D1182" s="10" t="s">
        <v>19</v>
      </c>
      <c r="E1182" s="10" t="s">
        <v>278</v>
      </c>
      <c r="F1182" s="10" t="str">
        <f>"2170650222 "</f>
        <v xml:space="preserve">2170650222 </v>
      </c>
      <c r="G1182" s="10" t="str">
        <f t="shared" si="31"/>
        <v>ON1</v>
      </c>
      <c r="H1182" s="10" t="s">
        <v>21</v>
      </c>
      <c r="I1182" s="10" t="s">
        <v>279</v>
      </c>
      <c r="J1182" s="10" t="str">
        <f>""</f>
        <v/>
      </c>
      <c r="K1182" s="10" t="str">
        <f>"PFES1162646621_0001"</f>
        <v>PFES1162646621_0001</v>
      </c>
      <c r="L1182" s="10">
        <v>1</v>
      </c>
      <c r="M1182" s="10">
        <v>1</v>
      </c>
    </row>
    <row r="1183" spans="1:13">
      <c r="A1183" s="8">
        <v>43354</v>
      </c>
      <c r="B1183" s="9">
        <v>0.67222222222222217</v>
      </c>
      <c r="C1183" s="10" t="str">
        <f>"FES1162646642"</f>
        <v>FES1162646642</v>
      </c>
      <c r="D1183" s="10" t="s">
        <v>19</v>
      </c>
      <c r="E1183" s="10" t="s">
        <v>710</v>
      </c>
      <c r="F1183" s="10" t="str">
        <f>"2170651309 "</f>
        <v xml:space="preserve">2170651309 </v>
      </c>
      <c r="G1183" s="10" t="str">
        <f t="shared" si="31"/>
        <v>ON1</v>
      </c>
      <c r="H1183" s="10" t="s">
        <v>21</v>
      </c>
      <c r="I1183" s="10" t="s">
        <v>711</v>
      </c>
      <c r="J1183" s="10" t="str">
        <f>""</f>
        <v/>
      </c>
      <c r="K1183" s="10" t="str">
        <f>"PFES1162646642_0001"</f>
        <v>PFES1162646642_0001</v>
      </c>
      <c r="L1183" s="10">
        <v>1</v>
      </c>
      <c r="M1183" s="10">
        <v>7</v>
      </c>
    </row>
    <row r="1184" spans="1:13">
      <c r="A1184" s="8">
        <v>43354</v>
      </c>
      <c r="B1184" s="9">
        <v>0.67222222222222217</v>
      </c>
      <c r="C1184" s="10" t="str">
        <f>"FES1162646685"</f>
        <v>FES1162646685</v>
      </c>
      <c r="D1184" s="10" t="s">
        <v>19</v>
      </c>
      <c r="E1184" s="10" t="s">
        <v>710</v>
      </c>
      <c r="F1184" s="10" t="str">
        <f>"2170651359 "</f>
        <v xml:space="preserve">2170651359 </v>
      </c>
      <c r="G1184" s="10" t="str">
        <f t="shared" si="31"/>
        <v>ON1</v>
      </c>
      <c r="H1184" s="10" t="s">
        <v>21</v>
      </c>
      <c r="I1184" s="10" t="s">
        <v>711</v>
      </c>
      <c r="J1184" s="10" t="str">
        <f>""</f>
        <v/>
      </c>
      <c r="K1184" s="10" t="str">
        <f>"PFES1162646685_0001"</f>
        <v>PFES1162646685_0001</v>
      </c>
      <c r="L1184" s="10">
        <v>1</v>
      </c>
      <c r="M1184" s="10">
        <v>13</v>
      </c>
    </row>
    <row r="1185" spans="1:13">
      <c r="A1185" s="8">
        <v>43354</v>
      </c>
      <c r="B1185" s="9">
        <v>0.67152777777777783</v>
      </c>
      <c r="C1185" s="10" t="str">
        <f>"FES1162646729"</f>
        <v>FES1162646729</v>
      </c>
      <c r="D1185" s="10" t="s">
        <v>19</v>
      </c>
      <c r="E1185" s="10" t="s">
        <v>498</v>
      </c>
      <c r="F1185" s="10" t="str">
        <f>"2170651401 "</f>
        <v xml:space="preserve">2170651401 </v>
      </c>
      <c r="G1185" s="10" t="str">
        <f t="shared" si="31"/>
        <v>ON1</v>
      </c>
      <c r="H1185" s="10" t="s">
        <v>21</v>
      </c>
      <c r="I1185" s="10" t="s">
        <v>499</v>
      </c>
      <c r="J1185" s="10" t="str">
        <f>""</f>
        <v/>
      </c>
      <c r="K1185" s="10" t="str">
        <f>"PFES1162646729_0001"</f>
        <v>PFES1162646729_0001</v>
      </c>
      <c r="L1185" s="10">
        <v>1</v>
      </c>
      <c r="M1185" s="10">
        <v>3</v>
      </c>
    </row>
    <row r="1186" spans="1:13">
      <c r="A1186" s="8">
        <v>43354</v>
      </c>
      <c r="B1186" s="9">
        <v>0.67083333333333339</v>
      </c>
      <c r="C1186" s="10" t="str">
        <f>"FES1162646747"</f>
        <v>FES1162646747</v>
      </c>
      <c r="D1186" s="10" t="s">
        <v>19</v>
      </c>
      <c r="E1186" s="10" t="s">
        <v>712</v>
      </c>
      <c r="F1186" s="10" t="str">
        <f>"1162646746 "</f>
        <v xml:space="preserve">1162646746 </v>
      </c>
      <c r="G1186" s="10" t="str">
        <f t="shared" si="31"/>
        <v>ON1</v>
      </c>
      <c r="H1186" s="10" t="s">
        <v>21</v>
      </c>
      <c r="I1186" s="10" t="s">
        <v>283</v>
      </c>
      <c r="J1186" s="10" t="str">
        <f>""</f>
        <v/>
      </c>
      <c r="K1186" s="10" t="str">
        <f>"PFES1162646747_0001"</f>
        <v>PFES1162646747_0001</v>
      </c>
      <c r="L1186" s="10">
        <v>1</v>
      </c>
      <c r="M1186" s="10">
        <v>3</v>
      </c>
    </row>
    <row r="1187" spans="1:13">
      <c r="A1187" s="8">
        <v>43354</v>
      </c>
      <c r="B1187" s="9">
        <v>0.67083333333333339</v>
      </c>
      <c r="C1187" s="10" t="str">
        <f>"FES1162646512"</f>
        <v>FES1162646512</v>
      </c>
      <c r="D1187" s="10" t="s">
        <v>19</v>
      </c>
      <c r="E1187" s="10" t="s">
        <v>278</v>
      </c>
      <c r="F1187" s="10" t="str">
        <f>"2170650615 "</f>
        <v xml:space="preserve">2170650615 </v>
      </c>
      <c r="G1187" s="10" t="str">
        <f t="shared" si="31"/>
        <v>ON1</v>
      </c>
      <c r="H1187" s="10" t="s">
        <v>21</v>
      </c>
      <c r="I1187" s="10" t="s">
        <v>279</v>
      </c>
      <c r="J1187" s="10" t="str">
        <f>""</f>
        <v/>
      </c>
      <c r="K1187" s="10" t="str">
        <f>"PFES1162646512_0001"</f>
        <v>PFES1162646512_0001</v>
      </c>
      <c r="L1187" s="10">
        <v>1</v>
      </c>
      <c r="M1187" s="10">
        <v>3</v>
      </c>
    </row>
    <row r="1188" spans="1:13">
      <c r="A1188" s="8">
        <v>43354</v>
      </c>
      <c r="B1188" s="9">
        <v>0.67013888888888884</v>
      </c>
      <c r="C1188" s="10" t="str">
        <f>"FES1162646682"</f>
        <v>FES1162646682</v>
      </c>
      <c r="D1188" s="10" t="s">
        <v>19</v>
      </c>
      <c r="E1188" s="10" t="s">
        <v>324</v>
      </c>
      <c r="F1188" s="10" t="str">
        <f>"2170651356 "</f>
        <v xml:space="preserve">2170651356 </v>
      </c>
      <c r="G1188" s="10" t="str">
        <f t="shared" si="31"/>
        <v>ON1</v>
      </c>
      <c r="H1188" s="10" t="s">
        <v>21</v>
      </c>
      <c r="I1188" s="10" t="s">
        <v>24</v>
      </c>
      <c r="J1188" s="10" t="str">
        <f>""</f>
        <v/>
      </c>
      <c r="K1188" s="10" t="str">
        <f>"PFES1162646682_0001"</f>
        <v>PFES1162646682_0001</v>
      </c>
      <c r="L1188" s="10">
        <v>1</v>
      </c>
      <c r="M1188" s="10">
        <v>4</v>
      </c>
    </row>
    <row r="1189" spans="1:13">
      <c r="A1189" s="8">
        <v>43354</v>
      </c>
      <c r="B1189" s="9">
        <v>0.67013888888888884</v>
      </c>
      <c r="C1189" s="10" t="str">
        <f>"FES1162646716"</f>
        <v>FES1162646716</v>
      </c>
      <c r="D1189" s="10" t="s">
        <v>19</v>
      </c>
      <c r="E1189" s="10" t="s">
        <v>397</v>
      </c>
      <c r="F1189" s="10" t="str">
        <f>"2170651393 "</f>
        <v xml:space="preserve">2170651393 </v>
      </c>
      <c r="G1189" s="10" t="str">
        <f t="shared" si="31"/>
        <v>ON1</v>
      </c>
      <c r="H1189" s="10" t="s">
        <v>21</v>
      </c>
      <c r="I1189" s="10" t="s">
        <v>89</v>
      </c>
      <c r="J1189" s="10" t="str">
        <f>""</f>
        <v/>
      </c>
      <c r="K1189" s="10" t="str">
        <f>"PFES1162646716_0001"</f>
        <v>PFES1162646716_0001</v>
      </c>
      <c r="L1189" s="10">
        <v>1</v>
      </c>
      <c r="M1189" s="10">
        <v>10</v>
      </c>
    </row>
    <row r="1190" spans="1:13">
      <c r="A1190" s="8">
        <v>43354</v>
      </c>
      <c r="B1190" s="9">
        <v>0.66875000000000007</v>
      </c>
      <c r="C1190" s="10" t="str">
        <f>"FES1162646159"</f>
        <v>FES1162646159</v>
      </c>
      <c r="D1190" s="10" t="s">
        <v>19</v>
      </c>
      <c r="E1190" s="10" t="s">
        <v>453</v>
      </c>
      <c r="F1190" s="10" t="str">
        <f>"2170648084 "</f>
        <v xml:space="preserve">2170648084 </v>
      </c>
      <c r="G1190" s="10" t="str">
        <f>"DBC"</f>
        <v>DBC</v>
      </c>
      <c r="H1190" s="10" t="s">
        <v>21</v>
      </c>
      <c r="I1190" s="10" t="s">
        <v>269</v>
      </c>
      <c r="J1190" s="10" t="str">
        <f>""</f>
        <v/>
      </c>
      <c r="K1190" s="10" t="str">
        <f>"PFES1162646159_0001"</f>
        <v>PFES1162646159_0001</v>
      </c>
      <c r="L1190" s="10">
        <v>1</v>
      </c>
      <c r="M1190" s="10">
        <v>22</v>
      </c>
    </row>
    <row r="1191" spans="1:13">
      <c r="A1191" s="8">
        <v>43354</v>
      </c>
      <c r="B1191" s="9">
        <v>0.66736111111111107</v>
      </c>
      <c r="C1191" s="10" t="str">
        <f>"FES1162646639"</f>
        <v>FES1162646639</v>
      </c>
      <c r="D1191" s="10" t="s">
        <v>19</v>
      </c>
      <c r="E1191" s="10" t="s">
        <v>84</v>
      </c>
      <c r="F1191" s="10" t="str">
        <f>"2170651301 "</f>
        <v xml:space="preserve">2170651301 </v>
      </c>
      <c r="G1191" s="10" t="str">
        <f t="shared" ref="G1191:G1241" si="32">"ON1"</f>
        <v>ON1</v>
      </c>
      <c r="H1191" s="10" t="s">
        <v>21</v>
      </c>
      <c r="I1191" s="10" t="s">
        <v>85</v>
      </c>
      <c r="J1191" s="10" t="str">
        <f>""</f>
        <v/>
      </c>
      <c r="K1191" s="10" t="str">
        <f>"PFES1162646639_0001"</f>
        <v>PFES1162646639_0001</v>
      </c>
      <c r="L1191" s="10">
        <v>1</v>
      </c>
      <c r="M1191" s="10">
        <v>8</v>
      </c>
    </row>
    <row r="1192" spans="1:13">
      <c r="A1192" s="8">
        <v>43354</v>
      </c>
      <c r="B1192" s="9">
        <v>0.66527777777777775</v>
      </c>
      <c r="C1192" s="10" t="str">
        <f>"FES1162646713"</f>
        <v>FES1162646713</v>
      </c>
      <c r="D1192" s="10" t="s">
        <v>19</v>
      </c>
      <c r="E1192" s="10" t="s">
        <v>713</v>
      </c>
      <c r="F1192" s="10" t="str">
        <f>"2170651385 "</f>
        <v xml:space="preserve">2170651385 </v>
      </c>
      <c r="G1192" s="10" t="str">
        <f t="shared" si="32"/>
        <v>ON1</v>
      </c>
      <c r="H1192" s="10" t="s">
        <v>21</v>
      </c>
      <c r="I1192" s="10" t="s">
        <v>30</v>
      </c>
      <c r="J1192" s="10" t="str">
        <f>""</f>
        <v/>
      </c>
      <c r="K1192" s="10" t="str">
        <f>"PFES1162646713_0001"</f>
        <v>PFES1162646713_0001</v>
      </c>
      <c r="L1192" s="10">
        <v>1</v>
      </c>
      <c r="M1192" s="10">
        <v>1</v>
      </c>
    </row>
    <row r="1193" spans="1:13">
      <c r="A1193" s="8">
        <v>43354</v>
      </c>
      <c r="B1193" s="9">
        <v>0.66527777777777775</v>
      </c>
      <c r="C1193" s="10" t="str">
        <f>"FES1162646739"</f>
        <v>FES1162646739</v>
      </c>
      <c r="D1193" s="10" t="s">
        <v>19</v>
      </c>
      <c r="E1193" s="10" t="s">
        <v>27</v>
      </c>
      <c r="F1193" s="10" t="str">
        <f>"2170651112 "</f>
        <v xml:space="preserve">2170651112 </v>
      </c>
      <c r="G1193" s="10" t="str">
        <f t="shared" si="32"/>
        <v>ON1</v>
      </c>
      <c r="H1193" s="10" t="s">
        <v>21</v>
      </c>
      <c r="I1193" s="10" t="s">
        <v>28</v>
      </c>
      <c r="J1193" s="10" t="str">
        <f>""</f>
        <v/>
      </c>
      <c r="K1193" s="10" t="str">
        <f>"PFES1162646739_0001"</f>
        <v>PFES1162646739_0001</v>
      </c>
      <c r="L1193" s="10">
        <v>1</v>
      </c>
      <c r="M1193" s="10">
        <v>1</v>
      </c>
    </row>
    <row r="1194" spans="1:13">
      <c r="A1194" s="8">
        <v>43354</v>
      </c>
      <c r="B1194" s="9">
        <v>0.6645833333333333</v>
      </c>
      <c r="C1194" s="10" t="str">
        <f>"FES1162646640"</f>
        <v>FES1162646640</v>
      </c>
      <c r="D1194" s="10" t="s">
        <v>19</v>
      </c>
      <c r="E1194" s="10" t="s">
        <v>141</v>
      </c>
      <c r="F1194" s="10" t="str">
        <f>"2170651304 "</f>
        <v xml:space="preserve">2170651304 </v>
      </c>
      <c r="G1194" s="10" t="str">
        <f t="shared" si="32"/>
        <v>ON1</v>
      </c>
      <c r="H1194" s="10" t="s">
        <v>21</v>
      </c>
      <c r="I1194" s="10" t="s">
        <v>91</v>
      </c>
      <c r="J1194" s="10" t="str">
        <f>""</f>
        <v/>
      </c>
      <c r="K1194" s="10" t="str">
        <f>"PFES1162646640_0001"</f>
        <v>PFES1162646640_0001</v>
      </c>
      <c r="L1194" s="10">
        <v>1</v>
      </c>
      <c r="M1194" s="10">
        <v>2</v>
      </c>
    </row>
    <row r="1195" spans="1:13">
      <c r="A1195" s="8">
        <v>43354</v>
      </c>
      <c r="B1195" s="9">
        <v>0.6645833333333333</v>
      </c>
      <c r="C1195" s="10" t="str">
        <f>"FES1162646709"</f>
        <v>FES1162646709</v>
      </c>
      <c r="D1195" s="10" t="s">
        <v>19</v>
      </c>
      <c r="E1195" s="10" t="s">
        <v>482</v>
      </c>
      <c r="F1195" s="10" t="str">
        <f>"2170653186 "</f>
        <v xml:space="preserve">2170653186 </v>
      </c>
      <c r="G1195" s="10" t="str">
        <f t="shared" si="32"/>
        <v>ON1</v>
      </c>
      <c r="H1195" s="10" t="s">
        <v>21</v>
      </c>
      <c r="I1195" s="10" t="s">
        <v>474</v>
      </c>
      <c r="J1195" s="10" t="str">
        <f>""</f>
        <v/>
      </c>
      <c r="K1195" s="10" t="str">
        <f>"PFES1162646709_0001"</f>
        <v>PFES1162646709_0001</v>
      </c>
      <c r="L1195" s="10">
        <v>1</v>
      </c>
      <c r="M1195" s="10">
        <v>1</v>
      </c>
    </row>
    <row r="1196" spans="1:13">
      <c r="A1196" s="8">
        <v>43354</v>
      </c>
      <c r="B1196" s="9">
        <v>0.6645833333333333</v>
      </c>
      <c r="C1196" s="10" t="str">
        <f>"FES1162646707"</f>
        <v>FES1162646707</v>
      </c>
      <c r="D1196" s="10" t="s">
        <v>19</v>
      </c>
      <c r="E1196" s="10" t="s">
        <v>713</v>
      </c>
      <c r="F1196" s="10" t="str">
        <f>"2170651381 "</f>
        <v xml:space="preserve">2170651381 </v>
      </c>
      <c r="G1196" s="10" t="str">
        <f t="shared" si="32"/>
        <v>ON1</v>
      </c>
      <c r="H1196" s="10" t="s">
        <v>21</v>
      </c>
      <c r="I1196" s="10" t="s">
        <v>30</v>
      </c>
      <c r="J1196" s="10" t="str">
        <f>""</f>
        <v/>
      </c>
      <c r="K1196" s="10" t="str">
        <f>"PFES1162646707_0001"</f>
        <v>PFES1162646707_0001</v>
      </c>
      <c r="L1196" s="10">
        <v>1</v>
      </c>
      <c r="M1196" s="10">
        <v>1</v>
      </c>
    </row>
    <row r="1197" spans="1:13">
      <c r="A1197" s="8">
        <v>43354</v>
      </c>
      <c r="B1197" s="9">
        <v>0.6645833333333333</v>
      </c>
      <c r="C1197" s="10" t="str">
        <f>"FES1162646630"</f>
        <v>FES1162646630</v>
      </c>
      <c r="D1197" s="10" t="s">
        <v>19</v>
      </c>
      <c r="E1197" s="10" t="s">
        <v>239</v>
      </c>
      <c r="F1197" s="10" t="str">
        <f>"2170651277 "</f>
        <v xml:space="preserve">2170651277 </v>
      </c>
      <c r="G1197" s="10" t="str">
        <f t="shared" si="32"/>
        <v>ON1</v>
      </c>
      <c r="H1197" s="10" t="s">
        <v>21</v>
      </c>
      <c r="I1197" s="10" t="s">
        <v>76</v>
      </c>
      <c r="J1197" s="10" t="str">
        <f>""</f>
        <v/>
      </c>
      <c r="K1197" s="10" t="str">
        <f>"PFES1162646630_0001"</f>
        <v>PFES1162646630_0001</v>
      </c>
      <c r="L1197" s="10">
        <v>1</v>
      </c>
      <c r="M1197" s="10">
        <v>1</v>
      </c>
    </row>
    <row r="1198" spans="1:13">
      <c r="A1198" s="8">
        <v>43354</v>
      </c>
      <c r="B1198" s="9">
        <v>0.66388888888888886</v>
      </c>
      <c r="C1198" s="10" t="str">
        <f>"FES1162646579"</f>
        <v>FES1162646579</v>
      </c>
      <c r="D1198" s="10" t="s">
        <v>19</v>
      </c>
      <c r="E1198" s="10" t="s">
        <v>714</v>
      </c>
      <c r="F1198" s="10" t="str">
        <f>"2170649208 "</f>
        <v xml:space="preserve">2170649208 </v>
      </c>
      <c r="G1198" s="10" t="str">
        <f t="shared" si="32"/>
        <v>ON1</v>
      </c>
      <c r="H1198" s="10" t="s">
        <v>21</v>
      </c>
      <c r="I1198" s="10" t="s">
        <v>433</v>
      </c>
      <c r="J1198" s="10" t="str">
        <f>""</f>
        <v/>
      </c>
      <c r="K1198" s="10" t="str">
        <f>"PFES1162646579_0001"</f>
        <v>PFES1162646579_0001</v>
      </c>
      <c r="L1198" s="10">
        <v>1</v>
      </c>
      <c r="M1198" s="10">
        <v>1</v>
      </c>
    </row>
    <row r="1199" spans="1:13">
      <c r="A1199" s="8">
        <v>43354</v>
      </c>
      <c r="B1199" s="9">
        <v>0.66388888888888886</v>
      </c>
      <c r="C1199" s="10" t="str">
        <f>"FES1162646631"</f>
        <v>FES1162646631</v>
      </c>
      <c r="D1199" s="10" t="s">
        <v>19</v>
      </c>
      <c r="E1199" s="10" t="s">
        <v>98</v>
      </c>
      <c r="F1199" s="10" t="str">
        <f>"2170651283 "</f>
        <v xml:space="preserve">2170651283 </v>
      </c>
      <c r="G1199" s="10" t="str">
        <f t="shared" si="32"/>
        <v>ON1</v>
      </c>
      <c r="H1199" s="10" t="s">
        <v>21</v>
      </c>
      <c r="I1199" s="10" t="s">
        <v>74</v>
      </c>
      <c r="J1199" s="10" t="str">
        <f>""</f>
        <v/>
      </c>
      <c r="K1199" s="10" t="str">
        <f>"PFES1162646631_0001"</f>
        <v>PFES1162646631_0001</v>
      </c>
      <c r="L1199" s="10">
        <v>1</v>
      </c>
      <c r="M1199" s="10">
        <v>1</v>
      </c>
    </row>
    <row r="1200" spans="1:13">
      <c r="A1200" s="8">
        <v>43354</v>
      </c>
      <c r="B1200" s="9">
        <v>0.66388888888888886</v>
      </c>
      <c r="C1200" s="10" t="str">
        <f>"FES1162646625"</f>
        <v>FES1162646625</v>
      </c>
      <c r="D1200" s="10" t="s">
        <v>19</v>
      </c>
      <c r="E1200" s="10" t="s">
        <v>199</v>
      </c>
      <c r="F1200" s="10" t="str">
        <f>"2170651291 "</f>
        <v xml:space="preserve">2170651291 </v>
      </c>
      <c r="G1200" s="10" t="str">
        <f t="shared" si="32"/>
        <v>ON1</v>
      </c>
      <c r="H1200" s="10" t="s">
        <v>21</v>
      </c>
      <c r="I1200" s="10" t="s">
        <v>150</v>
      </c>
      <c r="J1200" s="10" t="str">
        <f>""</f>
        <v/>
      </c>
      <c r="K1200" s="10" t="str">
        <f>"PFES1162646625_0001"</f>
        <v>PFES1162646625_0001</v>
      </c>
      <c r="L1200" s="10">
        <v>1</v>
      </c>
      <c r="M1200" s="10">
        <v>1</v>
      </c>
    </row>
    <row r="1201" spans="1:13">
      <c r="A1201" s="8">
        <v>43354</v>
      </c>
      <c r="B1201" s="9">
        <v>0.66319444444444442</v>
      </c>
      <c r="C1201" s="10" t="str">
        <f>"FES1162646520"</f>
        <v>FES1162646520</v>
      </c>
      <c r="D1201" s="10" t="s">
        <v>19</v>
      </c>
      <c r="E1201" s="10" t="s">
        <v>141</v>
      </c>
      <c r="F1201" s="10" t="str">
        <f>"21706502828 "</f>
        <v xml:space="preserve">21706502828 </v>
      </c>
      <c r="G1201" s="10" t="str">
        <f t="shared" si="32"/>
        <v>ON1</v>
      </c>
      <c r="H1201" s="10" t="s">
        <v>21</v>
      </c>
      <c r="I1201" s="10" t="s">
        <v>91</v>
      </c>
      <c r="J1201" s="10" t="str">
        <f>""</f>
        <v/>
      </c>
      <c r="K1201" s="10" t="str">
        <f>"PFES1162646520_0001"</f>
        <v>PFES1162646520_0001</v>
      </c>
      <c r="L1201" s="10">
        <v>1</v>
      </c>
      <c r="M1201" s="10">
        <v>9</v>
      </c>
    </row>
    <row r="1202" spans="1:13">
      <c r="A1202" s="8">
        <v>43354</v>
      </c>
      <c r="B1202" s="9">
        <v>0.66319444444444442</v>
      </c>
      <c r="C1202" s="10" t="str">
        <f>"FES1162646604"</f>
        <v>FES1162646604</v>
      </c>
      <c r="D1202" s="10" t="s">
        <v>19</v>
      </c>
      <c r="E1202" s="10" t="s">
        <v>149</v>
      </c>
      <c r="F1202" s="10" t="str">
        <f>"2170651261 "</f>
        <v xml:space="preserve">2170651261 </v>
      </c>
      <c r="G1202" s="10" t="str">
        <f t="shared" si="32"/>
        <v>ON1</v>
      </c>
      <c r="H1202" s="10" t="s">
        <v>21</v>
      </c>
      <c r="I1202" s="10" t="s">
        <v>150</v>
      </c>
      <c r="J1202" s="10" t="str">
        <f>""</f>
        <v/>
      </c>
      <c r="K1202" s="10" t="str">
        <f>"PFES1162646604_0001"</f>
        <v>PFES1162646604_0001</v>
      </c>
      <c r="L1202" s="10">
        <v>1</v>
      </c>
      <c r="M1202" s="10">
        <v>4</v>
      </c>
    </row>
    <row r="1203" spans="1:13">
      <c r="A1203" s="8">
        <v>43354</v>
      </c>
      <c r="B1203" s="9">
        <v>0.66249999999999998</v>
      </c>
      <c r="C1203" s="10" t="str">
        <f>"FES1162646592"</f>
        <v>FES1162646592</v>
      </c>
      <c r="D1203" s="10" t="s">
        <v>19</v>
      </c>
      <c r="E1203" s="10" t="s">
        <v>232</v>
      </c>
      <c r="F1203" s="10" t="str">
        <f>"2170651029 "</f>
        <v xml:space="preserve">2170651029 </v>
      </c>
      <c r="G1203" s="10" t="str">
        <f t="shared" si="32"/>
        <v>ON1</v>
      </c>
      <c r="H1203" s="10" t="s">
        <v>21</v>
      </c>
      <c r="I1203" s="10" t="s">
        <v>233</v>
      </c>
      <c r="J1203" s="10" t="str">
        <f>""</f>
        <v/>
      </c>
      <c r="K1203" s="10" t="str">
        <f>"PFES1162646592_0001"</f>
        <v>PFES1162646592_0001</v>
      </c>
      <c r="L1203" s="10">
        <v>1</v>
      </c>
      <c r="M1203" s="10">
        <v>1</v>
      </c>
    </row>
    <row r="1204" spans="1:13">
      <c r="A1204" s="8">
        <v>43354</v>
      </c>
      <c r="B1204" s="9">
        <v>0.66249999999999998</v>
      </c>
      <c r="C1204" s="10" t="str">
        <f>"FES1162646628"</f>
        <v>FES1162646628</v>
      </c>
      <c r="D1204" s="10" t="s">
        <v>19</v>
      </c>
      <c r="E1204" s="10" t="s">
        <v>621</v>
      </c>
      <c r="F1204" s="10" t="str">
        <f>"2170650746 "</f>
        <v xml:space="preserve">2170650746 </v>
      </c>
      <c r="G1204" s="10" t="str">
        <f t="shared" si="32"/>
        <v>ON1</v>
      </c>
      <c r="H1204" s="10" t="s">
        <v>21</v>
      </c>
      <c r="I1204" s="10" t="s">
        <v>433</v>
      </c>
      <c r="J1204" s="10" t="str">
        <f>""</f>
        <v/>
      </c>
      <c r="K1204" s="10" t="str">
        <f>"PFES1162646628_0001"</f>
        <v>PFES1162646628_0001</v>
      </c>
      <c r="L1204" s="10">
        <v>1</v>
      </c>
      <c r="M1204" s="10">
        <v>3</v>
      </c>
    </row>
    <row r="1205" spans="1:13">
      <c r="A1205" s="8">
        <v>43354</v>
      </c>
      <c r="B1205" s="9">
        <v>0.66180555555555554</v>
      </c>
      <c r="C1205" s="10" t="str">
        <f>"FES1162646670"</f>
        <v>FES1162646670</v>
      </c>
      <c r="D1205" s="10" t="s">
        <v>19</v>
      </c>
      <c r="E1205" s="10" t="s">
        <v>130</v>
      </c>
      <c r="F1205" s="10" t="str">
        <f>"2170651346 "</f>
        <v xml:space="preserve">2170651346 </v>
      </c>
      <c r="G1205" s="10" t="str">
        <f t="shared" si="32"/>
        <v>ON1</v>
      </c>
      <c r="H1205" s="10" t="s">
        <v>21</v>
      </c>
      <c r="I1205" s="10" t="s">
        <v>131</v>
      </c>
      <c r="J1205" s="10" t="str">
        <f>""</f>
        <v/>
      </c>
      <c r="K1205" s="10" t="str">
        <f>"PFES1162646670_0001"</f>
        <v>PFES1162646670_0001</v>
      </c>
      <c r="L1205" s="10">
        <v>1</v>
      </c>
      <c r="M1205" s="10">
        <v>1</v>
      </c>
    </row>
    <row r="1206" spans="1:13">
      <c r="A1206" s="8">
        <v>43354</v>
      </c>
      <c r="B1206" s="9">
        <v>0.66111111111111109</v>
      </c>
      <c r="C1206" s="10" t="str">
        <f>"FES1162646623"</f>
        <v>FES1162646623</v>
      </c>
      <c r="D1206" s="10" t="s">
        <v>19</v>
      </c>
      <c r="E1206" s="10" t="s">
        <v>27</v>
      </c>
      <c r="F1206" s="10" t="str">
        <f>"2170651287 "</f>
        <v xml:space="preserve">2170651287 </v>
      </c>
      <c r="G1206" s="10" t="str">
        <f t="shared" si="32"/>
        <v>ON1</v>
      </c>
      <c r="H1206" s="10" t="s">
        <v>21</v>
      </c>
      <c r="I1206" s="10" t="s">
        <v>28</v>
      </c>
      <c r="J1206" s="10" t="str">
        <f>""</f>
        <v/>
      </c>
      <c r="K1206" s="10" t="str">
        <f>"PFES1162646623_0001"</f>
        <v>PFES1162646623_0001</v>
      </c>
      <c r="L1206" s="10">
        <v>1</v>
      </c>
      <c r="M1206" s="10">
        <v>4</v>
      </c>
    </row>
    <row r="1207" spans="1:13">
      <c r="A1207" s="8">
        <v>43354</v>
      </c>
      <c r="B1207" s="9">
        <v>0.66041666666666665</v>
      </c>
      <c r="C1207" s="10" t="str">
        <f>"FES1162646605"</f>
        <v>FES1162646605</v>
      </c>
      <c r="D1207" s="10" t="s">
        <v>19</v>
      </c>
      <c r="E1207" s="10" t="s">
        <v>468</v>
      </c>
      <c r="F1207" s="10" t="str">
        <f>"2170651264 "</f>
        <v xml:space="preserve">2170651264 </v>
      </c>
      <c r="G1207" s="10" t="str">
        <f t="shared" si="32"/>
        <v>ON1</v>
      </c>
      <c r="H1207" s="10" t="s">
        <v>21</v>
      </c>
      <c r="I1207" s="10" t="s">
        <v>469</v>
      </c>
      <c r="J1207" s="10" t="str">
        <f>""</f>
        <v/>
      </c>
      <c r="K1207" s="10" t="str">
        <f>"PFES1162646605_0001"</f>
        <v>PFES1162646605_0001</v>
      </c>
      <c r="L1207" s="10">
        <v>1</v>
      </c>
      <c r="M1207" s="10">
        <v>1</v>
      </c>
    </row>
    <row r="1208" spans="1:13">
      <c r="A1208" s="8">
        <v>43354</v>
      </c>
      <c r="B1208" s="9">
        <v>0.65902777777777777</v>
      </c>
      <c r="C1208" s="10" t="str">
        <f>"FES1162646627"</f>
        <v>FES1162646627</v>
      </c>
      <c r="D1208" s="10" t="s">
        <v>19</v>
      </c>
      <c r="E1208" s="10" t="s">
        <v>445</v>
      </c>
      <c r="F1208" s="10" t="str">
        <f>"2170650612 "</f>
        <v xml:space="preserve">2170650612 </v>
      </c>
      <c r="G1208" s="10" t="str">
        <f t="shared" si="32"/>
        <v>ON1</v>
      </c>
      <c r="H1208" s="10" t="s">
        <v>21</v>
      </c>
      <c r="I1208" s="10" t="s">
        <v>206</v>
      </c>
      <c r="J1208" s="10" t="str">
        <f>""</f>
        <v/>
      </c>
      <c r="K1208" s="10" t="str">
        <f>"PFES1162646627_0001"</f>
        <v>PFES1162646627_0001</v>
      </c>
      <c r="L1208" s="10">
        <v>1</v>
      </c>
      <c r="M1208" s="10">
        <v>12</v>
      </c>
    </row>
    <row r="1209" spans="1:13">
      <c r="A1209" s="8">
        <v>43354</v>
      </c>
      <c r="B1209" s="9">
        <v>0.65902777777777777</v>
      </c>
      <c r="C1209" s="10" t="str">
        <f>"FES1162646571"</f>
        <v>FES1162646571</v>
      </c>
      <c r="D1209" s="10" t="s">
        <v>19</v>
      </c>
      <c r="E1209" s="10" t="s">
        <v>447</v>
      </c>
      <c r="F1209" s="10" t="str">
        <f>"2170649114 "</f>
        <v xml:space="preserve">2170649114 </v>
      </c>
      <c r="G1209" s="10" t="str">
        <f t="shared" si="32"/>
        <v>ON1</v>
      </c>
      <c r="H1209" s="10" t="s">
        <v>21</v>
      </c>
      <c r="I1209" s="10" t="s">
        <v>448</v>
      </c>
      <c r="J1209" s="10" t="str">
        <f>""</f>
        <v/>
      </c>
      <c r="K1209" s="10" t="str">
        <f>"PFES1162646571_0001"</f>
        <v>PFES1162646571_0001</v>
      </c>
      <c r="L1209" s="10">
        <v>1</v>
      </c>
      <c r="M1209" s="10">
        <v>5</v>
      </c>
    </row>
    <row r="1210" spans="1:13">
      <c r="A1210" s="8">
        <v>43354</v>
      </c>
      <c r="B1210" s="9">
        <v>0.65833333333333333</v>
      </c>
      <c r="C1210" s="10" t="str">
        <f>"FES1162646714"</f>
        <v>FES1162646714</v>
      </c>
      <c r="D1210" s="10" t="s">
        <v>19</v>
      </c>
      <c r="E1210" s="10" t="s">
        <v>37</v>
      </c>
      <c r="F1210" s="10" t="str">
        <f>"2170651388 "</f>
        <v xml:space="preserve">2170651388 </v>
      </c>
      <c r="G1210" s="10" t="str">
        <f t="shared" si="32"/>
        <v>ON1</v>
      </c>
      <c r="H1210" s="10" t="s">
        <v>21</v>
      </c>
      <c r="I1210" s="10" t="s">
        <v>26</v>
      </c>
      <c r="J1210" s="10" t="str">
        <f>""</f>
        <v/>
      </c>
      <c r="K1210" s="10" t="str">
        <f>"PFES1162646714_0001"</f>
        <v>PFES1162646714_0001</v>
      </c>
      <c r="L1210" s="10">
        <v>1</v>
      </c>
      <c r="M1210" s="10">
        <v>1</v>
      </c>
    </row>
    <row r="1211" spans="1:13">
      <c r="A1211" s="8">
        <v>43354</v>
      </c>
      <c r="B1211" s="9">
        <v>0.65833333333333333</v>
      </c>
      <c r="C1211" s="10" t="str">
        <f>"FES1162646691"</f>
        <v>FES1162646691</v>
      </c>
      <c r="D1211" s="10" t="s">
        <v>19</v>
      </c>
      <c r="E1211" s="10" t="s">
        <v>715</v>
      </c>
      <c r="F1211" s="10" t="str">
        <f>"2170651059 "</f>
        <v xml:space="preserve">2170651059 </v>
      </c>
      <c r="G1211" s="10" t="str">
        <f t="shared" si="32"/>
        <v>ON1</v>
      </c>
      <c r="H1211" s="10" t="s">
        <v>21</v>
      </c>
      <c r="I1211" s="10" t="s">
        <v>189</v>
      </c>
      <c r="J1211" s="10" t="str">
        <f>""</f>
        <v/>
      </c>
      <c r="K1211" s="10" t="str">
        <f>"PFES1162646691_0001"</f>
        <v>PFES1162646691_0001</v>
      </c>
      <c r="L1211" s="10">
        <v>1</v>
      </c>
      <c r="M1211" s="10">
        <v>12</v>
      </c>
    </row>
    <row r="1212" spans="1:13">
      <c r="A1212" s="8">
        <v>43354</v>
      </c>
      <c r="B1212" s="9">
        <v>0.65833333333333333</v>
      </c>
      <c r="C1212" s="10" t="str">
        <f>"FES1162646736"</f>
        <v>FES1162646736</v>
      </c>
      <c r="D1212" s="10" t="s">
        <v>19</v>
      </c>
      <c r="E1212" s="10" t="s">
        <v>298</v>
      </c>
      <c r="F1212" s="10" t="str">
        <f>"2170651312 "</f>
        <v xml:space="preserve">2170651312 </v>
      </c>
      <c r="G1212" s="10" t="str">
        <f t="shared" si="32"/>
        <v>ON1</v>
      </c>
      <c r="H1212" s="10" t="s">
        <v>21</v>
      </c>
      <c r="I1212" s="10" t="s">
        <v>118</v>
      </c>
      <c r="J1212" s="10" t="str">
        <f>""</f>
        <v/>
      </c>
      <c r="K1212" s="10" t="str">
        <f>"PFES1162646736_0001"</f>
        <v>PFES1162646736_0001</v>
      </c>
      <c r="L1212" s="10">
        <v>1</v>
      </c>
      <c r="M1212" s="10">
        <v>3</v>
      </c>
    </row>
    <row r="1213" spans="1:13">
      <c r="A1213" s="8">
        <v>43354</v>
      </c>
      <c r="B1213" s="9">
        <v>0.65763888888888888</v>
      </c>
      <c r="C1213" s="10" t="str">
        <f>"FES1162646567"</f>
        <v>FES1162646567</v>
      </c>
      <c r="D1213" s="10" t="s">
        <v>19</v>
      </c>
      <c r="E1213" s="10" t="s">
        <v>453</v>
      </c>
      <c r="F1213" s="10" t="str">
        <f>"2170648537 "</f>
        <v xml:space="preserve">2170648537 </v>
      </c>
      <c r="G1213" s="10" t="str">
        <f t="shared" si="32"/>
        <v>ON1</v>
      </c>
      <c r="H1213" s="10" t="s">
        <v>21</v>
      </c>
      <c r="I1213" s="10" t="s">
        <v>269</v>
      </c>
      <c r="J1213" s="10" t="str">
        <f>""</f>
        <v/>
      </c>
      <c r="K1213" s="10" t="str">
        <f>"PFES1162646567_0001"</f>
        <v>PFES1162646567_0001</v>
      </c>
      <c r="L1213" s="10">
        <v>2</v>
      </c>
      <c r="M1213" s="10">
        <v>16</v>
      </c>
    </row>
    <row r="1214" spans="1:13">
      <c r="A1214" s="8">
        <v>43354</v>
      </c>
      <c r="B1214" s="9">
        <v>0.65694444444444444</v>
      </c>
      <c r="C1214" s="10" t="str">
        <f>"FES1162646734"</f>
        <v>FES1162646734</v>
      </c>
      <c r="D1214" s="10" t="s">
        <v>19</v>
      </c>
      <c r="E1214" s="10" t="s">
        <v>583</v>
      </c>
      <c r="F1214" s="10" t="str">
        <f>"2170651411 "</f>
        <v xml:space="preserve">2170651411 </v>
      </c>
      <c r="G1214" s="10" t="str">
        <f t="shared" si="32"/>
        <v>ON1</v>
      </c>
      <c r="H1214" s="10" t="s">
        <v>21</v>
      </c>
      <c r="I1214" s="10" t="s">
        <v>584</v>
      </c>
      <c r="J1214" s="10" t="str">
        <f>""</f>
        <v/>
      </c>
      <c r="K1214" s="10" t="str">
        <f>"PFES1162646734_0001"</f>
        <v>PFES1162646734_0001</v>
      </c>
      <c r="L1214" s="10">
        <v>1</v>
      </c>
      <c r="M1214" s="10">
        <v>5</v>
      </c>
    </row>
    <row r="1215" spans="1:13">
      <c r="A1215" s="8">
        <v>43354</v>
      </c>
      <c r="B1215" s="9">
        <v>0.65555555555555556</v>
      </c>
      <c r="C1215" s="10" t="str">
        <f>"FES1162646731"</f>
        <v>FES1162646731</v>
      </c>
      <c r="D1215" s="10" t="s">
        <v>19</v>
      </c>
      <c r="E1215" s="10" t="s">
        <v>716</v>
      </c>
      <c r="F1215" s="10" t="str">
        <f>"2170651408 "</f>
        <v xml:space="preserve">2170651408 </v>
      </c>
      <c r="G1215" s="10" t="str">
        <f t="shared" si="32"/>
        <v>ON1</v>
      </c>
      <c r="H1215" s="10" t="s">
        <v>21</v>
      </c>
      <c r="I1215" s="10" t="s">
        <v>193</v>
      </c>
      <c r="J1215" s="10" t="str">
        <f>""</f>
        <v/>
      </c>
      <c r="K1215" s="10" t="str">
        <f>"PFES1162646731_0001"</f>
        <v>PFES1162646731_0001</v>
      </c>
      <c r="L1215" s="10">
        <v>1</v>
      </c>
      <c r="M1215" s="10">
        <v>4</v>
      </c>
    </row>
    <row r="1216" spans="1:13">
      <c r="A1216" s="8">
        <v>43354</v>
      </c>
      <c r="B1216" s="9">
        <v>0.65416666666666667</v>
      </c>
      <c r="C1216" s="10" t="str">
        <f>"FES1162646647"</f>
        <v>FES1162646647</v>
      </c>
      <c r="D1216" s="10" t="s">
        <v>19</v>
      </c>
      <c r="E1216" s="10" t="s">
        <v>717</v>
      </c>
      <c r="F1216" s="10" t="str">
        <f>"2170651320 "</f>
        <v xml:space="preserve">2170651320 </v>
      </c>
      <c r="G1216" s="10" t="str">
        <f t="shared" si="32"/>
        <v>ON1</v>
      </c>
      <c r="H1216" s="10" t="s">
        <v>21</v>
      </c>
      <c r="I1216" s="10" t="s">
        <v>554</v>
      </c>
      <c r="J1216" s="10" t="str">
        <f>""</f>
        <v/>
      </c>
      <c r="K1216" s="10" t="str">
        <f>"PFES1162646647_0001"</f>
        <v>PFES1162646647_0001</v>
      </c>
      <c r="L1216" s="10">
        <v>1</v>
      </c>
      <c r="M1216" s="10">
        <v>1</v>
      </c>
    </row>
    <row r="1217" spans="1:13">
      <c r="A1217" s="8">
        <v>43354</v>
      </c>
      <c r="B1217" s="9">
        <v>0.65277777777777779</v>
      </c>
      <c r="C1217" s="10" t="str">
        <f>"FES1162646649"</f>
        <v>FES1162646649</v>
      </c>
      <c r="D1217" s="10" t="s">
        <v>19</v>
      </c>
      <c r="E1217" s="10" t="s">
        <v>482</v>
      </c>
      <c r="F1217" s="10" t="str">
        <f>"2170651322 "</f>
        <v xml:space="preserve">2170651322 </v>
      </c>
      <c r="G1217" s="10" t="str">
        <f t="shared" si="32"/>
        <v>ON1</v>
      </c>
      <c r="H1217" s="10" t="s">
        <v>21</v>
      </c>
      <c r="I1217" s="10" t="s">
        <v>474</v>
      </c>
      <c r="J1217" s="10" t="str">
        <f>""</f>
        <v/>
      </c>
      <c r="K1217" s="10" t="str">
        <f>"PFES1162646649_0001"</f>
        <v>PFES1162646649_0001</v>
      </c>
      <c r="L1217" s="10">
        <v>1</v>
      </c>
      <c r="M1217" s="10">
        <v>2</v>
      </c>
    </row>
    <row r="1218" spans="1:13">
      <c r="A1218" s="8">
        <v>43354</v>
      </c>
      <c r="B1218" s="9">
        <v>0.65208333333333335</v>
      </c>
      <c r="C1218" s="10" t="str">
        <f>"FES1162646629"</f>
        <v>FES1162646629</v>
      </c>
      <c r="D1218" s="10" t="s">
        <v>19</v>
      </c>
      <c r="E1218" s="10" t="s">
        <v>690</v>
      </c>
      <c r="F1218" s="10" t="str">
        <f>"2170651188 "</f>
        <v xml:space="preserve">2170651188 </v>
      </c>
      <c r="G1218" s="10" t="str">
        <f t="shared" si="32"/>
        <v>ON1</v>
      </c>
      <c r="H1218" s="10" t="s">
        <v>21</v>
      </c>
      <c r="I1218" s="10" t="s">
        <v>691</v>
      </c>
      <c r="J1218" s="10" t="str">
        <f>""</f>
        <v/>
      </c>
      <c r="K1218" s="10" t="str">
        <f>"PFES1162646629_0001"</f>
        <v>PFES1162646629_0001</v>
      </c>
      <c r="L1218" s="10">
        <v>1</v>
      </c>
      <c r="M1218" s="10">
        <v>7</v>
      </c>
    </row>
    <row r="1219" spans="1:13">
      <c r="A1219" s="8">
        <v>43354</v>
      </c>
      <c r="B1219" s="9">
        <v>0.65138888888888891</v>
      </c>
      <c r="C1219" s="10" t="str">
        <f>"FES1162646725"</f>
        <v>FES1162646725</v>
      </c>
      <c r="D1219" s="10" t="s">
        <v>19</v>
      </c>
      <c r="E1219" s="10" t="s">
        <v>718</v>
      </c>
      <c r="F1219" s="10" t="str">
        <f>"2170651316 "</f>
        <v xml:space="preserve">2170651316 </v>
      </c>
      <c r="G1219" s="10" t="str">
        <f t="shared" si="32"/>
        <v>ON1</v>
      </c>
      <c r="H1219" s="10" t="s">
        <v>21</v>
      </c>
      <c r="I1219" s="10" t="s">
        <v>117</v>
      </c>
      <c r="J1219" s="10" t="str">
        <f>""</f>
        <v/>
      </c>
      <c r="K1219" s="10" t="str">
        <f>"PFES1162646725_0001"</f>
        <v>PFES1162646725_0001</v>
      </c>
      <c r="L1219" s="10">
        <v>1</v>
      </c>
      <c r="M1219" s="10">
        <v>1</v>
      </c>
    </row>
    <row r="1220" spans="1:13">
      <c r="A1220" s="8">
        <v>43354</v>
      </c>
      <c r="B1220" s="9">
        <v>0.65069444444444446</v>
      </c>
      <c r="C1220" s="10" t="str">
        <f>"FES1162646726"</f>
        <v>FES1162646726</v>
      </c>
      <c r="D1220" s="10" t="s">
        <v>19</v>
      </c>
      <c r="E1220" s="10" t="s">
        <v>457</v>
      </c>
      <c r="F1220" s="10" t="str">
        <f>"2170651376 "</f>
        <v xml:space="preserve">2170651376 </v>
      </c>
      <c r="G1220" s="10" t="str">
        <f t="shared" si="32"/>
        <v>ON1</v>
      </c>
      <c r="H1220" s="10" t="s">
        <v>21</v>
      </c>
      <c r="I1220" s="10" t="s">
        <v>387</v>
      </c>
      <c r="J1220" s="10" t="str">
        <f>""</f>
        <v/>
      </c>
      <c r="K1220" s="10" t="str">
        <f>"PFES1162646726_0001"</f>
        <v>PFES1162646726_0001</v>
      </c>
      <c r="L1220" s="10">
        <v>1</v>
      </c>
      <c r="M1220" s="10">
        <v>1</v>
      </c>
    </row>
    <row r="1221" spans="1:13">
      <c r="A1221" s="8">
        <v>43354</v>
      </c>
      <c r="B1221" s="9">
        <v>0.65069444444444446</v>
      </c>
      <c r="C1221" s="10" t="str">
        <f>"FES1162646712"</f>
        <v>FES1162646712</v>
      </c>
      <c r="D1221" s="10" t="s">
        <v>19</v>
      </c>
      <c r="E1221" s="10" t="s">
        <v>111</v>
      </c>
      <c r="F1221" s="10" t="str">
        <f>"2170651384 "</f>
        <v xml:space="preserve">2170651384 </v>
      </c>
      <c r="G1221" s="10" t="str">
        <f t="shared" si="32"/>
        <v>ON1</v>
      </c>
      <c r="H1221" s="10" t="s">
        <v>21</v>
      </c>
      <c r="I1221" s="10" t="s">
        <v>112</v>
      </c>
      <c r="J1221" s="10" t="str">
        <f>""</f>
        <v/>
      </c>
      <c r="K1221" s="10" t="str">
        <f>"PFES1162646712_0001"</f>
        <v>PFES1162646712_0001</v>
      </c>
      <c r="L1221" s="10">
        <v>1</v>
      </c>
      <c r="M1221" s="10">
        <v>1</v>
      </c>
    </row>
    <row r="1222" spans="1:13">
      <c r="A1222" s="8">
        <v>43354</v>
      </c>
      <c r="B1222" s="9">
        <v>0.65</v>
      </c>
      <c r="C1222" s="10" t="str">
        <f>"FES1162646699"</f>
        <v>FES1162646699</v>
      </c>
      <c r="D1222" s="10" t="s">
        <v>19</v>
      </c>
      <c r="E1222" s="10" t="s">
        <v>226</v>
      </c>
      <c r="F1222" s="10" t="str">
        <f>"2170651233 "</f>
        <v xml:space="preserve">2170651233 </v>
      </c>
      <c r="G1222" s="10" t="str">
        <f t="shared" si="32"/>
        <v>ON1</v>
      </c>
      <c r="H1222" s="10" t="s">
        <v>21</v>
      </c>
      <c r="I1222" s="10" t="s">
        <v>227</v>
      </c>
      <c r="J1222" s="10" t="str">
        <f>""</f>
        <v/>
      </c>
      <c r="K1222" s="10" t="str">
        <f>"PFES1162646699_0001"</f>
        <v>PFES1162646699_0001</v>
      </c>
      <c r="L1222" s="10">
        <v>1</v>
      </c>
      <c r="M1222" s="10">
        <v>6</v>
      </c>
    </row>
    <row r="1223" spans="1:13">
      <c r="A1223" s="8">
        <v>43354</v>
      </c>
      <c r="B1223" s="9">
        <v>0.65</v>
      </c>
      <c r="C1223" s="10" t="str">
        <f>"FES1162646730"</f>
        <v>FES1162646730</v>
      </c>
      <c r="D1223" s="10" t="s">
        <v>19</v>
      </c>
      <c r="E1223" s="10" t="s">
        <v>719</v>
      </c>
      <c r="F1223" s="10" t="str">
        <f>"2170651404 "</f>
        <v xml:space="preserve">2170651404 </v>
      </c>
      <c r="G1223" s="10" t="str">
        <f t="shared" si="32"/>
        <v>ON1</v>
      </c>
      <c r="H1223" s="10" t="s">
        <v>21</v>
      </c>
      <c r="I1223" s="10" t="s">
        <v>650</v>
      </c>
      <c r="J1223" s="10" t="str">
        <f>""</f>
        <v/>
      </c>
      <c r="K1223" s="10" t="str">
        <f>"PFES1162646730_0001"</f>
        <v>PFES1162646730_0001</v>
      </c>
      <c r="L1223" s="10">
        <v>1</v>
      </c>
      <c r="M1223" s="10">
        <v>1</v>
      </c>
    </row>
    <row r="1224" spans="1:13">
      <c r="A1224" s="8">
        <v>43354</v>
      </c>
      <c r="B1224" s="9">
        <v>0.64930555555555558</v>
      </c>
      <c r="C1224" s="10" t="str">
        <f>"FES1162646648"</f>
        <v>FES1162646648</v>
      </c>
      <c r="D1224" s="10" t="s">
        <v>19</v>
      </c>
      <c r="E1224" s="10" t="s">
        <v>75</v>
      </c>
      <c r="F1224" s="10" t="str">
        <f>"2170651321 "</f>
        <v xml:space="preserve">2170651321 </v>
      </c>
      <c r="G1224" s="10" t="str">
        <f t="shared" si="32"/>
        <v>ON1</v>
      </c>
      <c r="H1224" s="10" t="s">
        <v>21</v>
      </c>
      <c r="I1224" s="10" t="s">
        <v>591</v>
      </c>
      <c r="J1224" s="10" t="str">
        <f>""</f>
        <v/>
      </c>
      <c r="K1224" s="10" t="str">
        <f>"PFES1162646648_0001"</f>
        <v>PFES1162646648_0001</v>
      </c>
      <c r="L1224" s="10">
        <v>1</v>
      </c>
      <c r="M1224" s="10">
        <v>1</v>
      </c>
    </row>
    <row r="1225" spans="1:13">
      <c r="A1225" s="8">
        <v>43354</v>
      </c>
      <c r="B1225" s="9">
        <v>0.64930555555555558</v>
      </c>
      <c r="C1225" s="10" t="str">
        <f>"FES1162646700"</f>
        <v>FES1162646700</v>
      </c>
      <c r="D1225" s="10" t="s">
        <v>19</v>
      </c>
      <c r="E1225" s="10" t="s">
        <v>27</v>
      </c>
      <c r="F1225" s="10" t="str">
        <f>"2170651373 "</f>
        <v xml:space="preserve">2170651373 </v>
      </c>
      <c r="G1225" s="10" t="str">
        <f t="shared" si="32"/>
        <v>ON1</v>
      </c>
      <c r="H1225" s="10" t="s">
        <v>21</v>
      </c>
      <c r="I1225" s="10" t="s">
        <v>28</v>
      </c>
      <c r="J1225" s="10" t="str">
        <f>""</f>
        <v/>
      </c>
      <c r="K1225" s="10" t="str">
        <f>"PFES1162646700_0001"</f>
        <v>PFES1162646700_0001</v>
      </c>
      <c r="L1225" s="10">
        <v>1</v>
      </c>
      <c r="M1225" s="10">
        <v>1</v>
      </c>
    </row>
    <row r="1226" spans="1:13">
      <c r="A1226" s="8">
        <v>43354</v>
      </c>
      <c r="B1226" s="9">
        <v>0.64930555555555558</v>
      </c>
      <c r="C1226" s="10" t="str">
        <f>"FES1162646534"</f>
        <v>FES1162646534</v>
      </c>
      <c r="D1226" s="10" t="s">
        <v>19</v>
      </c>
      <c r="E1226" s="10" t="s">
        <v>720</v>
      </c>
      <c r="F1226" s="10" t="str">
        <f>"2170651232 "</f>
        <v xml:space="preserve">2170651232 </v>
      </c>
      <c r="G1226" s="10" t="str">
        <f t="shared" si="32"/>
        <v>ON1</v>
      </c>
      <c r="H1226" s="10" t="s">
        <v>21</v>
      </c>
      <c r="I1226" s="10" t="s">
        <v>721</v>
      </c>
      <c r="J1226" s="10" t="str">
        <f>""</f>
        <v/>
      </c>
      <c r="K1226" s="10" t="str">
        <f>"PFES1162646534_0001"</f>
        <v>PFES1162646534_0001</v>
      </c>
      <c r="L1226" s="10">
        <v>1</v>
      </c>
      <c r="M1226" s="10">
        <v>1</v>
      </c>
    </row>
    <row r="1227" spans="1:13">
      <c r="A1227" s="8">
        <v>43354</v>
      </c>
      <c r="B1227" s="9">
        <v>0.64861111111111114</v>
      </c>
      <c r="C1227" s="10" t="str">
        <f>"FES1162646671"</f>
        <v>FES1162646671</v>
      </c>
      <c r="D1227" s="10" t="s">
        <v>19</v>
      </c>
      <c r="E1227" s="10" t="s">
        <v>90</v>
      </c>
      <c r="F1227" s="10" t="str">
        <f>"2170651347 "</f>
        <v xml:space="preserve">2170651347 </v>
      </c>
      <c r="G1227" s="10" t="str">
        <f t="shared" si="32"/>
        <v>ON1</v>
      </c>
      <c r="H1227" s="10" t="s">
        <v>21</v>
      </c>
      <c r="I1227" s="10" t="s">
        <v>91</v>
      </c>
      <c r="J1227" s="10" t="str">
        <f>""</f>
        <v/>
      </c>
      <c r="K1227" s="10" t="str">
        <f>"PFES1162646671_0001"</f>
        <v>PFES1162646671_0001</v>
      </c>
      <c r="L1227" s="10">
        <v>1</v>
      </c>
      <c r="M1227" s="10">
        <v>1</v>
      </c>
    </row>
    <row r="1228" spans="1:13">
      <c r="A1228" s="8">
        <v>43354</v>
      </c>
      <c r="B1228" s="9">
        <v>0.64861111111111114</v>
      </c>
      <c r="C1228" s="10" t="str">
        <f>"FES1162646673"</f>
        <v>FES1162646673</v>
      </c>
      <c r="D1228" s="10" t="s">
        <v>19</v>
      </c>
      <c r="E1228" s="10" t="s">
        <v>137</v>
      </c>
      <c r="F1228" s="10" t="str">
        <f>"2170651348 "</f>
        <v xml:space="preserve">2170651348 </v>
      </c>
      <c r="G1228" s="10" t="str">
        <f t="shared" si="32"/>
        <v>ON1</v>
      </c>
      <c r="H1228" s="10" t="s">
        <v>21</v>
      </c>
      <c r="I1228" s="10" t="s">
        <v>138</v>
      </c>
      <c r="J1228" s="10" t="str">
        <f>""</f>
        <v/>
      </c>
      <c r="K1228" s="10" t="str">
        <f>"PFES1162646673_0001"</f>
        <v>PFES1162646673_0001</v>
      </c>
      <c r="L1228" s="10">
        <v>1</v>
      </c>
      <c r="M1228" s="10">
        <v>1</v>
      </c>
    </row>
    <row r="1229" spans="1:13">
      <c r="A1229" s="8">
        <v>43354</v>
      </c>
      <c r="B1229" s="9">
        <v>0.64861111111111114</v>
      </c>
      <c r="C1229" s="10" t="str">
        <f>"FES1162646667"</f>
        <v>FES1162646667</v>
      </c>
      <c r="D1229" s="10" t="s">
        <v>19</v>
      </c>
      <c r="E1229" s="10" t="s">
        <v>137</v>
      </c>
      <c r="F1229" s="10" t="str">
        <f>"2170651343 "</f>
        <v xml:space="preserve">2170651343 </v>
      </c>
      <c r="G1229" s="10" t="str">
        <f t="shared" si="32"/>
        <v>ON1</v>
      </c>
      <c r="H1229" s="10" t="s">
        <v>21</v>
      </c>
      <c r="I1229" s="10" t="s">
        <v>138</v>
      </c>
      <c r="J1229" s="10" t="str">
        <f>""</f>
        <v/>
      </c>
      <c r="K1229" s="10" t="str">
        <f>"PFES1162646667_0001"</f>
        <v>PFES1162646667_0001</v>
      </c>
      <c r="L1229" s="10">
        <v>1</v>
      </c>
      <c r="M1229" s="10">
        <v>1</v>
      </c>
    </row>
    <row r="1230" spans="1:13">
      <c r="A1230" s="8">
        <v>43354</v>
      </c>
      <c r="B1230" s="9">
        <v>0.6479166666666667</v>
      </c>
      <c r="C1230" s="10" t="str">
        <f>"FES1162646663"</f>
        <v>FES1162646663</v>
      </c>
      <c r="D1230" s="10" t="s">
        <v>19</v>
      </c>
      <c r="E1230" s="10" t="s">
        <v>482</v>
      </c>
      <c r="F1230" s="10" t="str">
        <f>"2170651339 "</f>
        <v xml:space="preserve">2170651339 </v>
      </c>
      <c r="G1230" s="10" t="str">
        <f t="shared" si="32"/>
        <v>ON1</v>
      </c>
      <c r="H1230" s="10" t="s">
        <v>21</v>
      </c>
      <c r="I1230" s="10" t="s">
        <v>474</v>
      </c>
      <c r="J1230" s="10" t="str">
        <f>""</f>
        <v/>
      </c>
      <c r="K1230" s="10" t="str">
        <f>"PFES1162646663_0001"</f>
        <v>PFES1162646663_0001</v>
      </c>
      <c r="L1230" s="10">
        <v>1</v>
      </c>
      <c r="M1230" s="10">
        <v>1</v>
      </c>
    </row>
    <row r="1231" spans="1:13">
      <c r="A1231" s="8">
        <v>43354</v>
      </c>
      <c r="B1231" s="9">
        <v>0.6479166666666667</v>
      </c>
      <c r="C1231" s="10" t="str">
        <f>"FES1162646650"</f>
        <v>FES1162646650</v>
      </c>
      <c r="D1231" s="10" t="s">
        <v>19</v>
      </c>
      <c r="E1231" s="10" t="s">
        <v>482</v>
      </c>
      <c r="F1231" s="10" t="str">
        <f>"2170651323 "</f>
        <v xml:space="preserve">2170651323 </v>
      </c>
      <c r="G1231" s="10" t="str">
        <f t="shared" si="32"/>
        <v>ON1</v>
      </c>
      <c r="H1231" s="10" t="s">
        <v>21</v>
      </c>
      <c r="I1231" s="10" t="s">
        <v>474</v>
      </c>
      <c r="J1231" s="10" t="str">
        <f>""</f>
        <v/>
      </c>
      <c r="K1231" s="10" t="str">
        <f>"PFES1162646650_0001"</f>
        <v>PFES1162646650_0001</v>
      </c>
      <c r="L1231" s="10">
        <v>1</v>
      </c>
      <c r="M1231" s="10">
        <v>1</v>
      </c>
    </row>
    <row r="1232" spans="1:13">
      <c r="A1232" s="8">
        <v>43354</v>
      </c>
      <c r="B1232" s="9">
        <v>0.6479166666666667</v>
      </c>
      <c r="C1232" s="10" t="str">
        <f>"FES1162646052"</f>
        <v>FES1162646052</v>
      </c>
      <c r="D1232" s="10" t="s">
        <v>19</v>
      </c>
      <c r="E1232" s="10" t="s">
        <v>623</v>
      </c>
      <c r="F1232" s="10" t="str">
        <f>"2170649975 "</f>
        <v xml:space="preserve">2170649975 </v>
      </c>
      <c r="G1232" s="10" t="str">
        <f t="shared" si="32"/>
        <v>ON1</v>
      </c>
      <c r="H1232" s="10" t="s">
        <v>21</v>
      </c>
      <c r="I1232" s="10" t="s">
        <v>100</v>
      </c>
      <c r="J1232" s="10" t="str">
        <f>""</f>
        <v/>
      </c>
      <c r="K1232" s="10" t="str">
        <f>"PFES1162646052_0001"</f>
        <v>PFES1162646052_0001</v>
      </c>
      <c r="L1232" s="10">
        <v>1</v>
      </c>
      <c r="M1232" s="10">
        <v>1</v>
      </c>
    </row>
    <row r="1233" spans="1:13">
      <c r="A1233" s="8">
        <v>43354</v>
      </c>
      <c r="B1233" s="9">
        <v>0.64722222222222225</v>
      </c>
      <c r="C1233" s="10" t="str">
        <f>"FES1162646513"</f>
        <v>FES1162646513</v>
      </c>
      <c r="D1233" s="10" t="s">
        <v>19</v>
      </c>
      <c r="E1233" s="10" t="s">
        <v>722</v>
      </c>
      <c r="F1233" s="10" t="str">
        <f>"2170651189 "</f>
        <v xml:space="preserve">2170651189 </v>
      </c>
      <c r="G1233" s="10" t="str">
        <f t="shared" si="32"/>
        <v>ON1</v>
      </c>
      <c r="H1233" s="10" t="s">
        <v>21</v>
      </c>
      <c r="I1233" s="10" t="s">
        <v>105</v>
      </c>
      <c r="J1233" s="10" t="str">
        <f>""</f>
        <v/>
      </c>
      <c r="K1233" s="10" t="str">
        <f>"PFES1162646513_0001"</f>
        <v>PFES1162646513_0001</v>
      </c>
      <c r="L1233" s="10">
        <v>1</v>
      </c>
      <c r="M1233" s="10">
        <v>1</v>
      </c>
    </row>
    <row r="1234" spans="1:13">
      <c r="A1234" s="8">
        <v>43354</v>
      </c>
      <c r="B1234" s="9">
        <v>0.64722222222222225</v>
      </c>
      <c r="C1234" s="10" t="str">
        <f>"FES1162646706"</f>
        <v>FES1162646706</v>
      </c>
      <c r="D1234" s="10" t="s">
        <v>19</v>
      </c>
      <c r="E1234" s="10" t="s">
        <v>144</v>
      </c>
      <c r="F1234" s="10" t="str">
        <f>"2170651377 "</f>
        <v xml:space="preserve">2170651377 </v>
      </c>
      <c r="G1234" s="10" t="str">
        <f t="shared" si="32"/>
        <v>ON1</v>
      </c>
      <c r="H1234" s="10" t="s">
        <v>21</v>
      </c>
      <c r="I1234" s="10" t="s">
        <v>145</v>
      </c>
      <c r="J1234" s="10" t="str">
        <f>""</f>
        <v/>
      </c>
      <c r="K1234" s="10" t="str">
        <f>"PFES1162646706_0001"</f>
        <v>PFES1162646706_0001</v>
      </c>
      <c r="L1234" s="10">
        <v>1</v>
      </c>
      <c r="M1234" s="10">
        <v>1</v>
      </c>
    </row>
    <row r="1235" spans="1:13">
      <c r="A1235" s="8">
        <v>43354</v>
      </c>
      <c r="B1235" s="9">
        <v>0.64722222222222225</v>
      </c>
      <c r="C1235" s="10" t="str">
        <f>"FES1162646053"</f>
        <v>FES1162646053</v>
      </c>
      <c r="D1235" s="10" t="s">
        <v>19</v>
      </c>
      <c r="E1235" s="10" t="s">
        <v>623</v>
      </c>
      <c r="F1235" s="10" t="str">
        <f>"2170659988 "</f>
        <v xml:space="preserve">2170659988 </v>
      </c>
      <c r="G1235" s="10" t="str">
        <f t="shared" si="32"/>
        <v>ON1</v>
      </c>
      <c r="H1235" s="10" t="s">
        <v>21</v>
      </c>
      <c r="I1235" s="10" t="s">
        <v>100</v>
      </c>
      <c r="J1235" s="10" t="str">
        <f>""</f>
        <v/>
      </c>
      <c r="K1235" s="10" t="str">
        <f>"PFES1162646053_0001"</f>
        <v>PFES1162646053_0001</v>
      </c>
      <c r="L1235" s="10">
        <v>1</v>
      </c>
      <c r="M1235" s="10">
        <v>1</v>
      </c>
    </row>
    <row r="1236" spans="1:13">
      <c r="A1236" s="8">
        <v>43354</v>
      </c>
      <c r="B1236" s="9">
        <v>0.64652777777777781</v>
      </c>
      <c r="C1236" s="10" t="str">
        <f>"FES1162646516"</f>
        <v>FES1162646516</v>
      </c>
      <c r="D1236" s="10" t="s">
        <v>19</v>
      </c>
      <c r="E1236" s="10" t="s">
        <v>363</v>
      </c>
      <c r="F1236" s="10" t="str">
        <f>"2170651220 "</f>
        <v xml:space="preserve">2170651220 </v>
      </c>
      <c r="G1236" s="10" t="str">
        <f t="shared" si="32"/>
        <v>ON1</v>
      </c>
      <c r="H1236" s="10" t="s">
        <v>21</v>
      </c>
      <c r="I1236" s="10" t="s">
        <v>177</v>
      </c>
      <c r="J1236" s="10" t="str">
        <f>""</f>
        <v/>
      </c>
      <c r="K1236" s="10" t="str">
        <f>"PFES1162646516_0001"</f>
        <v>PFES1162646516_0001</v>
      </c>
      <c r="L1236" s="10">
        <v>1</v>
      </c>
      <c r="M1236" s="10">
        <v>1</v>
      </c>
    </row>
    <row r="1237" spans="1:13">
      <c r="A1237" s="8">
        <v>43354</v>
      </c>
      <c r="B1237" s="9">
        <v>0.64652777777777781</v>
      </c>
      <c r="C1237" s="10" t="str">
        <f>"FES1162646683"</f>
        <v>FES1162646683</v>
      </c>
      <c r="D1237" s="10" t="s">
        <v>19</v>
      </c>
      <c r="E1237" s="10" t="s">
        <v>723</v>
      </c>
      <c r="F1237" s="10" t="str">
        <f>"2170651357 "</f>
        <v xml:space="preserve">2170651357 </v>
      </c>
      <c r="G1237" s="10" t="str">
        <f t="shared" si="32"/>
        <v>ON1</v>
      </c>
      <c r="H1237" s="10" t="s">
        <v>21</v>
      </c>
      <c r="I1237" s="10" t="s">
        <v>193</v>
      </c>
      <c r="J1237" s="10" t="str">
        <f>""</f>
        <v/>
      </c>
      <c r="K1237" s="10" t="str">
        <f>"PFES1162646683_0001"</f>
        <v>PFES1162646683_0001</v>
      </c>
      <c r="L1237" s="10">
        <v>1</v>
      </c>
      <c r="M1237" s="10">
        <v>1</v>
      </c>
    </row>
    <row r="1238" spans="1:13">
      <c r="A1238" s="8">
        <v>43354</v>
      </c>
      <c r="B1238" s="9">
        <v>0.64583333333333337</v>
      </c>
      <c r="C1238" s="10" t="str">
        <f>"FES1162646476"</f>
        <v>FES1162646476</v>
      </c>
      <c r="D1238" s="10" t="s">
        <v>19</v>
      </c>
      <c r="E1238" s="10" t="s">
        <v>724</v>
      </c>
      <c r="F1238" s="10" t="str">
        <f>"2170651203 "</f>
        <v xml:space="preserve">2170651203 </v>
      </c>
      <c r="G1238" s="10" t="str">
        <f t="shared" si="32"/>
        <v>ON1</v>
      </c>
      <c r="H1238" s="10" t="s">
        <v>21</v>
      </c>
      <c r="I1238" s="10" t="s">
        <v>725</v>
      </c>
      <c r="J1238" s="10" t="str">
        <f>""</f>
        <v/>
      </c>
      <c r="K1238" s="10" t="str">
        <f>"PFES1162646476_0001"</f>
        <v>PFES1162646476_0001</v>
      </c>
      <c r="L1238" s="10">
        <v>1</v>
      </c>
      <c r="M1238" s="10">
        <v>1</v>
      </c>
    </row>
    <row r="1239" spans="1:13">
      <c r="A1239" s="8">
        <v>43354</v>
      </c>
      <c r="B1239" s="9">
        <v>0.64583333333333337</v>
      </c>
      <c r="C1239" s="10" t="str">
        <f>"FES1162646669"</f>
        <v>FES1162646669</v>
      </c>
      <c r="D1239" s="10" t="s">
        <v>19</v>
      </c>
      <c r="E1239" s="10" t="s">
        <v>212</v>
      </c>
      <c r="F1239" s="10" t="str">
        <f>"2170651345 "</f>
        <v xml:space="preserve">2170651345 </v>
      </c>
      <c r="G1239" s="10" t="str">
        <f t="shared" si="32"/>
        <v>ON1</v>
      </c>
      <c r="H1239" s="10" t="s">
        <v>21</v>
      </c>
      <c r="I1239" s="10" t="s">
        <v>211</v>
      </c>
      <c r="J1239" s="10" t="str">
        <f>""</f>
        <v/>
      </c>
      <c r="K1239" s="10" t="str">
        <f>"PFES1162646669_0001"</f>
        <v>PFES1162646669_0001</v>
      </c>
      <c r="L1239" s="10">
        <v>1</v>
      </c>
      <c r="M1239" s="10">
        <v>1</v>
      </c>
    </row>
    <row r="1240" spans="1:13">
      <c r="A1240" s="8">
        <v>43354</v>
      </c>
      <c r="B1240" s="9">
        <v>0.64583333333333337</v>
      </c>
      <c r="C1240" s="10" t="str">
        <f>"FES1162646693"</f>
        <v>FES1162646693</v>
      </c>
      <c r="D1240" s="10" t="s">
        <v>19</v>
      </c>
      <c r="E1240" s="10" t="s">
        <v>92</v>
      </c>
      <c r="F1240" s="10" t="str">
        <f>"2170651368 "</f>
        <v xml:space="preserve">2170651368 </v>
      </c>
      <c r="G1240" s="10" t="str">
        <f t="shared" si="32"/>
        <v>ON1</v>
      </c>
      <c r="H1240" s="10" t="s">
        <v>21</v>
      </c>
      <c r="I1240" s="10" t="s">
        <v>93</v>
      </c>
      <c r="J1240" s="10" t="str">
        <f>""</f>
        <v/>
      </c>
      <c r="K1240" s="10" t="str">
        <f>"PFES1162646693_0001"</f>
        <v>PFES1162646693_0001</v>
      </c>
      <c r="L1240" s="10">
        <v>1</v>
      </c>
      <c r="M1240" s="10">
        <v>1</v>
      </c>
    </row>
    <row r="1241" spans="1:13">
      <c r="A1241" s="8">
        <v>43354</v>
      </c>
      <c r="B1241" s="9">
        <v>0.64513888888888882</v>
      </c>
      <c r="C1241" s="10" t="str">
        <f>"FES1162646733"</f>
        <v>FES1162646733</v>
      </c>
      <c r="D1241" s="10" t="s">
        <v>19</v>
      </c>
      <c r="E1241" s="10" t="s">
        <v>659</v>
      </c>
      <c r="F1241" s="10" t="str">
        <f>"2170651410 "</f>
        <v xml:space="preserve">2170651410 </v>
      </c>
      <c r="G1241" s="10" t="str">
        <f t="shared" si="32"/>
        <v>ON1</v>
      </c>
      <c r="H1241" s="10" t="s">
        <v>21</v>
      </c>
      <c r="I1241" s="10" t="s">
        <v>42</v>
      </c>
      <c r="J1241" s="10" t="str">
        <f>""</f>
        <v/>
      </c>
      <c r="K1241" s="10" t="str">
        <f>"PFES1162646733_0001"</f>
        <v>PFES1162646733_0001</v>
      </c>
      <c r="L1241" s="10">
        <v>1</v>
      </c>
      <c r="M1241" s="10">
        <v>1</v>
      </c>
    </row>
    <row r="1242" spans="1:13">
      <c r="A1242" s="8">
        <v>43354</v>
      </c>
      <c r="B1242" s="9">
        <v>0.63055555555555554</v>
      </c>
      <c r="C1242" s="10" t="str">
        <f>"FES1162646487"</f>
        <v>FES1162646487</v>
      </c>
      <c r="D1242" s="10" t="s">
        <v>19</v>
      </c>
      <c r="E1242" s="10" t="s">
        <v>726</v>
      </c>
      <c r="F1242" s="10" t="str">
        <f>"2170646718 "</f>
        <v xml:space="preserve">2170646718 </v>
      </c>
      <c r="G1242" s="10" t="str">
        <f>"DBC"</f>
        <v>DBC</v>
      </c>
      <c r="H1242" s="10" t="s">
        <v>21</v>
      </c>
      <c r="I1242" s="10" t="s">
        <v>124</v>
      </c>
      <c r="J1242" s="10" t="str">
        <f>""</f>
        <v/>
      </c>
      <c r="K1242" s="10" t="str">
        <f>"PFES1162646487_0001"</f>
        <v>PFES1162646487_0001</v>
      </c>
      <c r="L1242" s="10">
        <v>2</v>
      </c>
      <c r="M1242" s="10">
        <v>33</v>
      </c>
    </row>
    <row r="1243" spans="1:13">
      <c r="A1243" s="8">
        <v>43354</v>
      </c>
      <c r="B1243" s="9">
        <v>0.61944444444444446</v>
      </c>
      <c r="C1243" s="10" t="str">
        <f>"FES1162646402"</f>
        <v>FES1162646402</v>
      </c>
      <c r="D1243" s="10" t="s">
        <v>19</v>
      </c>
      <c r="E1243" s="10" t="s">
        <v>727</v>
      </c>
      <c r="F1243" s="10" t="str">
        <f>"2170648146 "</f>
        <v xml:space="preserve">2170648146 </v>
      </c>
      <c r="G1243" s="10" t="str">
        <f>"DBC"</f>
        <v>DBC</v>
      </c>
      <c r="H1243" s="10" t="s">
        <v>21</v>
      </c>
      <c r="I1243" s="10" t="s">
        <v>57</v>
      </c>
      <c r="J1243" s="10" t="str">
        <f>""</f>
        <v/>
      </c>
      <c r="K1243" s="10" t="str">
        <f>"PFES1162646402_0001"</f>
        <v>PFES1162646402_0001</v>
      </c>
      <c r="L1243" s="10">
        <v>1</v>
      </c>
      <c r="M1243" s="10">
        <v>20</v>
      </c>
    </row>
    <row r="1244" spans="1:13">
      <c r="A1244" s="8">
        <v>43354</v>
      </c>
      <c r="B1244" s="9">
        <v>0.61875000000000002</v>
      </c>
      <c r="C1244" s="10" t="str">
        <f>"FES1162646519"</f>
        <v>FES1162646519</v>
      </c>
      <c r="D1244" s="10" t="s">
        <v>19</v>
      </c>
      <c r="E1244" s="10" t="s">
        <v>710</v>
      </c>
      <c r="F1244" s="10" t="str">
        <f>"2170649841 "</f>
        <v xml:space="preserve">2170649841 </v>
      </c>
      <c r="G1244" s="10" t="str">
        <f>"ON1"</f>
        <v>ON1</v>
      </c>
      <c r="H1244" s="10" t="s">
        <v>21</v>
      </c>
      <c r="I1244" s="10" t="s">
        <v>711</v>
      </c>
      <c r="J1244" s="10" t="str">
        <f>""</f>
        <v/>
      </c>
      <c r="K1244" s="10" t="str">
        <f>"PFES1162646519_0001"</f>
        <v>PFES1162646519_0001</v>
      </c>
      <c r="L1244" s="10">
        <v>1</v>
      </c>
      <c r="M1244" s="10">
        <v>18</v>
      </c>
    </row>
    <row r="1245" spans="1:13">
      <c r="A1245" s="8">
        <v>43354</v>
      </c>
      <c r="B1245" s="9">
        <v>0.61875000000000002</v>
      </c>
      <c r="C1245" s="10" t="str">
        <f>"FES1162646527"</f>
        <v>FES1162646527</v>
      </c>
      <c r="D1245" s="10" t="s">
        <v>19</v>
      </c>
      <c r="E1245" s="10" t="s">
        <v>464</v>
      </c>
      <c r="F1245" s="10" t="str">
        <f>"2170651227 "</f>
        <v xml:space="preserve">2170651227 </v>
      </c>
      <c r="G1245" s="10" t="str">
        <f>"ON1"</f>
        <v>ON1</v>
      </c>
      <c r="H1245" s="10" t="s">
        <v>21</v>
      </c>
      <c r="I1245" s="10" t="s">
        <v>171</v>
      </c>
      <c r="J1245" s="10" t="str">
        <f>""</f>
        <v/>
      </c>
      <c r="K1245" s="10" t="str">
        <f>"PFES1162646527_0001"</f>
        <v>PFES1162646527_0001</v>
      </c>
      <c r="L1245" s="10">
        <v>1</v>
      </c>
      <c r="M1245" s="10">
        <v>3</v>
      </c>
    </row>
    <row r="1246" spans="1:13">
      <c r="A1246" s="8">
        <v>43354</v>
      </c>
      <c r="B1246" s="9">
        <v>0.61805555555555558</v>
      </c>
      <c r="C1246" s="10" t="str">
        <f>"FES1162646458"</f>
        <v>FES1162646458</v>
      </c>
      <c r="D1246" s="10" t="s">
        <v>19</v>
      </c>
      <c r="E1246" s="10" t="s">
        <v>151</v>
      </c>
      <c r="F1246" s="10" t="str">
        <f>"2170651171 "</f>
        <v xml:space="preserve">2170651171 </v>
      </c>
      <c r="G1246" s="10" t="str">
        <f>"ON1"</f>
        <v>ON1</v>
      </c>
      <c r="H1246" s="10" t="s">
        <v>21</v>
      </c>
      <c r="I1246" s="10" t="s">
        <v>152</v>
      </c>
      <c r="J1246" s="10" t="str">
        <f>""</f>
        <v/>
      </c>
      <c r="K1246" s="10" t="str">
        <f>"PFES1162646458_0001"</f>
        <v>PFES1162646458_0001</v>
      </c>
      <c r="L1246" s="10">
        <v>1</v>
      </c>
      <c r="M1246" s="10">
        <v>3</v>
      </c>
    </row>
    <row r="1247" spans="1:13">
      <c r="A1247" s="8">
        <v>43354</v>
      </c>
      <c r="B1247" s="9">
        <v>0.61805555555555558</v>
      </c>
      <c r="C1247" s="10" t="str">
        <f>"FES1162646594"</f>
        <v>FES1162646594</v>
      </c>
      <c r="D1247" s="10" t="s">
        <v>19</v>
      </c>
      <c r="E1247" s="10" t="s">
        <v>232</v>
      </c>
      <c r="F1247" s="10" t="str">
        <f>"2170651248 "</f>
        <v xml:space="preserve">2170651248 </v>
      </c>
      <c r="G1247" s="10" t="str">
        <f>"ON1"</f>
        <v>ON1</v>
      </c>
      <c r="H1247" s="10" t="s">
        <v>21</v>
      </c>
      <c r="I1247" s="10" t="s">
        <v>233</v>
      </c>
      <c r="J1247" s="10" t="str">
        <f>""</f>
        <v/>
      </c>
      <c r="K1247" s="10" t="str">
        <f>"PFES1162646594_0001"</f>
        <v>PFES1162646594_0001</v>
      </c>
      <c r="L1247" s="10">
        <v>1</v>
      </c>
      <c r="M1247" s="10">
        <v>3</v>
      </c>
    </row>
    <row r="1248" spans="1:13">
      <c r="A1248" s="8">
        <v>43354</v>
      </c>
      <c r="B1248" s="9">
        <v>0.61805555555555558</v>
      </c>
      <c r="C1248" s="10" t="str">
        <f>"FES1162646617"</f>
        <v>FES1162646617</v>
      </c>
      <c r="D1248" s="10" t="s">
        <v>19</v>
      </c>
      <c r="E1248" s="10" t="s">
        <v>196</v>
      </c>
      <c r="F1248" s="10" t="str">
        <f>"2170651275 "</f>
        <v xml:space="preserve">2170651275 </v>
      </c>
      <c r="G1248" s="10" t="str">
        <f>"DBC"</f>
        <v>DBC</v>
      </c>
      <c r="H1248" s="10" t="s">
        <v>21</v>
      </c>
      <c r="I1248" s="10" t="s">
        <v>197</v>
      </c>
      <c r="J1248" s="10" t="str">
        <f>"OIL"</f>
        <v>OIL</v>
      </c>
      <c r="K1248" s="10" t="str">
        <f>"PFES1162646617_0001"</f>
        <v>PFES1162646617_0001</v>
      </c>
      <c r="L1248" s="10">
        <v>1</v>
      </c>
      <c r="M1248" s="10">
        <v>5</v>
      </c>
    </row>
    <row r="1249" spans="1:13">
      <c r="A1249" s="8">
        <v>43354</v>
      </c>
      <c r="B1249" s="9">
        <v>0.61527777777777781</v>
      </c>
      <c r="C1249" s="10" t="str">
        <f>"FES1162646550"</f>
        <v>FES1162646550</v>
      </c>
      <c r="D1249" s="10" t="s">
        <v>19</v>
      </c>
      <c r="E1249" s="10" t="s">
        <v>232</v>
      </c>
      <c r="F1249" s="10" t="str">
        <f>"2170643311 "</f>
        <v xml:space="preserve">2170643311 </v>
      </c>
      <c r="G1249" s="10" t="str">
        <f>"DBC"</f>
        <v>DBC</v>
      </c>
      <c r="H1249" s="10" t="s">
        <v>21</v>
      </c>
      <c r="I1249" s="10" t="s">
        <v>233</v>
      </c>
      <c r="J1249" s="10" t="str">
        <f>""</f>
        <v/>
      </c>
      <c r="K1249" s="10" t="str">
        <f>"PFES1162646550_0001"</f>
        <v>PFES1162646550_0001</v>
      </c>
      <c r="L1249" s="10">
        <v>1</v>
      </c>
      <c r="M1249" s="10">
        <v>23</v>
      </c>
    </row>
    <row r="1250" spans="1:13">
      <c r="A1250" s="8">
        <v>43354</v>
      </c>
      <c r="B1250" s="9">
        <v>0.61458333333333337</v>
      </c>
      <c r="C1250" s="10" t="str">
        <f>"FES1162646494"</f>
        <v>FES1162646494</v>
      </c>
      <c r="D1250" s="10" t="s">
        <v>19</v>
      </c>
      <c r="E1250" s="10" t="s">
        <v>174</v>
      </c>
      <c r="F1250" s="10" t="str">
        <f>"2170647746 "</f>
        <v xml:space="preserve">2170647746 </v>
      </c>
      <c r="G1250" s="10" t="str">
        <f>"ON1"</f>
        <v>ON1</v>
      </c>
      <c r="H1250" s="10" t="s">
        <v>21</v>
      </c>
      <c r="I1250" s="10" t="s">
        <v>175</v>
      </c>
      <c r="J1250" s="10" t="str">
        <f>""</f>
        <v/>
      </c>
      <c r="K1250" s="10" t="str">
        <f>"PFES1162646494_0001"</f>
        <v>PFES1162646494_0001</v>
      </c>
      <c r="L1250" s="10">
        <v>2</v>
      </c>
      <c r="M1250" s="10">
        <v>10</v>
      </c>
    </row>
    <row r="1251" spans="1:13">
      <c r="A1251" s="8">
        <v>43354</v>
      </c>
      <c r="B1251" s="9">
        <v>0.61458333333333337</v>
      </c>
      <c r="C1251" s="10" t="str">
        <f>"FES1162646494"</f>
        <v>FES1162646494</v>
      </c>
      <c r="D1251" s="10" t="s">
        <v>19</v>
      </c>
      <c r="E1251" s="10" t="s">
        <v>174</v>
      </c>
      <c r="F1251" s="10" t="str">
        <f>"2170647746 "</f>
        <v xml:space="preserve">2170647746 </v>
      </c>
      <c r="G1251" s="10" t="str">
        <f>"ON1"</f>
        <v>ON1</v>
      </c>
      <c r="H1251" s="10" t="s">
        <v>21</v>
      </c>
      <c r="I1251" s="10" t="s">
        <v>175</v>
      </c>
      <c r="J1251" s="10"/>
      <c r="K1251" s="10" t="str">
        <f>"PFES1162646494_0002"</f>
        <v>PFES1162646494_0002</v>
      </c>
      <c r="L1251" s="10">
        <v>2</v>
      </c>
      <c r="M1251" s="10">
        <v>10</v>
      </c>
    </row>
    <row r="1252" spans="1:13">
      <c r="A1252" s="8">
        <v>43354</v>
      </c>
      <c r="B1252" s="9">
        <v>0.61388888888888882</v>
      </c>
      <c r="C1252" s="10" t="str">
        <f>"FES1162646460"</f>
        <v>FES1162646460</v>
      </c>
      <c r="D1252" s="10" t="s">
        <v>19</v>
      </c>
      <c r="E1252" s="10" t="s">
        <v>397</v>
      </c>
      <c r="F1252" s="10" t="str">
        <f>"2170651174 "</f>
        <v xml:space="preserve">2170651174 </v>
      </c>
      <c r="G1252" s="10" t="str">
        <f t="shared" ref="G1252:G1315" si="33">"ON1"</f>
        <v>ON1</v>
      </c>
      <c r="H1252" s="10" t="s">
        <v>21</v>
      </c>
      <c r="I1252" s="10" t="s">
        <v>89</v>
      </c>
      <c r="J1252" s="10" t="str">
        <f>""</f>
        <v/>
      </c>
      <c r="K1252" s="10" t="str">
        <f>"PFES1162646460_0001"</f>
        <v>PFES1162646460_0001</v>
      </c>
      <c r="L1252" s="10">
        <v>1</v>
      </c>
      <c r="M1252" s="10">
        <v>2</v>
      </c>
    </row>
    <row r="1253" spans="1:13">
      <c r="A1253" s="8">
        <v>43354</v>
      </c>
      <c r="B1253" s="9">
        <v>0.61388888888888882</v>
      </c>
      <c r="C1253" s="10" t="str">
        <f>"FES1162646697"</f>
        <v>FES1162646697</v>
      </c>
      <c r="D1253" s="10" t="s">
        <v>19</v>
      </c>
      <c r="E1253" s="10" t="s">
        <v>422</v>
      </c>
      <c r="F1253" s="10" t="str">
        <f>"2170649837 "</f>
        <v xml:space="preserve">2170649837 </v>
      </c>
      <c r="G1253" s="10" t="str">
        <f t="shared" si="33"/>
        <v>ON1</v>
      </c>
      <c r="H1253" s="10" t="s">
        <v>21</v>
      </c>
      <c r="I1253" s="10" t="s">
        <v>42</v>
      </c>
      <c r="J1253" s="10" t="str">
        <f>""</f>
        <v/>
      </c>
      <c r="K1253" s="10" t="str">
        <f>"PFES1162646697_0001"</f>
        <v>PFES1162646697_0001</v>
      </c>
      <c r="L1253" s="10">
        <v>1</v>
      </c>
      <c r="M1253" s="10">
        <v>4</v>
      </c>
    </row>
    <row r="1254" spans="1:13">
      <c r="A1254" s="8">
        <v>43354</v>
      </c>
      <c r="B1254" s="9">
        <v>0.61388888888888882</v>
      </c>
      <c r="C1254" s="10" t="str">
        <f>"FES1162646404"</f>
        <v>FES1162646404</v>
      </c>
      <c r="D1254" s="10" t="s">
        <v>19</v>
      </c>
      <c r="E1254" s="10" t="s">
        <v>103</v>
      </c>
      <c r="F1254" s="10" t="str">
        <f>"2170648612 "</f>
        <v xml:space="preserve">2170648612 </v>
      </c>
      <c r="G1254" s="10" t="str">
        <f t="shared" si="33"/>
        <v>ON1</v>
      </c>
      <c r="H1254" s="10" t="s">
        <v>21</v>
      </c>
      <c r="I1254" s="10" t="s">
        <v>433</v>
      </c>
      <c r="J1254" s="10" t="str">
        <f>""</f>
        <v/>
      </c>
      <c r="K1254" s="10" t="str">
        <f>"PFES1162646404_0001"</f>
        <v>PFES1162646404_0001</v>
      </c>
      <c r="L1254" s="10">
        <v>1</v>
      </c>
      <c r="M1254" s="10">
        <v>2</v>
      </c>
    </row>
    <row r="1255" spans="1:13">
      <c r="A1255" s="8">
        <v>43354</v>
      </c>
      <c r="B1255" s="9">
        <v>0.61388888888888882</v>
      </c>
      <c r="C1255" s="10" t="str">
        <f>"FES1162646485"</f>
        <v>FES1162646485</v>
      </c>
      <c r="D1255" s="10" t="s">
        <v>19</v>
      </c>
      <c r="E1255" s="10" t="s">
        <v>134</v>
      </c>
      <c r="F1255" s="10" t="str">
        <f>"2170646239 "</f>
        <v xml:space="preserve">2170646239 </v>
      </c>
      <c r="G1255" s="10" t="str">
        <f t="shared" si="33"/>
        <v>ON1</v>
      </c>
      <c r="H1255" s="10" t="s">
        <v>21</v>
      </c>
      <c r="I1255" s="10" t="s">
        <v>135</v>
      </c>
      <c r="J1255" s="10" t="str">
        <f>""</f>
        <v/>
      </c>
      <c r="K1255" s="10" t="str">
        <f>"PFES1162646485_0001"</f>
        <v>PFES1162646485_0001</v>
      </c>
      <c r="L1255" s="10">
        <v>1</v>
      </c>
      <c r="M1255" s="10">
        <v>4</v>
      </c>
    </row>
    <row r="1256" spans="1:13">
      <c r="A1256" s="8">
        <v>43354</v>
      </c>
      <c r="B1256" s="9">
        <v>0.61319444444444449</v>
      </c>
      <c r="C1256" s="10" t="str">
        <f>"FES1162646433"</f>
        <v>FES1162646433</v>
      </c>
      <c r="D1256" s="10" t="s">
        <v>19</v>
      </c>
      <c r="E1256" s="10" t="s">
        <v>375</v>
      </c>
      <c r="F1256" s="10" t="str">
        <f>"2170650273 "</f>
        <v xml:space="preserve">2170650273 </v>
      </c>
      <c r="G1256" s="10" t="str">
        <f t="shared" si="33"/>
        <v>ON1</v>
      </c>
      <c r="H1256" s="10" t="s">
        <v>21</v>
      </c>
      <c r="I1256" s="10" t="s">
        <v>44</v>
      </c>
      <c r="J1256" s="10" t="str">
        <f>""</f>
        <v/>
      </c>
      <c r="K1256" s="10" t="str">
        <f>"PFES1162646433_0001"</f>
        <v>PFES1162646433_0001</v>
      </c>
      <c r="L1256" s="10">
        <v>1</v>
      </c>
      <c r="M1256" s="10">
        <v>3</v>
      </c>
    </row>
    <row r="1257" spans="1:13">
      <c r="A1257" s="8">
        <v>43354</v>
      </c>
      <c r="B1257" s="9">
        <v>0.6118055555555556</v>
      </c>
      <c r="C1257" s="10" t="str">
        <f>"FES1162646255"</f>
        <v>FES1162646255</v>
      </c>
      <c r="D1257" s="10" t="s">
        <v>19</v>
      </c>
      <c r="E1257" s="10" t="s">
        <v>728</v>
      </c>
      <c r="F1257" s="10" t="str">
        <f>"2170651016 "</f>
        <v xml:space="preserve">2170651016 </v>
      </c>
      <c r="G1257" s="10" t="str">
        <f t="shared" si="33"/>
        <v>ON1</v>
      </c>
      <c r="H1257" s="10" t="s">
        <v>21</v>
      </c>
      <c r="I1257" s="10" t="s">
        <v>309</v>
      </c>
      <c r="J1257" s="10" t="str">
        <f>""</f>
        <v/>
      </c>
      <c r="K1257" s="10" t="str">
        <f>"PFES1162646255_0001"</f>
        <v>PFES1162646255_0001</v>
      </c>
      <c r="L1257" s="10">
        <v>1</v>
      </c>
      <c r="M1257" s="10">
        <v>5</v>
      </c>
    </row>
    <row r="1258" spans="1:13">
      <c r="A1258" s="8">
        <v>43354</v>
      </c>
      <c r="B1258" s="9">
        <v>0.61111111111111105</v>
      </c>
      <c r="C1258" s="10" t="str">
        <f>"FES1162646610"</f>
        <v>FES1162646610</v>
      </c>
      <c r="D1258" s="10" t="s">
        <v>19</v>
      </c>
      <c r="E1258" s="10" t="s">
        <v>395</v>
      </c>
      <c r="F1258" s="10" t="str">
        <f>"2170651268 "</f>
        <v xml:space="preserve">2170651268 </v>
      </c>
      <c r="G1258" s="10" t="str">
        <f t="shared" si="33"/>
        <v>ON1</v>
      </c>
      <c r="H1258" s="10" t="s">
        <v>21</v>
      </c>
      <c r="I1258" s="10" t="s">
        <v>396</v>
      </c>
      <c r="J1258" s="10" t="str">
        <f>""</f>
        <v/>
      </c>
      <c r="K1258" s="10" t="str">
        <f>"PFES1162646610_0001"</f>
        <v>PFES1162646610_0001</v>
      </c>
      <c r="L1258" s="10">
        <v>1</v>
      </c>
      <c r="M1258" s="10">
        <v>2</v>
      </c>
    </row>
    <row r="1259" spans="1:13">
      <c r="A1259" s="8">
        <v>43354</v>
      </c>
      <c r="B1259" s="9">
        <v>0.61111111111111105</v>
      </c>
      <c r="C1259" s="10" t="str">
        <f>"FES1162646535"</f>
        <v>FES1162646535</v>
      </c>
      <c r="D1259" s="10" t="s">
        <v>19</v>
      </c>
      <c r="E1259" s="10" t="s">
        <v>226</v>
      </c>
      <c r="F1259" s="10" t="str">
        <f>"2170651233 "</f>
        <v xml:space="preserve">2170651233 </v>
      </c>
      <c r="G1259" s="10" t="str">
        <f t="shared" si="33"/>
        <v>ON1</v>
      </c>
      <c r="H1259" s="10" t="s">
        <v>21</v>
      </c>
      <c r="I1259" s="10" t="s">
        <v>227</v>
      </c>
      <c r="J1259" s="10" t="str">
        <f>""</f>
        <v/>
      </c>
      <c r="K1259" s="10" t="str">
        <f>"PFES1162646535_0001"</f>
        <v>PFES1162646535_0001</v>
      </c>
      <c r="L1259" s="10">
        <v>1</v>
      </c>
      <c r="M1259" s="10">
        <v>5</v>
      </c>
    </row>
    <row r="1260" spans="1:13">
      <c r="A1260" s="8">
        <v>43354</v>
      </c>
      <c r="B1260" s="9">
        <v>0.61041666666666672</v>
      </c>
      <c r="C1260" s="10" t="str">
        <f>"FES1162646312"</f>
        <v>FES1162646312</v>
      </c>
      <c r="D1260" s="10" t="s">
        <v>19</v>
      </c>
      <c r="E1260" s="10" t="s">
        <v>729</v>
      </c>
      <c r="F1260" s="10" t="str">
        <f>"2170651085 "</f>
        <v xml:space="preserve">2170651085 </v>
      </c>
      <c r="G1260" s="10" t="str">
        <f t="shared" si="33"/>
        <v>ON1</v>
      </c>
      <c r="H1260" s="10" t="s">
        <v>21</v>
      </c>
      <c r="I1260" s="10" t="s">
        <v>147</v>
      </c>
      <c r="J1260" s="10" t="str">
        <f>""</f>
        <v/>
      </c>
      <c r="K1260" s="10" t="str">
        <f>"PFES1162646312_0001"</f>
        <v>PFES1162646312_0001</v>
      </c>
      <c r="L1260" s="10">
        <v>1</v>
      </c>
      <c r="M1260" s="10">
        <v>2</v>
      </c>
    </row>
    <row r="1261" spans="1:13">
      <c r="A1261" s="8">
        <v>43354</v>
      </c>
      <c r="B1261" s="9">
        <v>0.60833333333333328</v>
      </c>
      <c r="C1261" s="10" t="str">
        <f>"FES1162646701"</f>
        <v>FES1162646701</v>
      </c>
      <c r="D1261" s="10" t="s">
        <v>19</v>
      </c>
      <c r="E1261" s="10" t="s">
        <v>445</v>
      </c>
      <c r="F1261" s="10" t="str">
        <f>"2170651374 "</f>
        <v xml:space="preserve">2170651374 </v>
      </c>
      <c r="G1261" s="10" t="str">
        <f t="shared" si="33"/>
        <v>ON1</v>
      </c>
      <c r="H1261" s="10" t="s">
        <v>21</v>
      </c>
      <c r="I1261" s="10" t="s">
        <v>206</v>
      </c>
      <c r="J1261" s="10" t="str">
        <f>""</f>
        <v/>
      </c>
      <c r="K1261" s="10" t="str">
        <f>"PFES1162646701_0001"</f>
        <v>PFES1162646701_0001</v>
      </c>
      <c r="L1261" s="10">
        <v>1</v>
      </c>
      <c r="M1261" s="10">
        <v>1</v>
      </c>
    </row>
    <row r="1262" spans="1:13">
      <c r="A1262" s="8">
        <v>43354</v>
      </c>
      <c r="B1262" s="9">
        <v>0.60763888888888895</v>
      </c>
      <c r="C1262" s="10" t="str">
        <f>"FES1162646695"</f>
        <v>FES1162646695</v>
      </c>
      <c r="D1262" s="10" t="s">
        <v>19</v>
      </c>
      <c r="E1262" s="10" t="s">
        <v>281</v>
      </c>
      <c r="F1262" s="10" t="str">
        <f>"2170651370 "</f>
        <v xml:space="preserve">2170651370 </v>
      </c>
      <c r="G1262" s="10" t="str">
        <f t="shared" si="33"/>
        <v>ON1</v>
      </c>
      <c r="H1262" s="10" t="s">
        <v>21</v>
      </c>
      <c r="I1262" s="10" t="s">
        <v>282</v>
      </c>
      <c r="J1262" s="10" t="str">
        <f>""</f>
        <v/>
      </c>
      <c r="K1262" s="10" t="str">
        <f>"PFES1162646695_0001"</f>
        <v>PFES1162646695_0001</v>
      </c>
      <c r="L1262" s="10">
        <v>1</v>
      </c>
      <c r="M1262" s="10">
        <v>1</v>
      </c>
    </row>
    <row r="1263" spans="1:13">
      <c r="A1263" s="8">
        <v>43354</v>
      </c>
      <c r="B1263" s="9">
        <v>0.60763888888888895</v>
      </c>
      <c r="C1263" s="10" t="str">
        <f>"FES1162646694"</f>
        <v>FES1162646694</v>
      </c>
      <c r="D1263" s="10" t="s">
        <v>19</v>
      </c>
      <c r="E1263" s="10" t="s">
        <v>123</v>
      </c>
      <c r="F1263" s="10" t="str">
        <f>"2170651369 "</f>
        <v xml:space="preserve">2170651369 </v>
      </c>
      <c r="G1263" s="10" t="str">
        <f t="shared" si="33"/>
        <v>ON1</v>
      </c>
      <c r="H1263" s="10" t="s">
        <v>21</v>
      </c>
      <c r="I1263" s="10" t="s">
        <v>124</v>
      </c>
      <c r="J1263" s="10" t="str">
        <f>""</f>
        <v/>
      </c>
      <c r="K1263" s="10" t="str">
        <f>"PFES1162646694_0001"</f>
        <v>PFES1162646694_0001</v>
      </c>
      <c r="L1263" s="10">
        <v>1</v>
      </c>
      <c r="M1263" s="10">
        <v>1</v>
      </c>
    </row>
    <row r="1264" spans="1:13">
      <c r="A1264" s="8">
        <v>43354</v>
      </c>
      <c r="B1264" s="9">
        <v>0.60763888888888895</v>
      </c>
      <c r="C1264" s="10" t="str">
        <f>"FES1162646565"</f>
        <v>FES1162646565</v>
      </c>
      <c r="D1264" s="10" t="s">
        <v>19</v>
      </c>
      <c r="E1264" s="10" t="s">
        <v>37</v>
      </c>
      <c r="F1264" s="10" t="str">
        <f>"2170648375 "</f>
        <v xml:space="preserve">2170648375 </v>
      </c>
      <c r="G1264" s="10" t="str">
        <f t="shared" si="33"/>
        <v>ON1</v>
      </c>
      <c r="H1264" s="10" t="s">
        <v>21</v>
      </c>
      <c r="I1264" s="10" t="s">
        <v>26</v>
      </c>
      <c r="J1264" s="10" t="str">
        <f>""</f>
        <v/>
      </c>
      <c r="K1264" s="10" t="str">
        <f>"PFES1162646565_0001"</f>
        <v>PFES1162646565_0001</v>
      </c>
      <c r="L1264" s="10">
        <v>1</v>
      </c>
      <c r="M1264" s="10">
        <v>1</v>
      </c>
    </row>
    <row r="1265" spans="1:13">
      <c r="A1265" s="8">
        <v>43354</v>
      </c>
      <c r="B1265" s="9">
        <v>0.6069444444444444</v>
      </c>
      <c r="C1265" s="10" t="str">
        <f>"FES1162646632"</f>
        <v>FES1162646632</v>
      </c>
      <c r="D1265" s="10" t="s">
        <v>19</v>
      </c>
      <c r="E1265" s="10" t="s">
        <v>226</v>
      </c>
      <c r="F1265" s="10" t="str">
        <f>"2170651294 "</f>
        <v xml:space="preserve">2170651294 </v>
      </c>
      <c r="G1265" s="10" t="str">
        <f t="shared" si="33"/>
        <v>ON1</v>
      </c>
      <c r="H1265" s="10" t="s">
        <v>21</v>
      </c>
      <c r="I1265" s="10" t="s">
        <v>227</v>
      </c>
      <c r="J1265" s="10" t="str">
        <f>""</f>
        <v/>
      </c>
      <c r="K1265" s="10" t="str">
        <f>"PFES1162646632_0001"</f>
        <v>PFES1162646632_0001</v>
      </c>
      <c r="L1265" s="10">
        <v>1</v>
      </c>
      <c r="M1265" s="10">
        <v>1</v>
      </c>
    </row>
    <row r="1266" spans="1:13">
      <c r="A1266" s="8">
        <v>43354</v>
      </c>
      <c r="B1266" s="9">
        <v>0.6069444444444444</v>
      </c>
      <c r="C1266" s="10" t="str">
        <f>"FES1162646180"</f>
        <v>FES1162646180</v>
      </c>
      <c r="D1266" s="10" t="s">
        <v>19</v>
      </c>
      <c r="E1266" s="10" t="s">
        <v>698</v>
      </c>
      <c r="F1266" s="10" t="str">
        <f>"2170650544 "</f>
        <v xml:space="preserve">2170650544 </v>
      </c>
      <c r="G1266" s="10" t="str">
        <f t="shared" si="33"/>
        <v>ON1</v>
      </c>
      <c r="H1266" s="10" t="s">
        <v>21</v>
      </c>
      <c r="I1266" s="10" t="s">
        <v>126</v>
      </c>
      <c r="J1266" s="10" t="str">
        <f>""</f>
        <v/>
      </c>
      <c r="K1266" s="10" t="str">
        <f>"PFES1162646180_0001"</f>
        <v>PFES1162646180_0001</v>
      </c>
      <c r="L1266" s="10">
        <v>1</v>
      </c>
      <c r="M1266" s="10">
        <v>1</v>
      </c>
    </row>
    <row r="1267" spans="1:13">
      <c r="A1267" s="8">
        <v>43354</v>
      </c>
      <c r="B1267" s="9">
        <v>0.60625000000000007</v>
      </c>
      <c r="C1267" s="10" t="str">
        <f>"FES1162646459"</f>
        <v>FES1162646459</v>
      </c>
      <c r="D1267" s="10" t="s">
        <v>19</v>
      </c>
      <c r="E1267" s="10" t="s">
        <v>730</v>
      </c>
      <c r="F1267" s="10" t="str">
        <f>"2170651173 "</f>
        <v xml:space="preserve">2170651173 </v>
      </c>
      <c r="G1267" s="10" t="str">
        <f t="shared" si="33"/>
        <v>ON1</v>
      </c>
      <c r="H1267" s="10" t="s">
        <v>21</v>
      </c>
      <c r="I1267" s="10" t="s">
        <v>177</v>
      </c>
      <c r="J1267" s="10" t="str">
        <f>""</f>
        <v/>
      </c>
      <c r="K1267" s="10" t="str">
        <f>"PFES1162646459_0001"</f>
        <v>PFES1162646459_0001</v>
      </c>
      <c r="L1267" s="10">
        <v>1</v>
      </c>
      <c r="M1267" s="10">
        <v>1</v>
      </c>
    </row>
    <row r="1268" spans="1:13">
      <c r="A1268" s="8">
        <v>43354</v>
      </c>
      <c r="B1268" s="9">
        <v>0.60625000000000007</v>
      </c>
      <c r="C1268" s="10" t="str">
        <f>"FES1162646576"</f>
        <v>FES1162646576</v>
      </c>
      <c r="D1268" s="10" t="s">
        <v>19</v>
      </c>
      <c r="E1268" s="10" t="s">
        <v>482</v>
      </c>
      <c r="F1268" s="10" t="str">
        <f>"2170649197 "</f>
        <v xml:space="preserve">2170649197 </v>
      </c>
      <c r="G1268" s="10" t="str">
        <f t="shared" si="33"/>
        <v>ON1</v>
      </c>
      <c r="H1268" s="10" t="s">
        <v>21</v>
      </c>
      <c r="I1268" s="10" t="s">
        <v>474</v>
      </c>
      <c r="J1268" s="10" t="str">
        <f>""</f>
        <v/>
      </c>
      <c r="K1268" s="10" t="str">
        <f>"PFES1162646576_0001"</f>
        <v>PFES1162646576_0001</v>
      </c>
      <c r="L1268" s="10">
        <v>1</v>
      </c>
      <c r="M1268" s="10">
        <v>17</v>
      </c>
    </row>
    <row r="1269" spans="1:13">
      <c r="A1269" s="8">
        <v>43354</v>
      </c>
      <c r="B1269" s="9">
        <v>0.60555555555555551</v>
      </c>
      <c r="C1269" s="10" t="str">
        <f>"FES1162646387"</f>
        <v>FES1162646387</v>
      </c>
      <c r="D1269" s="10" t="s">
        <v>19</v>
      </c>
      <c r="E1269" s="10" t="s">
        <v>590</v>
      </c>
      <c r="F1269" s="10" t="str">
        <f>"2170650798 "</f>
        <v xml:space="preserve">2170650798 </v>
      </c>
      <c r="G1269" s="10" t="str">
        <f t="shared" si="33"/>
        <v>ON1</v>
      </c>
      <c r="H1269" s="10" t="s">
        <v>21</v>
      </c>
      <c r="I1269" s="10" t="s">
        <v>591</v>
      </c>
      <c r="J1269" s="10" t="str">
        <f>""</f>
        <v/>
      </c>
      <c r="K1269" s="10" t="str">
        <f>"PFES1162646387_0001"</f>
        <v>PFES1162646387_0001</v>
      </c>
      <c r="L1269" s="10">
        <v>1</v>
      </c>
      <c r="M1269" s="10">
        <v>5</v>
      </c>
    </row>
    <row r="1270" spans="1:13">
      <c r="A1270" s="8">
        <v>43354</v>
      </c>
      <c r="B1270" s="9">
        <v>0.60555555555555551</v>
      </c>
      <c r="C1270" s="10" t="str">
        <f>"FES1162646450"</f>
        <v>FES1162646450</v>
      </c>
      <c r="D1270" s="10" t="s">
        <v>19</v>
      </c>
      <c r="E1270" s="10" t="s">
        <v>731</v>
      </c>
      <c r="F1270" s="10" t="str">
        <f>"2170651066 "</f>
        <v xml:space="preserve">2170651066 </v>
      </c>
      <c r="G1270" s="10" t="str">
        <f t="shared" si="33"/>
        <v>ON1</v>
      </c>
      <c r="H1270" s="10" t="s">
        <v>21</v>
      </c>
      <c r="I1270" s="10" t="s">
        <v>732</v>
      </c>
      <c r="J1270" s="10" t="str">
        <f>""</f>
        <v/>
      </c>
      <c r="K1270" s="10" t="str">
        <f>"PFES1162646450_0001"</f>
        <v>PFES1162646450_0001</v>
      </c>
      <c r="L1270" s="10">
        <v>1</v>
      </c>
      <c r="M1270" s="10">
        <v>1</v>
      </c>
    </row>
    <row r="1271" spans="1:13">
      <c r="A1271" s="8">
        <v>43354</v>
      </c>
      <c r="B1271" s="9">
        <v>0.60486111111111118</v>
      </c>
      <c r="C1271" s="10" t="str">
        <f>"FES1162646395"</f>
        <v>FES1162646395</v>
      </c>
      <c r="D1271" s="10" t="s">
        <v>19</v>
      </c>
      <c r="E1271" s="10" t="s">
        <v>232</v>
      </c>
      <c r="F1271" s="10" t="str">
        <f>"2170645071 "</f>
        <v xml:space="preserve">2170645071 </v>
      </c>
      <c r="G1271" s="10" t="str">
        <f t="shared" si="33"/>
        <v>ON1</v>
      </c>
      <c r="H1271" s="10" t="s">
        <v>21</v>
      </c>
      <c r="I1271" s="10" t="s">
        <v>233</v>
      </c>
      <c r="J1271" s="10" t="str">
        <f>""</f>
        <v/>
      </c>
      <c r="K1271" s="10" t="str">
        <f>"PFES1162646395_0001"</f>
        <v>PFES1162646395_0001</v>
      </c>
      <c r="L1271" s="10">
        <v>1</v>
      </c>
      <c r="M1271" s="10">
        <v>5</v>
      </c>
    </row>
    <row r="1272" spans="1:13">
      <c r="A1272" s="8">
        <v>43354</v>
      </c>
      <c r="B1272" s="9">
        <v>0.60416666666666663</v>
      </c>
      <c r="C1272" s="10" t="str">
        <f>"FES1162646481"</f>
        <v>FES1162646481</v>
      </c>
      <c r="D1272" s="10" t="s">
        <v>19</v>
      </c>
      <c r="E1272" s="10" t="s">
        <v>733</v>
      </c>
      <c r="F1272" s="10" t="str">
        <f>"2170641751 "</f>
        <v xml:space="preserve">2170641751 </v>
      </c>
      <c r="G1272" s="10" t="str">
        <f t="shared" si="33"/>
        <v>ON1</v>
      </c>
      <c r="H1272" s="10" t="s">
        <v>21</v>
      </c>
      <c r="I1272" s="10" t="s">
        <v>525</v>
      </c>
      <c r="J1272" s="10" t="str">
        <f>""</f>
        <v/>
      </c>
      <c r="K1272" s="10" t="str">
        <f>"PFES1162646481_0001"</f>
        <v>PFES1162646481_0001</v>
      </c>
      <c r="L1272" s="10">
        <v>1</v>
      </c>
      <c r="M1272" s="10">
        <v>1</v>
      </c>
    </row>
    <row r="1273" spans="1:13">
      <c r="A1273" s="8">
        <v>43354</v>
      </c>
      <c r="B1273" s="9">
        <v>0.60277777777777775</v>
      </c>
      <c r="C1273" s="10" t="str">
        <f>"FES1162646585"</f>
        <v>FES1162646585</v>
      </c>
      <c r="D1273" s="10" t="s">
        <v>19</v>
      </c>
      <c r="E1273" s="10" t="s">
        <v>134</v>
      </c>
      <c r="F1273" s="10" t="str">
        <f>"2170649367 "</f>
        <v xml:space="preserve">2170649367 </v>
      </c>
      <c r="G1273" s="10" t="str">
        <f t="shared" si="33"/>
        <v>ON1</v>
      </c>
      <c r="H1273" s="10" t="s">
        <v>21</v>
      </c>
      <c r="I1273" s="10" t="s">
        <v>135</v>
      </c>
      <c r="J1273" s="10" t="str">
        <f>""</f>
        <v/>
      </c>
      <c r="K1273" s="10" t="str">
        <f>"PFES1162646585_0001"</f>
        <v>PFES1162646585_0001</v>
      </c>
      <c r="L1273" s="10">
        <v>1</v>
      </c>
      <c r="M1273" s="10">
        <v>2</v>
      </c>
    </row>
    <row r="1274" spans="1:13">
      <c r="A1274" s="8">
        <v>43354</v>
      </c>
      <c r="B1274" s="9">
        <v>0.6020833333333333</v>
      </c>
      <c r="C1274" s="10" t="str">
        <f>"FES1162646609"</f>
        <v>FES1162646609</v>
      </c>
      <c r="D1274" s="10" t="s">
        <v>19</v>
      </c>
      <c r="E1274" s="10" t="s">
        <v>734</v>
      </c>
      <c r="F1274" s="10" t="str">
        <f>"2170647173 "</f>
        <v xml:space="preserve">2170647173 </v>
      </c>
      <c r="G1274" s="10" t="str">
        <f t="shared" si="33"/>
        <v>ON1</v>
      </c>
      <c r="H1274" s="10" t="s">
        <v>21</v>
      </c>
      <c r="I1274" s="10" t="s">
        <v>400</v>
      </c>
      <c r="J1274" s="10" t="str">
        <f>""</f>
        <v/>
      </c>
      <c r="K1274" s="10" t="str">
        <f>"PFES1162646609_0001"</f>
        <v>PFES1162646609_0001</v>
      </c>
      <c r="L1274" s="10">
        <v>1</v>
      </c>
      <c r="M1274" s="10">
        <v>1</v>
      </c>
    </row>
    <row r="1275" spans="1:13">
      <c r="A1275" s="8">
        <v>43354</v>
      </c>
      <c r="B1275" s="9">
        <v>0.60138888888888886</v>
      </c>
      <c r="C1275" s="10" t="str">
        <f>"FES1162646613"</f>
        <v>FES1162646613</v>
      </c>
      <c r="D1275" s="10" t="s">
        <v>19</v>
      </c>
      <c r="E1275" s="10" t="s">
        <v>141</v>
      </c>
      <c r="F1275" s="10" t="str">
        <f>"2170651272 "</f>
        <v xml:space="preserve">2170651272 </v>
      </c>
      <c r="G1275" s="10" t="str">
        <f t="shared" si="33"/>
        <v>ON1</v>
      </c>
      <c r="H1275" s="10" t="s">
        <v>21</v>
      </c>
      <c r="I1275" s="10" t="s">
        <v>91</v>
      </c>
      <c r="J1275" s="10" t="str">
        <f>""</f>
        <v/>
      </c>
      <c r="K1275" s="10" t="str">
        <f>"PFES1162646613_0001"</f>
        <v>PFES1162646613_0001</v>
      </c>
      <c r="L1275" s="10">
        <v>1</v>
      </c>
      <c r="M1275" s="10">
        <v>11</v>
      </c>
    </row>
    <row r="1276" spans="1:13">
      <c r="A1276" s="8">
        <v>43354</v>
      </c>
      <c r="B1276" s="9">
        <v>0.60069444444444442</v>
      </c>
      <c r="C1276" s="10" t="str">
        <f>"FES1162646477"</f>
        <v>FES1162646477</v>
      </c>
      <c r="D1276" s="10" t="s">
        <v>19</v>
      </c>
      <c r="E1276" s="10" t="s">
        <v>218</v>
      </c>
      <c r="F1276" s="10" t="str">
        <f>"2170651204 "</f>
        <v xml:space="preserve">2170651204 </v>
      </c>
      <c r="G1276" s="10" t="str">
        <f t="shared" si="33"/>
        <v>ON1</v>
      </c>
      <c r="H1276" s="10" t="s">
        <v>21</v>
      </c>
      <c r="I1276" s="10" t="s">
        <v>24</v>
      </c>
      <c r="J1276" s="10" t="str">
        <f>""</f>
        <v/>
      </c>
      <c r="K1276" s="10" t="str">
        <f>"PFES1162646477_0001"</f>
        <v>PFES1162646477_0001</v>
      </c>
      <c r="L1276" s="10">
        <v>1</v>
      </c>
      <c r="M1276" s="10">
        <v>1</v>
      </c>
    </row>
    <row r="1277" spans="1:13">
      <c r="A1277" s="8">
        <v>43354</v>
      </c>
      <c r="B1277" s="9">
        <v>0.6</v>
      </c>
      <c r="C1277" s="10" t="str">
        <f>"FES1162646517"</f>
        <v>FES1162646517</v>
      </c>
      <c r="D1277" s="10" t="s">
        <v>19</v>
      </c>
      <c r="E1277" s="10" t="s">
        <v>181</v>
      </c>
      <c r="F1277" s="10" t="str">
        <f>"2170639307 "</f>
        <v xml:space="preserve">2170639307 </v>
      </c>
      <c r="G1277" s="10" t="str">
        <f t="shared" si="33"/>
        <v>ON1</v>
      </c>
      <c r="H1277" s="10" t="s">
        <v>21</v>
      </c>
      <c r="I1277" s="10" t="s">
        <v>24</v>
      </c>
      <c r="J1277" s="10" t="str">
        <f>""</f>
        <v/>
      </c>
      <c r="K1277" s="10" t="str">
        <f>"PFES1162646517_0001"</f>
        <v>PFES1162646517_0001</v>
      </c>
      <c r="L1277" s="10">
        <v>1</v>
      </c>
      <c r="M1277" s="10">
        <v>1</v>
      </c>
    </row>
    <row r="1278" spans="1:13">
      <c r="A1278" s="8">
        <v>43354</v>
      </c>
      <c r="B1278" s="9">
        <v>0.59861111111111109</v>
      </c>
      <c r="C1278" s="10" t="str">
        <f>"FES1162646496"</f>
        <v>FES1162646496</v>
      </c>
      <c r="D1278" s="10" t="s">
        <v>19</v>
      </c>
      <c r="E1278" s="10" t="s">
        <v>158</v>
      </c>
      <c r="F1278" s="10" t="str">
        <f>"2170648001 "</f>
        <v xml:space="preserve">2170648001 </v>
      </c>
      <c r="G1278" s="10" t="str">
        <f t="shared" si="33"/>
        <v>ON1</v>
      </c>
      <c r="H1278" s="10" t="s">
        <v>21</v>
      </c>
      <c r="I1278" s="10" t="s">
        <v>159</v>
      </c>
      <c r="J1278" s="10" t="str">
        <f>""</f>
        <v/>
      </c>
      <c r="K1278" s="10" t="str">
        <f>"PFES1162646496_0001"</f>
        <v>PFES1162646496_0001</v>
      </c>
      <c r="L1278" s="10">
        <v>2</v>
      </c>
      <c r="M1278" s="10">
        <v>5</v>
      </c>
    </row>
    <row r="1279" spans="1:13">
      <c r="A1279" s="8">
        <v>43354</v>
      </c>
      <c r="B1279" s="9">
        <v>0.59722222222222221</v>
      </c>
      <c r="C1279" s="10" t="str">
        <f>"FES1162646552"</f>
        <v>FES1162646552</v>
      </c>
      <c r="D1279" s="10" t="s">
        <v>19</v>
      </c>
      <c r="E1279" s="10" t="s">
        <v>666</v>
      </c>
      <c r="F1279" s="10" t="str">
        <f>"2170643748 "</f>
        <v xml:space="preserve">2170643748 </v>
      </c>
      <c r="G1279" s="10" t="str">
        <f t="shared" si="33"/>
        <v>ON1</v>
      </c>
      <c r="H1279" s="10" t="s">
        <v>21</v>
      </c>
      <c r="I1279" s="10" t="s">
        <v>486</v>
      </c>
      <c r="J1279" s="10" t="str">
        <f>""</f>
        <v/>
      </c>
      <c r="K1279" s="10" t="str">
        <f>"PFES1162646552_0001"</f>
        <v>PFES1162646552_0001</v>
      </c>
      <c r="L1279" s="10">
        <v>1</v>
      </c>
      <c r="M1279" s="10">
        <v>3</v>
      </c>
    </row>
    <row r="1280" spans="1:13">
      <c r="A1280" s="8">
        <v>43354</v>
      </c>
      <c r="B1280" s="9">
        <v>0.59583333333333333</v>
      </c>
      <c r="C1280" s="10" t="str">
        <f>"FES1162646509"</f>
        <v>FES1162646509</v>
      </c>
      <c r="D1280" s="10" t="s">
        <v>19</v>
      </c>
      <c r="E1280" s="10" t="s">
        <v>664</v>
      </c>
      <c r="F1280" s="10" t="str">
        <f>"2170651214 "</f>
        <v xml:space="preserve">2170651214 </v>
      </c>
      <c r="G1280" s="10" t="str">
        <f t="shared" si="33"/>
        <v>ON1</v>
      </c>
      <c r="H1280" s="10" t="s">
        <v>21</v>
      </c>
      <c r="I1280" s="10" t="s">
        <v>308</v>
      </c>
      <c r="J1280" s="10" t="str">
        <f>""</f>
        <v/>
      </c>
      <c r="K1280" s="10" t="str">
        <f>"PFES1162646509_0001"</f>
        <v>PFES1162646509_0001</v>
      </c>
      <c r="L1280" s="10">
        <v>1</v>
      </c>
      <c r="M1280" s="10">
        <v>3</v>
      </c>
    </row>
    <row r="1281" spans="1:13">
      <c r="A1281" s="8">
        <v>43354</v>
      </c>
      <c r="B1281" s="9">
        <v>0.59444444444444444</v>
      </c>
      <c r="C1281" s="10" t="str">
        <f>"FES1162646681"</f>
        <v>FES1162646681</v>
      </c>
      <c r="D1281" s="10" t="s">
        <v>19</v>
      </c>
      <c r="E1281" s="10" t="s">
        <v>336</v>
      </c>
      <c r="F1281" s="10" t="str">
        <f>"2170651355 "</f>
        <v xml:space="preserve">2170651355 </v>
      </c>
      <c r="G1281" s="10" t="str">
        <f t="shared" si="33"/>
        <v>ON1</v>
      </c>
      <c r="H1281" s="10" t="s">
        <v>21</v>
      </c>
      <c r="I1281" s="10" t="s">
        <v>117</v>
      </c>
      <c r="J1281" s="10" t="str">
        <f>""</f>
        <v/>
      </c>
      <c r="K1281" s="10" t="str">
        <f>"PFES1162646681_0001"</f>
        <v>PFES1162646681_0001</v>
      </c>
      <c r="L1281" s="10">
        <v>1</v>
      </c>
      <c r="M1281" s="10">
        <v>1</v>
      </c>
    </row>
    <row r="1282" spans="1:13">
      <c r="A1282" s="8">
        <v>43354</v>
      </c>
      <c r="B1282" s="9">
        <v>0.59444444444444444</v>
      </c>
      <c r="C1282" s="10" t="str">
        <f>"FES1162646680"</f>
        <v>FES1162646680</v>
      </c>
      <c r="D1282" s="10" t="s">
        <v>19</v>
      </c>
      <c r="E1282" s="10" t="s">
        <v>336</v>
      </c>
      <c r="F1282" s="10" t="str">
        <f>"2170651354 "</f>
        <v xml:space="preserve">2170651354 </v>
      </c>
      <c r="G1282" s="10" t="str">
        <f t="shared" si="33"/>
        <v>ON1</v>
      </c>
      <c r="H1282" s="10" t="s">
        <v>21</v>
      </c>
      <c r="I1282" s="10" t="s">
        <v>117</v>
      </c>
      <c r="J1282" s="10" t="str">
        <f>""</f>
        <v/>
      </c>
      <c r="K1282" s="10" t="str">
        <f>"PFES1162646680_0001"</f>
        <v>PFES1162646680_0001</v>
      </c>
      <c r="L1282" s="10">
        <v>1</v>
      </c>
      <c r="M1282" s="10">
        <v>1</v>
      </c>
    </row>
    <row r="1283" spans="1:13">
      <c r="A1283" s="8">
        <v>43354</v>
      </c>
      <c r="B1283" s="9">
        <v>0.59375</v>
      </c>
      <c r="C1283" s="10" t="str">
        <f>"FES1162646690"</f>
        <v>FES1162646690</v>
      </c>
      <c r="D1283" s="10" t="s">
        <v>19</v>
      </c>
      <c r="E1283" s="10" t="s">
        <v>123</v>
      </c>
      <c r="F1283" s="10" t="str">
        <f>"2170651364 "</f>
        <v xml:space="preserve">2170651364 </v>
      </c>
      <c r="G1283" s="10" t="str">
        <f t="shared" si="33"/>
        <v>ON1</v>
      </c>
      <c r="H1283" s="10" t="s">
        <v>21</v>
      </c>
      <c r="I1283" s="10" t="s">
        <v>124</v>
      </c>
      <c r="J1283" s="10" t="str">
        <f>""</f>
        <v/>
      </c>
      <c r="K1283" s="10" t="str">
        <f>"PFES1162646690_0001"</f>
        <v>PFES1162646690_0001</v>
      </c>
      <c r="L1283" s="10">
        <v>1</v>
      </c>
      <c r="M1283" s="10">
        <v>1</v>
      </c>
    </row>
    <row r="1284" spans="1:13">
      <c r="A1284" s="8">
        <v>43354</v>
      </c>
      <c r="B1284" s="9">
        <v>0.59375</v>
      </c>
      <c r="C1284" s="10" t="str">
        <f>"FES1162646590"</f>
        <v>FES1162646590</v>
      </c>
      <c r="D1284" s="10" t="s">
        <v>19</v>
      </c>
      <c r="E1284" s="10" t="s">
        <v>141</v>
      </c>
      <c r="F1284" s="10" t="str">
        <f>"2170650102 "</f>
        <v xml:space="preserve">2170650102 </v>
      </c>
      <c r="G1284" s="10" t="str">
        <f t="shared" si="33"/>
        <v>ON1</v>
      </c>
      <c r="H1284" s="10" t="s">
        <v>21</v>
      </c>
      <c r="I1284" s="10" t="s">
        <v>91</v>
      </c>
      <c r="J1284" s="10" t="str">
        <f>""</f>
        <v/>
      </c>
      <c r="K1284" s="10" t="str">
        <f>"PFES1162646590_0001"</f>
        <v>PFES1162646590_0001</v>
      </c>
      <c r="L1284" s="10">
        <v>1</v>
      </c>
      <c r="M1284" s="10">
        <v>1</v>
      </c>
    </row>
    <row r="1285" spans="1:13">
      <c r="A1285" s="8">
        <v>43354</v>
      </c>
      <c r="B1285" s="9">
        <v>0.59375</v>
      </c>
      <c r="C1285" s="10" t="str">
        <f>"FES1162646581"</f>
        <v>FES1162646581</v>
      </c>
      <c r="D1285" s="10" t="s">
        <v>19</v>
      </c>
      <c r="E1285" s="10" t="s">
        <v>47</v>
      </c>
      <c r="F1285" s="10" t="str">
        <f>"2170649236 "</f>
        <v xml:space="preserve">2170649236 </v>
      </c>
      <c r="G1285" s="10" t="str">
        <f t="shared" si="33"/>
        <v>ON1</v>
      </c>
      <c r="H1285" s="10" t="s">
        <v>21</v>
      </c>
      <c r="I1285" s="10" t="s">
        <v>48</v>
      </c>
      <c r="J1285" s="10" t="str">
        <f>""</f>
        <v/>
      </c>
      <c r="K1285" s="10" t="str">
        <f>"PFES1162646581_0001"</f>
        <v>PFES1162646581_0001</v>
      </c>
      <c r="L1285" s="10">
        <v>1</v>
      </c>
      <c r="M1285" s="10">
        <v>1</v>
      </c>
    </row>
    <row r="1286" spans="1:13">
      <c r="A1286" s="8">
        <v>43354</v>
      </c>
      <c r="B1286" s="9">
        <v>0.59305555555555556</v>
      </c>
      <c r="C1286" s="10" t="str">
        <f>"FES1162646398"</f>
        <v>FES1162646398</v>
      </c>
      <c r="D1286" s="10" t="s">
        <v>19</v>
      </c>
      <c r="E1286" s="10" t="s">
        <v>549</v>
      </c>
      <c r="F1286" s="10" t="str">
        <f>"2170647181 "</f>
        <v xml:space="preserve">2170647181 </v>
      </c>
      <c r="G1286" s="10" t="str">
        <f t="shared" si="33"/>
        <v>ON1</v>
      </c>
      <c r="H1286" s="10" t="s">
        <v>21</v>
      </c>
      <c r="I1286" s="10" t="s">
        <v>703</v>
      </c>
      <c r="J1286" s="10" t="str">
        <f>""</f>
        <v/>
      </c>
      <c r="K1286" s="10" t="str">
        <f>"PFES1162646398_0001"</f>
        <v>PFES1162646398_0001</v>
      </c>
      <c r="L1286" s="10">
        <v>1</v>
      </c>
      <c r="M1286" s="10">
        <v>1</v>
      </c>
    </row>
    <row r="1287" spans="1:13">
      <c r="A1287" s="8">
        <v>43354</v>
      </c>
      <c r="B1287" s="9">
        <v>0.59305555555555556</v>
      </c>
      <c r="C1287" s="10" t="str">
        <f>"FES1162646452"</f>
        <v>FES1162646452</v>
      </c>
      <c r="D1287" s="10" t="s">
        <v>19</v>
      </c>
      <c r="E1287" s="10" t="s">
        <v>735</v>
      </c>
      <c r="F1287" s="10" t="str">
        <f>"2170651123 "</f>
        <v xml:space="preserve">2170651123 </v>
      </c>
      <c r="G1287" s="10" t="str">
        <f t="shared" si="33"/>
        <v>ON1</v>
      </c>
      <c r="H1287" s="10" t="s">
        <v>21</v>
      </c>
      <c r="I1287" s="10" t="s">
        <v>308</v>
      </c>
      <c r="J1287" s="10" t="str">
        <f>""</f>
        <v/>
      </c>
      <c r="K1287" s="10" t="str">
        <f>"PFES1162646452_0001"</f>
        <v>PFES1162646452_0001</v>
      </c>
      <c r="L1287" s="10">
        <v>1</v>
      </c>
      <c r="M1287" s="10">
        <v>1</v>
      </c>
    </row>
    <row r="1288" spans="1:13">
      <c r="A1288" s="8">
        <v>43354</v>
      </c>
      <c r="B1288" s="9">
        <v>0.59305555555555556</v>
      </c>
      <c r="C1288" s="10" t="str">
        <f>"FES1162646488"</f>
        <v>FES1162646488</v>
      </c>
      <c r="D1288" s="10" t="s">
        <v>19</v>
      </c>
      <c r="E1288" s="10" t="s">
        <v>149</v>
      </c>
      <c r="F1288" s="10" t="str">
        <f>"2170646837 "</f>
        <v xml:space="preserve">2170646837 </v>
      </c>
      <c r="G1288" s="10" t="str">
        <f t="shared" si="33"/>
        <v>ON1</v>
      </c>
      <c r="H1288" s="10" t="s">
        <v>21</v>
      </c>
      <c r="I1288" s="10" t="s">
        <v>150</v>
      </c>
      <c r="J1288" s="10" t="str">
        <f>""</f>
        <v/>
      </c>
      <c r="K1288" s="10" t="str">
        <f>"PFES1162646488_0001"</f>
        <v>PFES1162646488_0001</v>
      </c>
      <c r="L1288" s="10">
        <v>1</v>
      </c>
      <c r="M1288" s="10">
        <v>7</v>
      </c>
    </row>
    <row r="1289" spans="1:13">
      <c r="A1289" s="8">
        <v>43354</v>
      </c>
      <c r="B1289" s="9">
        <v>0.59305555555555556</v>
      </c>
      <c r="C1289" s="10" t="str">
        <f>"FES1162646478"</f>
        <v>FES1162646478</v>
      </c>
      <c r="D1289" s="10" t="s">
        <v>19</v>
      </c>
      <c r="E1289" s="10" t="s">
        <v>736</v>
      </c>
      <c r="F1289" s="10" t="str">
        <f>"2170651202 "</f>
        <v xml:space="preserve">2170651202 </v>
      </c>
      <c r="G1289" s="10" t="str">
        <f t="shared" si="33"/>
        <v>ON1</v>
      </c>
      <c r="H1289" s="10" t="s">
        <v>21</v>
      </c>
      <c r="I1289" s="10" t="s">
        <v>246</v>
      </c>
      <c r="J1289" s="10" t="str">
        <f>""</f>
        <v/>
      </c>
      <c r="K1289" s="10" t="str">
        <f>"PFES1162646478_0001"</f>
        <v>PFES1162646478_0001</v>
      </c>
      <c r="L1289" s="10">
        <v>1</v>
      </c>
      <c r="M1289" s="10">
        <v>1</v>
      </c>
    </row>
    <row r="1290" spans="1:13">
      <c r="A1290" s="8">
        <v>43354</v>
      </c>
      <c r="B1290" s="9">
        <v>0.59236111111111112</v>
      </c>
      <c r="C1290" s="10" t="str">
        <f>"FES1162646466"</f>
        <v>FES1162646466</v>
      </c>
      <c r="D1290" s="10" t="s">
        <v>19</v>
      </c>
      <c r="E1290" s="10" t="s">
        <v>737</v>
      </c>
      <c r="F1290" s="10" t="str">
        <f>"2170651185 "</f>
        <v xml:space="preserve">2170651185 </v>
      </c>
      <c r="G1290" s="10" t="str">
        <f t="shared" si="33"/>
        <v>ON1</v>
      </c>
      <c r="H1290" s="10" t="s">
        <v>21</v>
      </c>
      <c r="I1290" s="10" t="s">
        <v>72</v>
      </c>
      <c r="J1290" s="10" t="str">
        <f>""</f>
        <v/>
      </c>
      <c r="K1290" s="10" t="str">
        <f>"PFES1162646466_0001"</f>
        <v>PFES1162646466_0001</v>
      </c>
      <c r="L1290" s="10">
        <v>1</v>
      </c>
      <c r="M1290" s="10">
        <v>1</v>
      </c>
    </row>
    <row r="1291" spans="1:13">
      <c r="A1291" s="8">
        <v>43354</v>
      </c>
      <c r="B1291" s="9">
        <v>0.59236111111111112</v>
      </c>
      <c r="C1291" s="10" t="str">
        <f>"FES1162646586"</f>
        <v>FES1162646586</v>
      </c>
      <c r="D1291" s="10" t="s">
        <v>19</v>
      </c>
      <c r="E1291" s="10" t="s">
        <v>401</v>
      </c>
      <c r="F1291" s="10" t="str">
        <f>"2170649419 "</f>
        <v xml:space="preserve">2170649419 </v>
      </c>
      <c r="G1291" s="10" t="str">
        <f t="shared" si="33"/>
        <v>ON1</v>
      </c>
      <c r="H1291" s="10" t="s">
        <v>21</v>
      </c>
      <c r="I1291" s="10" t="s">
        <v>402</v>
      </c>
      <c r="J1291" s="10" t="str">
        <f>""</f>
        <v/>
      </c>
      <c r="K1291" s="10" t="str">
        <f>"PFES1162646586_0001"</f>
        <v>PFES1162646586_0001</v>
      </c>
      <c r="L1291" s="10">
        <v>1</v>
      </c>
      <c r="M1291" s="10">
        <v>1</v>
      </c>
    </row>
    <row r="1292" spans="1:13">
      <c r="A1292" s="8">
        <v>43354</v>
      </c>
      <c r="B1292" s="9">
        <v>0.59236111111111112</v>
      </c>
      <c r="C1292" s="10" t="str">
        <f>"FES1162646416"</f>
        <v>FES1162646416</v>
      </c>
      <c r="D1292" s="10" t="s">
        <v>19</v>
      </c>
      <c r="E1292" s="10" t="s">
        <v>56</v>
      </c>
      <c r="F1292" s="10" t="str">
        <f>"2170649707 "</f>
        <v xml:space="preserve">2170649707 </v>
      </c>
      <c r="G1292" s="10" t="str">
        <f t="shared" si="33"/>
        <v>ON1</v>
      </c>
      <c r="H1292" s="10" t="s">
        <v>21</v>
      </c>
      <c r="I1292" s="10" t="s">
        <v>57</v>
      </c>
      <c r="J1292" s="10" t="str">
        <f>""</f>
        <v/>
      </c>
      <c r="K1292" s="10" t="str">
        <f>"PFES1162646416_0001"</f>
        <v>PFES1162646416_0001</v>
      </c>
      <c r="L1292" s="10">
        <v>1</v>
      </c>
      <c r="M1292" s="10">
        <v>1</v>
      </c>
    </row>
    <row r="1293" spans="1:13">
      <c r="A1293" s="8">
        <v>43354</v>
      </c>
      <c r="B1293" s="9">
        <v>0.59236111111111112</v>
      </c>
      <c r="C1293" s="10" t="str">
        <f>"FES1162646440"</f>
        <v>FES1162646440</v>
      </c>
      <c r="D1293" s="10" t="s">
        <v>19</v>
      </c>
      <c r="E1293" s="10" t="s">
        <v>144</v>
      </c>
      <c r="F1293" s="10" t="str">
        <f>"2170650727 "</f>
        <v xml:space="preserve">2170650727 </v>
      </c>
      <c r="G1293" s="10" t="str">
        <f t="shared" si="33"/>
        <v>ON1</v>
      </c>
      <c r="H1293" s="10" t="s">
        <v>21</v>
      </c>
      <c r="I1293" s="10" t="s">
        <v>145</v>
      </c>
      <c r="J1293" s="10" t="str">
        <f>""</f>
        <v/>
      </c>
      <c r="K1293" s="10" t="str">
        <f>"PFES1162646440_0001"</f>
        <v>PFES1162646440_0001</v>
      </c>
      <c r="L1293" s="10">
        <v>1</v>
      </c>
      <c r="M1293" s="10">
        <v>1</v>
      </c>
    </row>
    <row r="1294" spans="1:13">
      <c r="A1294" s="8">
        <v>43354</v>
      </c>
      <c r="B1294" s="9">
        <v>0.59166666666666667</v>
      </c>
      <c r="C1294" s="10" t="str">
        <f>"FES1162646468"</f>
        <v>FES1162646468</v>
      </c>
      <c r="D1294" s="10" t="s">
        <v>19</v>
      </c>
      <c r="E1294" s="10" t="s">
        <v>303</v>
      </c>
      <c r="F1294" s="10" t="str">
        <f>"2170651190 "</f>
        <v xml:space="preserve">2170651190 </v>
      </c>
      <c r="G1294" s="10" t="str">
        <f t="shared" si="33"/>
        <v>ON1</v>
      </c>
      <c r="H1294" s="10" t="s">
        <v>21</v>
      </c>
      <c r="I1294" s="10" t="s">
        <v>304</v>
      </c>
      <c r="J1294" s="10" t="str">
        <f>""</f>
        <v/>
      </c>
      <c r="K1294" s="10" t="str">
        <f>"PFES1162646468_0001"</f>
        <v>PFES1162646468_0001</v>
      </c>
      <c r="L1294" s="10">
        <v>1</v>
      </c>
      <c r="M1294" s="10">
        <v>1</v>
      </c>
    </row>
    <row r="1295" spans="1:13">
      <c r="A1295" s="8">
        <v>43354</v>
      </c>
      <c r="B1295" s="9">
        <v>0.59166666666666667</v>
      </c>
      <c r="C1295" s="10" t="str">
        <f>"FES1162646635"</f>
        <v>FES1162646635</v>
      </c>
      <c r="D1295" s="10" t="s">
        <v>19</v>
      </c>
      <c r="E1295" s="10" t="s">
        <v>738</v>
      </c>
      <c r="F1295" s="10" t="str">
        <f>"2170651299 "</f>
        <v xml:space="preserve">2170651299 </v>
      </c>
      <c r="G1295" s="10" t="str">
        <f t="shared" si="33"/>
        <v>ON1</v>
      </c>
      <c r="H1295" s="10" t="s">
        <v>21</v>
      </c>
      <c r="I1295" s="10" t="s">
        <v>250</v>
      </c>
      <c r="J1295" s="10" t="str">
        <f>""</f>
        <v/>
      </c>
      <c r="K1295" s="10" t="str">
        <f>"PFES1162646635_0001"</f>
        <v>PFES1162646635_0001</v>
      </c>
      <c r="L1295" s="10">
        <v>1</v>
      </c>
      <c r="M1295" s="10">
        <v>1</v>
      </c>
    </row>
    <row r="1296" spans="1:13">
      <c r="A1296" s="8">
        <v>43354</v>
      </c>
      <c r="B1296" s="9">
        <v>0.59166666666666667</v>
      </c>
      <c r="C1296" s="10" t="str">
        <f>"FES1162646500"</f>
        <v>FES1162646500</v>
      </c>
      <c r="D1296" s="10" t="s">
        <v>19</v>
      </c>
      <c r="E1296" s="10" t="s">
        <v>307</v>
      </c>
      <c r="F1296" s="10" t="str">
        <f>"2170648941 "</f>
        <v xml:space="preserve">2170648941 </v>
      </c>
      <c r="G1296" s="10" t="str">
        <f t="shared" si="33"/>
        <v>ON1</v>
      </c>
      <c r="H1296" s="10" t="s">
        <v>21</v>
      </c>
      <c r="I1296" s="10" t="s">
        <v>308</v>
      </c>
      <c r="J1296" s="10" t="str">
        <f>""</f>
        <v/>
      </c>
      <c r="K1296" s="10" t="str">
        <f>"PFES1162646500_0001"</f>
        <v>PFES1162646500_0001</v>
      </c>
      <c r="L1296" s="10">
        <v>2</v>
      </c>
      <c r="M1296" s="10">
        <v>5</v>
      </c>
    </row>
    <row r="1297" spans="1:13">
      <c r="A1297" s="8">
        <v>43354</v>
      </c>
      <c r="B1297" s="9">
        <v>0.59166666666666667</v>
      </c>
      <c r="C1297" s="10" t="str">
        <f>"FES1162646589"</f>
        <v>FES1162646589</v>
      </c>
      <c r="D1297" s="10" t="s">
        <v>19</v>
      </c>
      <c r="E1297" s="10" t="s">
        <v>104</v>
      </c>
      <c r="F1297" s="10" t="str">
        <f>"2170649791 "</f>
        <v xml:space="preserve">2170649791 </v>
      </c>
      <c r="G1297" s="10" t="str">
        <f t="shared" si="33"/>
        <v>ON1</v>
      </c>
      <c r="H1297" s="10" t="s">
        <v>21</v>
      </c>
      <c r="I1297" s="10" t="s">
        <v>105</v>
      </c>
      <c r="J1297" s="10" t="str">
        <f>""</f>
        <v/>
      </c>
      <c r="K1297" s="10" t="str">
        <f>"PFES1162646589_0001"</f>
        <v>PFES1162646589_0001</v>
      </c>
      <c r="L1297" s="10">
        <v>1</v>
      </c>
      <c r="M1297" s="10">
        <v>1</v>
      </c>
    </row>
    <row r="1298" spans="1:13">
      <c r="A1298" s="8">
        <v>43354</v>
      </c>
      <c r="B1298" s="9">
        <v>0.59027777777777779</v>
      </c>
      <c r="C1298" s="10" t="str">
        <f>"FES1162646526"</f>
        <v>FES1162646526</v>
      </c>
      <c r="D1298" s="10" t="s">
        <v>19</v>
      </c>
      <c r="E1298" s="10" t="s">
        <v>739</v>
      </c>
      <c r="F1298" s="10" t="str">
        <f>"2170651226 "</f>
        <v xml:space="preserve">2170651226 </v>
      </c>
      <c r="G1298" s="10" t="str">
        <f t="shared" si="33"/>
        <v>ON1</v>
      </c>
      <c r="H1298" s="10" t="s">
        <v>21</v>
      </c>
      <c r="I1298" s="10" t="s">
        <v>26</v>
      </c>
      <c r="J1298" s="10" t="str">
        <f>""</f>
        <v/>
      </c>
      <c r="K1298" s="10" t="str">
        <f>"PFES1162646526_0001"</f>
        <v>PFES1162646526_0001</v>
      </c>
      <c r="L1298" s="10">
        <v>1</v>
      </c>
      <c r="M1298" s="10">
        <v>1</v>
      </c>
    </row>
    <row r="1299" spans="1:13">
      <c r="A1299" s="8">
        <v>43354</v>
      </c>
      <c r="B1299" s="9">
        <v>0.59027777777777779</v>
      </c>
      <c r="C1299" s="10" t="str">
        <f>"FES1162646593"</f>
        <v>FES1162646593</v>
      </c>
      <c r="D1299" s="10" t="s">
        <v>19</v>
      </c>
      <c r="E1299" s="10" t="s">
        <v>740</v>
      </c>
      <c r="F1299" s="10" t="str">
        <f>"2170651247 "</f>
        <v xml:space="preserve">2170651247 </v>
      </c>
      <c r="G1299" s="10" t="str">
        <f t="shared" si="33"/>
        <v>ON1</v>
      </c>
      <c r="H1299" s="10" t="s">
        <v>21</v>
      </c>
      <c r="I1299" s="10" t="s">
        <v>741</v>
      </c>
      <c r="J1299" s="10" t="str">
        <f>""</f>
        <v/>
      </c>
      <c r="K1299" s="10" t="str">
        <f>"PFES1162646593_0001"</f>
        <v>PFES1162646593_0001</v>
      </c>
      <c r="L1299" s="10">
        <v>1</v>
      </c>
      <c r="M1299" s="10">
        <v>1</v>
      </c>
    </row>
    <row r="1300" spans="1:13">
      <c r="A1300" s="8">
        <v>43354</v>
      </c>
      <c r="B1300" s="9">
        <v>0.58958333333333335</v>
      </c>
      <c r="C1300" s="10" t="str">
        <f>"FES1162646492"</f>
        <v>FES1162646492</v>
      </c>
      <c r="D1300" s="10" t="s">
        <v>19</v>
      </c>
      <c r="E1300" s="10" t="s">
        <v>39</v>
      </c>
      <c r="F1300" s="10" t="str">
        <f>"2170647643 "</f>
        <v xml:space="preserve">2170647643 </v>
      </c>
      <c r="G1300" s="10" t="str">
        <f t="shared" si="33"/>
        <v>ON1</v>
      </c>
      <c r="H1300" s="10" t="s">
        <v>21</v>
      </c>
      <c r="I1300" s="10" t="s">
        <v>40</v>
      </c>
      <c r="J1300" s="10" t="str">
        <f>""</f>
        <v/>
      </c>
      <c r="K1300" s="10" t="str">
        <f>"PFES1162646492_0001"</f>
        <v>PFES1162646492_0001</v>
      </c>
      <c r="L1300" s="10">
        <v>1</v>
      </c>
      <c r="M1300" s="10">
        <v>1</v>
      </c>
    </row>
    <row r="1301" spans="1:13">
      <c r="A1301" s="8">
        <v>43354</v>
      </c>
      <c r="B1301" s="9">
        <v>0.5805555555555556</v>
      </c>
      <c r="C1301" s="10" t="str">
        <f>"FES1162646672"</f>
        <v>FES1162646672</v>
      </c>
      <c r="D1301" s="10" t="s">
        <v>19</v>
      </c>
      <c r="E1301" s="10" t="s">
        <v>336</v>
      </c>
      <c r="F1301" s="10" t="str">
        <f>"2170648706 "</f>
        <v xml:space="preserve">2170648706 </v>
      </c>
      <c r="G1301" s="10" t="str">
        <f t="shared" si="33"/>
        <v>ON1</v>
      </c>
      <c r="H1301" s="10" t="s">
        <v>21</v>
      </c>
      <c r="I1301" s="10" t="s">
        <v>117</v>
      </c>
      <c r="J1301" s="10" t="str">
        <f>""</f>
        <v/>
      </c>
      <c r="K1301" s="10" t="str">
        <f>"PFES1162646672_0001"</f>
        <v>PFES1162646672_0001</v>
      </c>
      <c r="L1301" s="10">
        <v>1</v>
      </c>
      <c r="M1301" s="10">
        <v>1</v>
      </c>
    </row>
    <row r="1302" spans="1:13">
      <c r="A1302" s="8">
        <v>43354</v>
      </c>
      <c r="B1302" s="9">
        <v>0.57986111111111105</v>
      </c>
      <c r="C1302" s="10" t="str">
        <f>"FES1162646349"</f>
        <v>FES1162646349</v>
      </c>
      <c r="D1302" s="10" t="s">
        <v>19</v>
      </c>
      <c r="E1302" s="10" t="s">
        <v>29</v>
      </c>
      <c r="F1302" s="10" t="str">
        <f>"2170651124 "</f>
        <v xml:space="preserve">2170651124 </v>
      </c>
      <c r="G1302" s="10" t="str">
        <f t="shared" si="33"/>
        <v>ON1</v>
      </c>
      <c r="H1302" s="10" t="s">
        <v>21</v>
      </c>
      <c r="I1302" s="10" t="s">
        <v>30</v>
      </c>
      <c r="J1302" s="10" t="str">
        <f>""</f>
        <v/>
      </c>
      <c r="K1302" s="10" t="str">
        <f>"PFES1162646349_0001"</f>
        <v>PFES1162646349_0001</v>
      </c>
      <c r="L1302" s="10">
        <v>1</v>
      </c>
      <c r="M1302" s="10">
        <v>1</v>
      </c>
    </row>
    <row r="1303" spans="1:13">
      <c r="A1303" s="8">
        <v>43354</v>
      </c>
      <c r="B1303" s="9">
        <v>0.57986111111111105</v>
      </c>
      <c r="C1303" s="10" t="str">
        <f>"FES1162646554"</f>
        <v>FES1162646554</v>
      </c>
      <c r="D1303" s="10" t="s">
        <v>19</v>
      </c>
      <c r="E1303" s="10" t="s">
        <v>232</v>
      </c>
      <c r="F1303" s="10" t="str">
        <f>"2170645071 "</f>
        <v xml:space="preserve">2170645071 </v>
      </c>
      <c r="G1303" s="10" t="str">
        <f t="shared" si="33"/>
        <v>ON1</v>
      </c>
      <c r="H1303" s="10" t="s">
        <v>21</v>
      </c>
      <c r="I1303" s="10" t="s">
        <v>233</v>
      </c>
      <c r="J1303" s="10" t="str">
        <f>""</f>
        <v/>
      </c>
      <c r="K1303" s="10" t="str">
        <f>"PFES1162646554_0001"</f>
        <v>PFES1162646554_0001</v>
      </c>
      <c r="L1303" s="10">
        <v>1</v>
      </c>
      <c r="M1303" s="10">
        <v>1</v>
      </c>
    </row>
    <row r="1304" spans="1:13">
      <c r="A1304" s="8">
        <v>43354</v>
      </c>
      <c r="B1304" s="9">
        <v>0.57986111111111105</v>
      </c>
      <c r="C1304" s="10" t="str">
        <f>"FES1162646563"</f>
        <v>FES1162646563</v>
      </c>
      <c r="D1304" s="10" t="s">
        <v>19</v>
      </c>
      <c r="E1304" s="10" t="s">
        <v>713</v>
      </c>
      <c r="F1304" s="10" t="str">
        <f>"21706447751 "</f>
        <v xml:space="preserve">21706447751 </v>
      </c>
      <c r="G1304" s="10" t="str">
        <f t="shared" si="33"/>
        <v>ON1</v>
      </c>
      <c r="H1304" s="10" t="s">
        <v>21</v>
      </c>
      <c r="I1304" s="10" t="s">
        <v>30</v>
      </c>
      <c r="J1304" s="10" t="str">
        <f>""</f>
        <v/>
      </c>
      <c r="K1304" s="10" t="str">
        <f>"PFES1162646563_0001"</f>
        <v>PFES1162646563_0001</v>
      </c>
      <c r="L1304" s="10">
        <v>1</v>
      </c>
      <c r="M1304" s="10">
        <v>1</v>
      </c>
    </row>
    <row r="1305" spans="1:13">
      <c r="A1305" s="8">
        <v>43354</v>
      </c>
      <c r="B1305" s="9">
        <v>0.57916666666666672</v>
      </c>
      <c r="C1305" s="10" t="str">
        <f>"FES1162646570"</f>
        <v>FES1162646570</v>
      </c>
      <c r="D1305" s="10" t="s">
        <v>19</v>
      </c>
      <c r="E1305" s="10" t="s">
        <v>742</v>
      </c>
      <c r="F1305" s="10" t="str">
        <f>"2170649095 "</f>
        <v xml:space="preserve">2170649095 </v>
      </c>
      <c r="G1305" s="10" t="str">
        <f t="shared" si="33"/>
        <v>ON1</v>
      </c>
      <c r="H1305" s="10" t="s">
        <v>21</v>
      </c>
      <c r="I1305" s="10" t="s">
        <v>521</v>
      </c>
      <c r="J1305" s="10" t="str">
        <f>""</f>
        <v/>
      </c>
      <c r="K1305" s="10" t="str">
        <f>"PFES1162646570_0001"</f>
        <v>PFES1162646570_0001</v>
      </c>
      <c r="L1305" s="10">
        <v>1</v>
      </c>
      <c r="M1305" s="10">
        <v>1</v>
      </c>
    </row>
    <row r="1306" spans="1:13">
      <c r="A1306" s="8">
        <v>43354</v>
      </c>
      <c r="B1306" s="9">
        <v>0.57916666666666672</v>
      </c>
      <c r="C1306" s="10" t="str">
        <f>"FES1162646633"</f>
        <v>FES1162646633</v>
      </c>
      <c r="D1306" s="10" t="s">
        <v>19</v>
      </c>
      <c r="E1306" s="10" t="s">
        <v>228</v>
      </c>
      <c r="F1306" s="10" t="str">
        <f>"2170651295 "</f>
        <v xml:space="preserve">2170651295 </v>
      </c>
      <c r="G1306" s="10" t="str">
        <f t="shared" si="33"/>
        <v>ON1</v>
      </c>
      <c r="H1306" s="10" t="s">
        <v>21</v>
      </c>
      <c r="I1306" s="10" t="s">
        <v>229</v>
      </c>
      <c r="J1306" s="10" t="str">
        <f>""</f>
        <v/>
      </c>
      <c r="K1306" s="10" t="str">
        <f>"PFES1162646633_0001"</f>
        <v>PFES1162646633_0001</v>
      </c>
      <c r="L1306" s="10">
        <v>1</v>
      </c>
      <c r="M1306" s="10">
        <v>1</v>
      </c>
    </row>
    <row r="1307" spans="1:13">
      <c r="A1307" s="8">
        <v>43354</v>
      </c>
      <c r="B1307" s="9">
        <v>0.57916666666666672</v>
      </c>
      <c r="C1307" s="10" t="str">
        <f>"FES1162646575"</f>
        <v>FES1162646575</v>
      </c>
      <c r="D1307" s="10" t="s">
        <v>19</v>
      </c>
      <c r="E1307" s="10" t="s">
        <v>236</v>
      </c>
      <c r="F1307" s="10" t="str">
        <f>"2170649173 "</f>
        <v xml:space="preserve">2170649173 </v>
      </c>
      <c r="G1307" s="10" t="str">
        <f t="shared" si="33"/>
        <v>ON1</v>
      </c>
      <c r="H1307" s="10" t="s">
        <v>21</v>
      </c>
      <c r="I1307" s="10" t="s">
        <v>30</v>
      </c>
      <c r="J1307" s="10" t="str">
        <f>""</f>
        <v/>
      </c>
      <c r="K1307" s="10" t="str">
        <f>"PFES1162646575_0001"</f>
        <v>PFES1162646575_0001</v>
      </c>
      <c r="L1307" s="10">
        <v>1</v>
      </c>
      <c r="M1307" s="10">
        <v>1</v>
      </c>
    </row>
    <row r="1308" spans="1:13">
      <c r="A1308" s="8">
        <v>43354</v>
      </c>
      <c r="B1308" s="9">
        <v>0.57847222222222217</v>
      </c>
      <c r="C1308" s="10" t="str">
        <f>"FES1162646573"</f>
        <v>FES1162646573</v>
      </c>
      <c r="D1308" s="10" t="s">
        <v>19</v>
      </c>
      <c r="E1308" s="10" t="s">
        <v>743</v>
      </c>
      <c r="F1308" s="10" t="str">
        <f>"2170649140 "</f>
        <v xml:space="preserve">2170649140 </v>
      </c>
      <c r="G1308" s="10" t="str">
        <f t="shared" si="33"/>
        <v>ON1</v>
      </c>
      <c r="H1308" s="10" t="s">
        <v>21</v>
      </c>
      <c r="I1308" s="10" t="s">
        <v>744</v>
      </c>
      <c r="J1308" s="10" t="str">
        <f>""</f>
        <v/>
      </c>
      <c r="K1308" s="10" t="str">
        <f>"PFES1162646573_0001"</f>
        <v>PFES1162646573_0001</v>
      </c>
      <c r="L1308" s="10">
        <v>1</v>
      </c>
      <c r="M1308" s="10">
        <v>1</v>
      </c>
    </row>
    <row r="1309" spans="1:13">
      <c r="A1309" s="8">
        <v>43354</v>
      </c>
      <c r="B1309" s="9">
        <v>0.57777777777777783</v>
      </c>
      <c r="C1309" s="10" t="str">
        <f>"FES1162646611"</f>
        <v>FES1162646611</v>
      </c>
      <c r="D1309" s="10" t="s">
        <v>19</v>
      </c>
      <c r="E1309" s="10" t="s">
        <v>58</v>
      </c>
      <c r="F1309" s="10" t="str">
        <f>"2170651269 "</f>
        <v xml:space="preserve">2170651269 </v>
      </c>
      <c r="G1309" s="10" t="str">
        <f t="shared" si="33"/>
        <v>ON1</v>
      </c>
      <c r="H1309" s="10" t="s">
        <v>21</v>
      </c>
      <c r="I1309" s="10" t="s">
        <v>30</v>
      </c>
      <c r="J1309" s="10" t="str">
        <f>""</f>
        <v/>
      </c>
      <c r="K1309" s="10" t="str">
        <f>"PFES1162646611_0001"</f>
        <v>PFES1162646611_0001</v>
      </c>
      <c r="L1309" s="10">
        <v>1</v>
      </c>
      <c r="M1309" s="10">
        <v>1</v>
      </c>
    </row>
    <row r="1310" spans="1:13">
      <c r="A1310" s="8">
        <v>43354</v>
      </c>
      <c r="B1310" s="9">
        <v>0.57777777777777783</v>
      </c>
      <c r="C1310" s="10" t="str">
        <f>"FES1162646578"</f>
        <v>FES1162646578</v>
      </c>
      <c r="D1310" s="10" t="s">
        <v>19</v>
      </c>
      <c r="E1310" s="10" t="s">
        <v>58</v>
      </c>
      <c r="F1310" s="10" t="str">
        <f>"2170649203 "</f>
        <v xml:space="preserve">2170649203 </v>
      </c>
      <c r="G1310" s="10" t="str">
        <f t="shared" si="33"/>
        <v>ON1</v>
      </c>
      <c r="H1310" s="10" t="s">
        <v>21</v>
      </c>
      <c r="I1310" s="10" t="s">
        <v>30</v>
      </c>
      <c r="J1310" s="10" t="str">
        <f>""</f>
        <v/>
      </c>
      <c r="K1310" s="10" t="str">
        <f>"PFES1162646578_0001"</f>
        <v>PFES1162646578_0001</v>
      </c>
      <c r="L1310" s="10">
        <v>1</v>
      </c>
      <c r="M1310" s="10">
        <v>1</v>
      </c>
    </row>
    <row r="1311" spans="1:13">
      <c r="A1311" s="8">
        <v>43354</v>
      </c>
      <c r="B1311" s="9">
        <v>0.57777777777777783</v>
      </c>
      <c r="C1311" s="10" t="str">
        <f>"FES1162646596"</f>
        <v>FES1162646596</v>
      </c>
      <c r="D1311" s="10" t="s">
        <v>19</v>
      </c>
      <c r="E1311" s="10" t="s">
        <v>742</v>
      </c>
      <c r="F1311" s="10" t="str">
        <f>"2170651253 "</f>
        <v xml:space="preserve">2170651253 </v>
      </c>
      <c r="G1311" s="10" t="str">
        <f t="shared" si="33"/>
        <v>ON1</v>
      </c>
      <c r="H1311" s="10" t="s">
        <v>21</v>
      </c>
      <c r="I1311" s="10" t="s">
        <v>159</v>
      </c>
      <c r="J1311" s="10" t="str">
        <f>""</f>
        <v/>
      </c>
      <c r="K1311" s="10" t="str">
        <f>"PFES1162646596_0001"</f>
        <v>PFES1162646596_0001</v>
      </c>
      <c r="L1311" s="10">
        <v>1</v>
      </c>
      <c r="M1311" s="10">
        <v>1</v>
      </c>
    </row>
    <row r="1312" spans="1:13">
      <c r="A1312" s="8">
        <v>43354</v>
      </c>
      <c r="B1312" s="9">
        <v>0.57708333333333328</v>
      </c>
      <c r="C1312" s="10" t="str">
        <f>"FES1162646514"</f>
        <v>FES1162646514</v>
      </c>
      <c r="D1312" s="10" t="s">
        <v>19</v>
      </c>
      <c r="E1312" s="10" t="s">
        <v>745</v>
      </c>
      <c r="F1312" s="10" t="str">
        <f>"217091517 "</f>
        <v xml:space="preserve">217091517 </v>
      </c>
      <c r="G1312" s="10" t="str">
        <f t="shared" si="33"/>
        <v>ON1</v>
      </c>
      <c r="H1312" s="10" t="s">
        <v>21</v>
      </c>
      <c r="I1312" s="10" t="s">
        <v>150</v>
      </c>
      <c r="J1312" s="10" t="str">
        <f>""</f>
        <v/>
      </c>
      <c r="K1312" s="10" t="str">
        <f>"PFES1162646514_0001"</f>
        <v>PFES1162646514_0001</v>
      </c>
      <c r="L1312" s="10">
        <v>1</v>
      </c>
      <c r="M1312" s="10">
        <v>1</v>
      </c>
    </row>
    <row r="1313" spans="1:13">
      <c r="A1313" s="8">
        <v>43354</v>
      </c>
      <c r="B1313" s="9">
        <v>0.57708333333333328</v>
      </c>
      <c r="C1313" s="10" t="str">
        <f>"FES1162646542"</f>
        <v>FES1162646542</v>
      </c>
      <c r="D1313" s="10" t="s">
        <v>19</v>
      </c>
      <c r="E1313" s="10" t="s">
        <v>746</v>
      </c>
      <c r="F1313" s="10" t="str">
        <f>"2170651246 "</f>
        <v xml:space="preserve">2170651246 </v>
      </c>
      <c r="G1313" s="10" t="str">
        <f t="shared" si="33"/>
        <v>ON1</v>
      </c>
      <c r="H1313" s="10" t="s">
        <v>21</v>
      </c>
      <c r="I1313" s="10" t="s">
        <v>76</v>
      </c>
      <c r="J1313" s="10" t="str">
        <f>""</f>
        <v/>
      </c>
      <c r="K1313" s="10" t="str">
        <f>"PFES1162646542_0001"</f>
        <v>PFES1162646542_0001</v>
      </c>
      <c r="L1313" s="10">
        <v>1</v>
      </c>
      <c r="M1313" s="10">
        <v>1</v>
      </c>
    </row>
    <row r="1314" spans="1:13">
      <c r="A1314" s="8">
        <v>43354</v>
      </c>
      <c r="B1314" s="9">
        <v>0.57708333333333328</v>
      </c>
      <c r="C1314" s="10" t="str">
        <f>"FES1162646537"</f>
        <v>FES1162646537</v>
      </c>
      <c r="D1314" s="10" t="s">
        <v>19</v>
      </c>
      <c r="E1314" s="10" t="s">
        <v>158</v>
      </c>
      <c r="F1314" s="10" t="str">
        <f>"2170651237 "</f>
        <v xml:space="preserve">2170651237 </v>
      </c>
      <c r="G1314" s="10" t="str">
        <f t="shared" si="33"/>
        <v>ON1</v>
      </c>
      <c r="H1314" s="10" t="s">
        <v>21</v>
      </c>
      <c r="I1314" s="10" t="s">
        <v>159</v>
      </c>
      <c r="J1314" s="10" t="str">
        <f>""</f>
        <v/>
      </c>
      <c r="K1314" s="10" t="str">
        <f>"PFES1162646537_0001"</f>
        <v>PFES1162646537_0001</v>
      </c>
      <c r="L1314" s="10">
        <v>1</v>
      </c>
      <c r="M1314" s="10">
        <v>1</v>
      </c>
    </row>
    <row r="1315" spans="1:13">
      <c r="A1315" s="8">
        <v>43354</v>
      </c>
      <c r="B1315" s="9">
        <v>0.57638888888888895</v>
      </c>
      <c r="C1315" s="10" t="str">
        <f>"FES1162646525"</f>
        <v>FES1162646525</v>
      </c>
      <c r="D1315" s="10" t="s">
        <v>19</v>
      </c>
      <c r="E1315" s="10" t="s">
        <v>526</v>
      </c>
      <c r="F1315" s="10" t="str">
        <f>"2170651225 "</f>
        <v xml:space="preserve">2170651225 </v>
      </c>
      <c r="G1315" s="10" t="str">
        <f t="shared" si="33"/>
        <v>ON1</v>
      </c>
      <c r="H1315" s="10" t="s">
        <v>21</v>
      </c>
      <c r="I1315" s="10" t="s">
        <v>36</v>
      </c>
      <c r="J1315" s="10" t="str">
        <f>""</f>
        <v/>
      </c>
      <c r="K1315" s="10" t="str">
        <f>"PFES1162646525_0001"</f>
        <v>PFES1162646525_0001</v>
      </c>
      <c r="L1315" s="10">
        <v>1</v>
      </c>
      <c r="M1315" s="10">
        <v>1</v>
      </c>
    </row>
    <row r="1316" spans="1:13">
      <c r="A1316" s="8">
        <v>43354</v>
      </c>
      <c r="B1316" s="9">
        <v>0.57638888888888895</v>
      </c>
      <c r="C1316" s="10" t="str">
        <f>"FES1162646434"</f>
        <v>FES1162646434</v>
      </c>
      <c r="D1316" s="10" t="s">
        <v>19</v>
      </c>
      <c r="E1316" s="10" t="s">
        <v>747</v>
      </c>
      <c r="F1316" s="10" t="str">
        <f>"2170650383 "</f>
        <v xml:space="preserve">2170650383 </v>
      </c>
      <c r="G1316" s="10" t="str">
        <f t="shared" ref="G1316:G1322" si="34">"ON1"</f>
        <v>ON1</v>
      </c>
      <c r="H1316" s="10" t="s">
        <v>21</v>
      </c>
      <c r="I1316" s="10" t="s">
        <v>748</v>
      </c>
      <c r="J1316" s="10" t="str">
        <f>""</f>
        <v/>
      </c>
      <c r="K1316" s="10" t="str">
        <f>"PFES1162646434_0001"</f>
        <v>PFES1162646434_0001</v>
      </c>
      <c r="L1316" s="10">
        <v>1</v>
      </c>
      <c r="M1316" s="10">
        <v>1</v>
      </c>
    </row>
    <row r="1317" spans="1:13">
      <c r="A1317" s="8">
        <v>43354</v>
      </c>
      <c r="B1317" s="9">
        <v>0.5756944444444444</v>
      </c>
      <c r="C1317" s="10" t="str">
        <f>"FES1162646523"</f>
        <v>FES1162646523</v>
      </c>
      <c r="D1317" s="10" t="s">
        <v>19</v>
      </c>
      <c r="E1317" s="10" t="s">
        <v>488</v>
      </c>
      <c r="F1317" s="10" t="str">
        <f>"2170651223 "</f>
        <v xml:space="preserve">2170651223 </v>
      </c>
      <c r="G1317" s="10" t="str">
        <f t="shared" si="34"/>
        <v>ON1</v>
      </c>
      <c r="H1317" s="10" t="s">
        <v>21</v>
      </c>
      <c r="I1317" s="10" t="s">
        <v>277</v>
      </c>
      <c r="J1317" s="10" t="str">
        <f>""</f>
        <v/>
      </c>
      <c r="K1317" s="10" t="str">
        <f>"PFES1162646523_0001"</f>
        <v>PFES1162646523_0001</v>
      </c>
      <c r="L1317" s="10">
        <v>1</v>
      </c>
      <c r="M1317" s="10">
        <v>1</v>
      </c>
    </row>
    <row r="1318" spans="1:13">
      <c r="A1318" s="8">
        <v>43354</v>
      </c>
      <c r="B1318" s="9">
        <v>0.5756944444444444</v>
      </c>
      <c r="C1318" s="10" t="str">
        <f>"FES1162646560"</f>
        <v>FES1162646560</v>
      </c>
      <c r="D1318" s="10" t="s">
        <v>19</v>
      </c>
      <c r="E1318" s="10" t="s">
        <v>708</v>
      </c>
      <c r="F1318" s="10" t="str">
        <f>"2170646993 "</f>
        <v xml:space="preserve">2170646993 </v>
      </c>
      <c r="G1318" s="10" t="str">
        <f t="shared" si="34"/>
        <v>ON1</v>
      </c>
      <c r="H1318" s="10" t="s">
        <v>21</v>
      </c>
      <c r="I1318" s="10" t="s">
        <v>709</v>
      </c>
      <c r="J1318" s="10" t="str">
        <f>""</f>
        <v/>
      </c>
      <c r="K1318" s="10" t="str">
        <f>"PFES1162646560_0001"</f>
        <v>PFES1162646560_0001</v>
      </c>
      <c r="L1318" s="10">
        <v>1</v>
      </c>
      <c r="M1318" s="10">
        <v>1</v>
      </c>
    </row>
    <row r="1319" spans="1:13">
      <c r="A1319" s="8">
        <v>43354</v>
      </c>
      <c r="B1319" s="9">
        <v>0.5756944444444444</v>
      </c>
      <c r="C1319" s="10" t="str">
        <f>"FES1162646580"</f>
        <v>FES1162646580</v>
      </c>
      <c r="D1319" s="10" t="s">
        <v>19</v>
      </c>
      <c r="E1319" s="10" t="s">
        <v>749</v>
      </c>
      <c r="F1319" s="10" t="str">
        <f>"2170649924 "</f>
        <v xml:space="preserve">2170649924 </v>
      </c>
      <c r="G1319" s="10" t="str">
        <f t="shared" si="34"/>
        <v>ON1</v>
      </c>
      <c r="H1319" s="10" t="s">
        <v>21</v>
      </c>
      <c r="I1319" s="10" t="s">
        <v>201</v>
      </c>
      <c r="J1319" s="10" t="str">
        <f>""</f>
        <v/>
      </c>
      <c r="K1319" s="10" t="str">
        <f>"PFES1162646580_0001"</f>
        <v>PFES1162646580_0001</v>
      </c>
      <c r="L1319" s="10">
        <v>1</v>
      </c>
      <c r="M1319" s="10">
        <v>1</v>
      </c>
    </row>
    <row r="1320" spans="1:13">
      <c r="A1320" s="8">
        <v>43354</v>
      </c>
      <c r="B1320" s="9">
        <v>0.57500000000000007</v>
      </c>
      <c r="C1320" s="10" t="str">
        <f>"FES1162646484"</f>
        <v>FES1162646484</v>
      </c>
      <c r="D1320" s="10" t="s">
        <v>19</v>
      </c>
      <c r="E1320" s="10" t="s">
        <v>223</v>
      </c>
      <c r="F1320" s="10" t="str">
        <f>"2170644968 "</f>
        <v xml:space="preserve">2170644968 </v>
      </c>
      <c r="G1320" s="10" t="str">
        <f t="shared" si="34"/>
        <v>ON1</v>
      </c>
      <c r="H1320" s="10" t="s">
        <v>21</v>
      </c>
      <c r="I1320" s="10" t="s">
        <v>211</v>
      </c>
      <c r="J1320" s="10" t="str">
        <f>""</f>
        <v/>
      </c>
      <c r="K1320" s="10" t="str">
        <f>"PFES1162646484_0001"</f>
        <v>PFES1162646484_0001</v>
      </c>
      <c r="L1320" s="10">
        <v>1</v>
      </c>
      <c r="M1320" s="10">
        <v>2</v>
      </c>
    </row>
    <row r="1321" spans="1:13">
      <c r="A1321" s="8">
        <v>43354</v>
      </c>
      <c r="B1321" s="9">
        <v>0.57430555555555551</v>
      </c>
      <c r="C1321" s="10" t="str">
        <f>"FES1162646410"</f>
        <v>FES1162646410</v>
      </c>
      <c r="D1321" s="10" t="s">
        <v>19</v>
      </c>
      <c r="E1321" s="10" t="s">
        <v>476</v>
      </c>
      <c r="F1321" s="10" t="str">
        <f>"2170649442 "</f>
        <v xml:space="preserve">2170649442 </v>
      </c>
      <c r="G1321" s="10" t="str">
        <f t="shared" si="34"/>
        <v>ON1</v>
      </c>
      <c r="H1321" s="10" t="s">
        <v>21</v>
      </c>
      <c r="I1321" s="10" t="s">
        <v>217</v>
      </c>
      <c r="J1321" s="10" t="str">
        <f>""</f>
        <v/>
      </c>
      <c r="K1321" s="10" t="str">
        <f>"PFES1162646410_0001"</f>
        <v>PFES1162646410_0001</v>
      </c>
      <c r="L1321" s="10">
        <v>1</v>
      </c>
      <c r="M1321" s="10">
        <v>1</v>
      </c>
    </row>
    <row r="1322" spans="1:13">
      <c r="A1322" s="8">
        <v>43354</v>
      </c>
      <c r="B1322" s="9">
        <v>0.57361111111111118</v>
      </c>
      <c r="C1322" s="10" t="str">
        <f>"FES1162646453"</f>
        <v>FES1162646453</v>
      </c>
      <c r="D1322" s="10" t="s">
        <v>19</v>
      </c>
      <c r="E1322" s="10" t="s">
        <v>750</v>
      </c>
      <c r="F1322" s="10" t="str">
        <f>"2170651134 "</f>
        <v xml:space="preserve">2170651134 </v>
      </c>
      <c r="G1322" s="10" t="str">
        <f t="shared" si="34"/>
        <v>ON1</v>
      </c>
      <c r="H1322" s="10" t="s">
        <v>21</v>
      </c>
      <c r="I1322" s="10" t="s">
        <v>34</v>
      </c>
      <c r="J1322" s="10" t="str">
        <f>""</f>
        <v/>
      </c>
      <c r="K1322" s="10" t="str">
        <f>"PFES1162646453_0001"</f>
        <v>PFES1162646453_0001</v>
      </c>
      <c r="L1322" s="10">
        <v>1</v>
      </c>
      <c r="M1322" s="10">
        <v>1</v>
      </c>
    </row>
    <row r="1323" spans="1:13">
      <c r="A1323" s="8">
        <v>43354</v>
      </c>
      <c r="B1323" s="9">
        <v>0.57361111111111118</v>
      </c>
      <c r="C1323" s="10" t="str">
        <f>"FES1162646538"</f>
        <v>FES1162646538</v>
      </c>
      <c r="D1323" s="10" t="s">
        <v>19</v>
      </c>
      <c r="E1323" s="10" t="s">
        <v>662</v>
      </c>
      <c r="F1323" s="10" t="str">
        <f>"2170651240 "</f>
        <v xml:space="preserve">2170651240 </v>
      </c>
      <c r="G1323" s="10" t="str">
        <f>"DBC"</f>
        <v>DBC</v>
      </c>
      <c r="H1323" s="10" t="s">
        <v>21</v>
      </c>
      <c r="I1323" s="10" t="s">
        <v>508</v>
      </c>
      <c r="J1323" s="10" t="str">
        <f>""</f>
        <v/>
      </c>
      <c r="K1323" s="10" t="str">
        <f>"PFES1162646538_0001"</f>
        <v>PFES1162646538_0001</v>
      </c>
      <c r="L1323" s="10">
        <v>1</v>
      </c>
      <c r="M1323" s="10">
        <v>23</v>
      </c>
    </row>
    <row r="1324" spans="1:13">
      <c r="A1324" s="8">
        <v>43354</v>
      </c>
      <c r="B1324" s="9">
        <v>0.57361111111111118</v>
      </c>
      <c r="C1324" s="10" t="str">
        <f>"FES1162646493"</f>
        <v>FES1162646493</v>
      </c>
      <c r="D1324" s="10" t="s">
        <v>19</v>
      </c>
      <c r="E1324" s="10" t="s">
        <v>39</v>
      </c>
      <c r="F1324" s="10" t="str">
        <f>"2170647644 "</f>
        <v xml:space="preserve">2170647644 </v>
      </c>
      <c r="G1324" s="10" t="str">
        <f t="shared" ref="G1324:G1387" si="35">"ON1"</f>
        <v>ON1</v>
      </c>
      <c r="H1324" s="10" t="s">
        <v>21</v>
      </c>
      <c r="I1324" s="10" t="s">
        <v>40</v>
      </c>
      <c r="J1324" s="10" t="str">
        <f>""</f>
        <v/>
      </c>
      <c r="K1324" s="10" t="str">
        <f>"PFES1162646493_0001"</f>
        <v>PFES1162646493_0001</v>
      </c>
      <c r="L1324" s="10">
        <v>1</v>
      </c>
      <c r="M1324" s="10">
        <v>1</v>
      </c>
    </row>
    <row r="1325" spans="1:13">
      <c r="A1325" s="8">
        <v>43354</v>
      </c>
      <c r="B1325" s="9">
        <v>0.57361111111111118</v>
      </c>
      <c r="C1325" s="10" t="str">
        <f>"FES1162646607"</f>
        <v>FES1162646607</v>
      </c>
      <c r="D1325" s="10" t="s">
        <v>19</v>
      </c>
      <c r="E1325" s="10" t="s">
        <v>734</v>
      </c>
      <c r="F1325" s="10" t="str">
        <f>"2170651266 "</f>
        <v xml:space="preserve">2170651266 </v>
      </c>
      <c r="G1325" s="10" t="str">
        <f t="shared" si="35"/>
        <v>ON1</v>
      </c>
      <c r="H1325" s="10" t="s">
        <v>21</v>
      </c>
      <c r="I1325" s="10" t="s">
        <v>400</v>
      </c>
      <c r="J1325" s="10" t="str">
        <f>""</f>
        <v/>
      </c>
      <c r="K1325" s="10" t="str">
        <f>"PFES1162646607_0001"</f>
        <v>PFES1162646607_0001</v>
      </c>
      <c r="L1325" s="10">
        <v>1</v>
      </c>
      <c r="M1325" s="10">
        <v>1</v>
      </c>
    </row>
    <row r="1326" spans="1:13">
      <c r="A1326" s="8">
        <v>43354</v>
      </c>
      <c r="B1326" s="9">
        <v>0.57291666666666663</v>
      </c>
      <c r="C1326" s="10" t="str">
        <f>"FES1162646050"</f>
        <v>FES1162646050</v>
      </c>
      <c r="D1326" s="10" t="s">
        <v>19</v>
      </c>
      <c r="E1326" s="10" t="s">
        <v>623</v>
      </c>
      <c r="F1326" s="10" t="str">
        <f>"2170649782 "</f>
        <v xml:space="preserve">2170649782 </v>
      </c>
      <c r="G1326" s="10" t="str">
        <f t="shared" si="35"/>
        <v>ON1</v>
      </c>
      <c r="H1326" s="10" t="s">
        <v>21</v>
      </c>
      <c r="I1326" s="10" t="s">
        <v>100</v>
      </c>
      <c r="J1326" s="10" t="str">
        <f>""</f>
        <v/>
      </c>
      <c r="K1326" s="10" t="str">
        <f>"PFES1162646050_0001"</f>
        <v>PFES1162646050_0001</v>
      </c>
      <c r="L1326" s="10">
        <v>1</v>
      </c>
      <c r="M1326" s="10">
        <v>1</v>
      </c>
    </row>
    <row r="1327" spans="1:13">
      <c r="A1327" s="8">
        <v>43354</v>
      </c>
      <c r="B1327" s="9">
        <v>0.57222222222222219</v>
      </c>
      <c r="C1327" s="10" t="str">
        <f>"FES1162646548"</f>
        <v>FES1162646548</v>
      </c>
      <c r="D1327" s="10" t="s">
        <v>19</v>
      </c>
      <c r="E1327" s="10" t="s">
        <v>174</v>
      </c>
      <c r="F1327" s="10" t="str">
        <f>"2170642250 "</f>
        <v xml:space="preserve">2170642250 </v>
      </c>
      <c r="G1327" s="10" t="str">
        <f t="shared" si="35"/>
        <v>ON1</v>
      </c>
      <c r="H1327" s="10" t="s">
        <v>21</v>
      </c>
      <c r="I1327" s="10" t="s">
        <v>175</v>
      </c>
      <c r="J1327" s="10" t="str">
        <f>""</f>
        <v/>
      </c>
      <c r="K1327" s="10" t="str">
        <f>"PFES1162646548_0001"</f>
        <v>PFES1162646548_0001</v>
      </c>
      <c r="L1327" s="10">
        <v>1</v>
      </c>
      <c r="M1327" s="10">
        <v>3</v>
      </c>
    </row>
    <row r="1328" spans="1:13">
      <c r="A1328" s="8">
        <v>43354</v>
      </c>
      <c r="B1328" s="9">
        <v>0.57013888888888886</v>
      </c>
      <c r="C1328" s="10" t="str">
        <f>"FES1162646170"</f>
        <v>FES1162646170</v>
      </c>
      <c r="D1328" s="10" t="s">
        <v>19</v>
      </c>
      <c r="E1328" s="10" t="s">
        <v>751</v>
      </c>
      <c r="F1328" s="10" t="str">
        <f>"2170649277 "</f>
        <v xml:space="preserve">2170649277 </v>
      </c>
      <c r="G1328" s="10" t="str">
        <f t="shared" si="35"/>
        <v>ON1</v>
      </c>
      <c r="H1328" s="10" t="s">
        <v>21</v>
      </c>
      <c r="I1328" s="10" t="s">
        <v>650</v>
      </c>
      <c r="J1328" s="10" t="str">
        <f>""</f>
        <v/>
      </c>
      <c r="K1328" s="10" t="str">
        <f>"PFES1162646170_0001"</f>
        <v>PFES1162646170_0001</v>
      </c>
      <c r="L1328" s="10">
        <v>1</v>
      </c>
      <c r="M1328" s="10">
        <v>2</v>
      </c>
    </row>
    <row r="1329" spans="1:13">
      <c r="A1329" s="8">
        <v>43354</v>
      </c>
      <c r="B1329" s="9">
        <v>0.56597222222222221</v>
      </c>
      <c r="C1329" s="10" t="str">
        <f>"FES1162646664"</f>
        <v>FES1162646664</v>
      </c>
      <c r="D1329" s="10" t="s">
        <v>19</v>
      </c>
      <c r="E1329" s="10" t="s">
        <v>445</v>
      </c>
      <c r="F1329" s="10" t="str">
        <f>"2170651340 "</f>
        <v xml:space="preserve">2170651340 </v>
      </c>
      <c r="G1329" s="10" t="str">
        <f t="shared" si="35"/>
        <v>ON1</v>
      </c>
      <c r="H1329" s="10" t="s">
        <v>21</v>
      </c>
      <c r="I1329" s="10" t="s">
        <v>206</v>
      </c>
      <c r="J1329" s="10" t="str">
        <f>""</f>
        <v/>
      </c>
      <c r="K1329" s="10" t="str">
        <f>"PFES1162646664_0001"</f>
        <v>PFES1162646664_0001</v>
      </c>
      <c r="L1329" s="10">
        <v>1</v>
      </c>
      <c r="M1329" s="10">
        <v>4</v>
      </c>
    </row>
    <row r="1330" spans="1:13">
      <c r="A1330" s="8">
        <v>43354</v>
      </c>
      <c r="B1330" s="9">
        <v>0.55972222222222223</v>
      </c>
      <c r="C1330" s="10" t="str">
        <f>"FES1162646456"</f>
        <v>FES1162646456</v>
      </c>
      <c r="D1330" s="10" t="s">
        <v>19</v>
      </c>
      <c r="E1330" s="10" t="s">
        <v>719</v>
      </c>
      <c r="F1330" s="10" t="str">
        <f>"2170651169 "</f>
        <v xml:space="preserve">2170651169 </v>
      </c>
      <c r="G1330" s="10" t="str">
        <f t="shared" si="35"/>
        <v>ON1</v>
      </c>
      <c r="H1330" s="10" t="s">
        <v>21</v>
      </c>
      <c r="I1330" s="10" t="s">
        <v>650</v>
      </c>
      <c r="J1330" s="10" t="str">
        <f>""</f>
        <v/>
      </c>
      <c r="K1330" s="10" t="str">
        <f>"PFES1162646456_0001"</f>
        <v>PFES1162646456_0001</v>
      </c>
      <c r="L1330" s="10">
        <v>1</v>
      </c>
      <c r="M1330" s="10">
        <v>1</v>
      </c>
    </row>
    <row r="1331" spans="1:13">
      <c r="A1331" s="8">
        <v>43354</v>
      </c>
      <c r="B1331" s="9">
        <v>0.55972222222222223</v>
      </c>
      <c r="C1331" s="10" t="str">
        <f>"FES1162646048"</f>
        <v>FES1162646048</v>
      </c>
      <c r="D1331" s="10" t="s">
        <v>19</v>
      </c>
      <c r="E1331" s="10" t="s">
        <v>623</v>
      </c>
      <c r="F1331" s="10" t="str">
        <f>"2170649778 "</f>
        <v xml:space="preserve">2170649778 </v>
      </c>
      <c r="G1331" s="10" t="str">
        <f t="shared" si="35"/>
        <v>ON1</v>
      </c>
      <c r="H1331" s="10" t="s">
        <v>21</v>
      </c>
      <c r="I1331" s="10" t="s">
        <v>100</v>
      </c>
      <c r="J1331" s="10" t="str">
        <f>""</f>
        <v/>
      </c>
      <c r="K1331" s="10" t="str">
        <f>"PFES1162646048_0001"</f>
        <v>PFES1162646048_0001</v>
      </c>
      <c r="L1331" s="10">
        <v>1</v>
      </c>
      <c r="M1331" s="10">
        <v>1</v>
      </c>
    </row>
    <row r="1332" spans="1:13">
      <c r="A1332" s="8">
        <v>43354</v>
      </c>
      <c r="B1332" s="9">
        <v>0.55902777777777779</v>
      </c>
      <c r="C1332" s="10" t="str">
        <f>"FES1162646428"</f>
        <v>FES1162646428</v>
      </c>
      <c r="D1332" s="10" t="s">
        <v>19</v>
      </c>
      <c r="E1332" s="10" t="s">
        <v>243</v>
      </c>
      <c r="F1332" s="10" t="str">
        <f>"2170650019 "</f>
        <v xml:space="preserve">2170650019 </v>
      </c>
      <c r="G1332" s="10" t="str">
        <f t="shared" si="35"/>
        <v>ON1</v>
      </c>
      <c r="H1332" s="10" t="s">
        <v>21</v>
      </c>
      <c r="I1332" s="10" t="s">
        <v>102</v>
      </c>
      <c r="J1332" s="10" t="str">
        <f>""</f>
        <v/>
      </c>
      <c r="K1332" s="10" t="str">
        <f>"PFES1162646428_0001"</f>
        <v>PFES1162646428_0001</v>
      </c>
      <c r="L1332" s="10">
        <v>1</v>
      </c>
      <c r="M1332" s="10">
        <v>1</v>
      </c>
    </row>
    <row r="1333" spans="1:13">
      <c r="A1333" s="8">
        <v>43354</v>
      </c>
      <c r="B1333" s="9">
        <v>0.55833333333333335</v>
      </c>
      <c r="C1333" s="10" t="str">
        <f>"FES1162646437"</f>
        <v>FES1162646437</v>
      </c>
      <c r="D1333" s="10" t="s">
        <v>19</v>
      </c>
      <c r="E1333" s="10" t="s">
        <v>341</v>
      </c>
      <c r="F1333" s="10" t="str">
        <f>"2170650469 "</f>
        <v xml:space="preserve">2170650469 </v>
      </c>
      <c r="G1333" s="10" t="str">
        <f t="shared" si="35"/>
        <v>ON1</v>
      </c>
      <c r="H1333" s="10" t="s">
        <v>21</v>
      </c>
      <c r="I1333" s="10" t="s">
        <v>342</v>
      </c>
      <c r="J1333" s="10" t="str">
        <f>""</f>
        <v/>
      </c>
      <c r="K1333" s="10" t="str">
        <f>"PFES1162646437_0001"</f>
        <v>PFES1162646437_0001</v>
      </c>
      <c r="L1333" s="10">
        <v>1</v>
      </c>
      <c r="M1333" s="10">
        <v>1</v>
      </c>
    </row>
    <row r="1334" spans="1:13">
      <c r="A1334" s="8">
        <v>43354</v>
      </c>
      <c r="B1334" s="9">
        <v>0.55833333333333335</v>
      </c>
      <c r="C1334" s="10" t="str">
        <f>"FES1162646572"</f>
        <v>FES1162646572</v>
      </c>
      <c r="D1334" s="10" t="s">
        <v>19</v>
      </c>
      <c r="E1334" s="10" t="s">
        <v>103</v>
      </c>
      <c r="F1334" s="10" t="str">
        <f>"2170649116 "</f>
        <v xml:space="preserve">2170649116 </v>
      </c>
      <c r="G1334" s="10" t="str">
        <f t="shared" si="35"/>
        <v>ON1</v>
      </c>
      <c r="H1334" s="10" t="s">
        <v>21</v>
      </c>
      <c r="I1334" s="10" t="s">
        <v>696</v>
      </c>
      <c r="J1334" s="10" t="str">
        <f>""</f>
        <v/>
      </c>
      <c r="K1334" s="10" t="str">
        <f>"PFES1162646572_0001"</f>
        <v>PFES1162646572_0001</v>
      </c>
      <c r="L1334" s="10">
        <v>1</v>
      </c>
      <c r="M1334" s="10">
        <v>1</v>
      </c>
    </row>
    <row r="1335" spans="1:13">
      <c r="A1335" s="8">
        <v>43354</v>
      </c>
      <c r="B1335" s="9">
        <v>0.55763888888888891</v>
      </c>
      <c r="C1335" s="10" t="str">
        <f>"FES1162646595"</f>
        <v>FES1162646595</v>
      </c>
      <c r="D1335" s="10" t="s">
        <v>19</v>
      </c>
      <c r="E1335" s="10" t="s">
        <v>39</v>
      </c>
      <c r="F1335" s="10" t="str">
        <f>"2170651252 "</f>
        <v xml:space="preserve">2170651252 </v>
      </c>
      <c r="G1335" s="10" t="str">
        <f t="shared" si="35"/>
        <v>ON1</v>
      </c>
      <c r="H1335" s="10" t="s">
        <v>21</v>
      </c>
      <c r="I1335" s="10" t="s">
        <v>40</v>
      </c>
      <c r="J1335" s="10" t="str">
        <f>""</f>
        <v/>
      </c>
      <c r="K1335" s="10" t="str">
        <f>"PFES1162646595_0001"</f>
        <v>PFES1162646595_0001</v>
      </c>
      <c r="L1335" s="10">
        <v>1</v>
      </c>
      <c r="M1335" s="10">
        <v>1</v>
      </c>
    </row>
    <row r="1336" spans="1:13">
      <c r="A1336" s="8">
        <v>43354</v>
      </c>
      <c r="B1336" s="9">
        <v>0.55763888888888891</v>
      </c>
      <c r="C1336" s="10" t="str">
        <f>"FES1162646454"</f>
        <v>FES1162646454</v>
      </c>
      <c r="D1336" s="10" t="s">
        <v>19</v>
      </c>
      <c r="E1336" s="10" t="s">
        <v>367</v>
      </c>
      <c r="F1336" s="10" t="str">
        <f>"2170651160 "</f>
        <v xml:space="preserve">2170651160 </v>
      </c>
      <c r="G1336" s="10" t="str">
        <f t="shared" si="35"/>
        <v>ON1</v>
      </c>
      <c r="H1336" s="10" t="s">
        <v>21</v>
      </c>
      <c r="I1336" s="10" t="s">
        <v>250</v>
      </c>
      <c r="J1336" s="10" t="str">
        <f>""</f>
        <v/>
      </c>
      <c r="K1336" s="10" t="str">
        <f>"PFES1162646454_0001"</f>
        <v>PFES1162646454_0001</v>
      </c>
      <c r="L1336" s="10">
        <v>1</v>
      </c>
      <c r="M1336" s="10">
        <v>1</v>
      </c>
    </row>
    <row r="1337" spans="1:13">
      <c r="A1337" s="8">
        <v>43354</v>
      </c>
      <c r="B1337" s="9">
        <v>0.55694444444444446</v>
      </c>
      <c r="C1337" s="10" t="str">
        <f>"FES1162646582"</f>
        <v>FES1162646582</v>
      </c>
      <c r="D1337" s="10" t="s">
        <v>19</v>
      </c>
      <c r="E1337" s="10" t="s">
        <v>752</v>
      </c>
      <c r="F1337" s="10" t="str">
        <f>"2170649247 "</f>
        <v xml:space="preserve">2170649247 </v>
      </c>
      <c r="G1337" s="10" t="str">
        <f t="shared" si="35"/>
        <v>ON1</v>
      </c>
      <c r="H1337" s="10" t="s">
        <v>21</v>
      </c>
      <c r="I1337" s="10" t="s">
        <v>647</v>
      </c>
      <c r="J1337" s="10" t="str">
        <f>""</f>
        <v/>
      </c>
      <c r="K1337" s="10" t="str">
        <f>"PFES1162646582_0001"</f>
        <v>PFES1162646582_0001</v>
      </c>
      <c r="L1337" s="10">
        <v>1</v>
      </c>
      <c r="M1337" s="10">
        <v>1</v>
      </c>
    </row>
    <row r="1338" spans="1:13">
      <c r="A1338" s="8">
        <v>43354</v>
      </c>
      <c r="B1338" s="9">
        <v>0.55625000000000002</v>
      </c>
      <c r="C1338" s="10" t="str">
        <f>"FES1162646300"</f>
        <v>FES1162646300</v>
      </c>
      <c r="D1338" s="10" t="s">
        <v>19</v>
      </c>
      <c r="E1338" s="10" t="s">
        <v>108</v>
      </c>
      <c r="F1338" s="10" t="str">
        <f>"2170651074 "</f>
        <v xml:space="preserve">2170651074 </v>
      </c>
      <c r="G1338" s="10" t="str">
        <f t="shared" si="35"/>
        <v>ON1</v>
      </c>
      <c r="H1338" s="10" t="s">
        <v>21</v>
      </c>
      <c r="I1338" s="10" t="s">
        <v>152</v>
      </c>
      <c r="J1338" s="10" t="str">
        <f>""</f>
        <v/>
      </c>
      <c r="K1338" s="10" t="str">
        <f>"PFES1162646300_0001"</f>
        <v>PFES1162646300_0001</v>
      </c>
      <c r="L1338" s="10">
        <v>1</v>
      </c>
      <c r="M1338" s="10">
        <v>1</v>
      </c>
    </row>
    <row r="1339" spans="1:13">
      <c r="A1339" s="8">
        <v>43354</v>
      </c>
      <c r="B1339" s="9">
        <v>0.55625000000000002</v>
      </c>
      <c r="C1339" s="10" t="str">
        <f>"FES1162646472"</f>
        <v>FES1162646472</v>
      </c>
      <c r="D1339" s="10" t="s">
        <v>19</v>
      </c>
      <c r="E1339" s="10" t="s">
        <v>359</v>
      </c>
      <c r="F1339" s="10" t="str">
        <f>"2170651194 "</f>
        <v xml:space="preserve">2170651194 </v>
      </c>
      <c r="G1339" s="10" t="str">
        <f t="shared" si="35"/>
        <v>ON1</v>
      </c>
      <c r="H1339" s="10" t="s">
        <v>21</v>
      </c>
      <c r="I1339" s="10" t="s">
        <v>87</v>
      </c>
      <c r="J1339" s="10" t="str">
        <f>""</f>
        <v/>
      </c>
      <c r="K1339" s="10" t="str">
        <f>"PFES1162646472_0001"</f>
        <v>PFES1162646472_0001</v>
      </c>
      <c r="L1339" s="10">
        <v>1</v>
      </c>
      <c r="M1339" s="10">
        <v>1</v>
      </c>
    </row>
    <row r="1340" spans="1:13">
      <c r="A1340" s="8">
        <v>43354</v>
      </c>
      <c r="B1340" s="9">
        <v>0.55555555555555558</v>
      </c>
      <c r="C1340" s="10" t="str">
        <f>"FES1162646399"</f>
        <v>FES1162646399</v>
      </c>
      <c r="D1340" s="10" t="s">
        <v>19</v>
      </c>
      <c r="E1340" s="10" t="s">
        <v>489</v>
      </c>
      <c r="F1340" s="10" t="str">
        <f>"2170647198 "</f>
        <v xml:space="preserve">2170647198 </v>
      </c>
      <c r="G1340" s="10" t="str">
        <f t="shared" si="35"/>
        <v>ON1</v>
      </c>
      <c r="H1340" s="10" t="s">
        <v>21</v>
      </c>
      <c r="I1340" s="10" t="s">
        <v>290</v>
      </c>
      <c r="J1340" s="10" t="str">
        <f>""</f>
        <v/>
      </c>
      <c r="K1340" s="10" t="str">
        <f>"PFES1162646399_0001"</f>
        <v>PFES1162646399_0001</v>
      </c>
      <c r="L1340" s="10">
        <v>1</v>
      </c>
      <c r="M1340" s="10">
        <v>1</v>
      </c>
    </row>
    <row r="1341" spans="1:13">
      <c r="A1341" s="8">
        <v>43354</v>
      </c>
      <c r="B1341" s="9">
        <v>0.55555555555555558</v>
      </c>
      <c r="C1341" s="10" t="str">
        <f>"FES1162646532"</f>
        <v>FES1162646532</v>
      </c>
      <c r="D1341" s="10" t="s">
        <v>19</v>
      </c>
      <c r="E1341" s="10" t="s">
        <v>753</v>
      </c>
      <c r="F1341" s="10" t="str">
        <f>"2170651205 "</f>
        <v xml:space="preserve">2170651205 </v>
      </c>
      <c r="G1341" s="10" t="str">
        <f t="shared" si="35"/>
        <v>ON1</v>
      </c>
      <c r="H1341" s="10" t="s">
        <v>21</v>
      </c>
      <c r="I1341" s="10" t="s">
        <v>187</v>
      </c>
      <c r="J1341" s="10" t="str">
        <f>""</f>
        <v/>
      </c>
      <c r="K1341" s="10" t="str">
        <f>"PFES1162646532_0001"</f>
        <v>PFES1162646532_0001</v>
      </c>
      <c r="L1341" s="10">
        <v>1</v>
      </c>
      <c r="M1341" s="10">
        <v>1</v>
      </c>
    </row>
    <row r="1342" spans="1:13">
      <c r="A1342" s="8">
        <v>43354</v>
      </c>
      <c r="B1342" s="9">
        <v>0.55486111111111114</v>
      </c>
      <c r="C1342" s="10" t="str">
        <f>"FES1162646405"</f>
        <v>FES1162646405</v>
      </c>
      <c r="D1342" s="10" t="s">
        <v>19</v>
      </c>
      <c r="E1342" s="10" t="s">
        <v>404</v>
      </c>
      <c r="F1342" s="10" t="str">
        <f>"2170648811 "</f>
        <v xml:space="preserve">2170648811 </v>
      </c>
      <c r="G1342" s="10" t="str">
        <f t="shared" si="35"/>
        <v>ON1</v>
      </c>
      <c r="H1342" s="10" t="s">
        <v>21</v>
      </c>
      <c r="I1342" s="10" t="s">
        <v>405</v>
      </c>
      <c r="J1342" s="10" t="str">
        <f>""</f>
        <v/>
      </c>
      <c r="K1342" s="10" t="str">
        <f>"PFES1162646405_0001"</f>
        <v>PFES1162646405_0001</v>
      </c>
      <c r="L1342" s="10">
        <v>1</v>
      </c>
      <c r="M1342" s="10">
        <v>1</v>
      </c>
    </row>
    <row r="1343" spans="1:13">
      <c r="A1343" s="8">
        <v>43354</v>
      </c>
      <c r="B1343" s="9">
        <v>0.55486111111111114</v>
      </c>
      <c r="C1343" s="10" t="str">
        <f>"FES1162646412"</f>
        <v>FES1162646412</v>
      </c>
      <c r="D1343" s="10" t="s">
        <v>19</v>
      </c>
      <c r="E1343" s="10" t="s">
        <v>754</v>
      </c>
      <c r="F1343" s="10" t="str">
        <f>"2170649558 "</f>
        <v xml:space="preserve">2170649558 </v>
      </c>
      <c r="G1343" s="10" t="str">
        <f t="shared" si="35"/>
        <v>ON1</v>
      </c>
      <c r="H1343" s="10" t="s">
        <v>21</v>
      </c>
      <c r="I1343" s="10" t="s">
        <v>755</v>
      </c>
      <c r="J1343" s="10" t="str">
        <f>""</f>
        <v/>
      </c>
      <c r="K1343" s="10" t="str">
        <f>"PFES1162646412_0001"</f>
        <v>PFES1162646412_0001</v>
      </c>
      <c r="L1343" s="10">
        <v>1</v>
      </c>
      <c r="M1343" s="10">
        <v>1</v>
      </c>
    </row>
    <row r="1344" spans="1:13">
      <c r="A1344" s="8">
        <v>43354</v>
      </c>
      <c r="B1344" s="9">
        <v>0.5541666666666667</v>
      </c>
      <c r="C1344" s="10" t="str">
        <f>"FES1162646403"</f>
        <v>FES1162646403</v>
      </c>
      <c r="D1344" s="10" t="s">
        <v>19</v>
      </c>
      <c r="E1344" s="10" t="s">
        <v>142</v>
      </c>
      <c r="F1344" s="10" t="str">
        <f>"2170648334 "</f>
        <v xml:space="preserve">2170648334 </v>
      </c>
      <c r="G1344" s="10" t="str">
        <f t="shared" si="35"/>
        <v>ON1</v>
      </c>
      <c r="H1344" s="10" t="s">
        <v>21</v>
      </c>
      <c r="I1344" s="10" t="s">
        <v>143</v>
      </c>
      <c r="J1344" s="10" t="str">
        <f>""</f>
        <v/>
      </c>
      <c r="K1344" s="10" t="str">
        <f>"PFES1162646403_0001"</f>
        <v>PFES1162646403_0001</v>
      </c>
      <c r="L1344" s="10">
        <v>1</v>
      </c>
      <c r="M1344" s="10">
        <v>1</v>
      </c>
    </row>
    <row r="1345" spans="1:13">
      <c r="A1345" s="8">
        <v>43354</v>
      </c>
      <c r="B1345" s="9">
        <v>0.55347222222222225</v>
      </c>
      <c r="C1345" s="10" t="str">
        <f>"FES1162646471"</f>
        <v>FES1162646471</v>
      </c>
      <c r="D1345" s="10" t="s">
        <v>19</v>
      </c>
      <c r="E1345" s="10" t="s">
        <v>223</v>
      </c>
      <c r="F1345" s="10" t="str">
        <f>"2170651193 "</f>
        <v xml:space="preserve">2170651193 </v>
      </c>
      <c r="G1345" s="10" t="str">
        <f t="shared" si="35"/>
        <v>ON1</v>
      </c>
      <c r="H1345" s="10" t="s">
        <v>21</v>
      </c>
      <c r="I1345" s="10" t="s">
        <v>211</v>
      </c>
      <c r="J1345" s="10" t="str">
        <f>""</f>
        <v/>
      </c>
      <c r="K1345" s="10" t="str">
        <f>"PFES1162646471_0001"</f>
        <v>PFES1162646471_0001</v>
      </c>
      <c r="L1345" s="10">
        <v>1</v>
      </c>
      <c r="M1345" s="10">
        <v>1</v>
      </c>
    </row>
    <row r="1346" spans="1:13">
      <c r="A1346" s="8">
        <v>43354</v>
      </c>
      <c r="B1346" s="9">
        <v>0.55347222222222225</v>
      </c>
      <c r="C1346" s="10" t="str">
        <f>"FES1162646202"</f>
        <v>FES1162646202</v>
      </c>
      <c r="D1346" s="10" t="s">
        <v>19</v>
      </c>
      <c r="E1346" s="10" t="s">
        <v>373</v>
      </c>
      <c r="F1346" s="10" t="str">
        <f>"2170647760 "</f>
        <v xml:space="preserve">2170647760 </v>
      </c>
      <c r="G1346" s="10" t="str">
        <f t="shared" si="35"/>
        <v>ON1</v>
      </c>
      <c r="H1346" s="10" t="s">
        <v>21</v>
      </c>
      <c r="I1346" s="10" t="s">
        <v>374</v>
      </c>
      <c r="J1346" s="10" t="str">
        <f>""</f>
        <v/>
      </c>
      <c r="K1346" s="10" t="str">
        <f>"PFES1162646202_0001"</f>
        <v>PFES1162646202_0001</v>
      </c>
      <c r="L1346" s="10">
        <v>1</v>
      </c>
      <c r="M1346" s="10">
        <v>9</v>
      </c>
    </row>
    <row r="1347" spans="1:13">
      <c r="A1347" s="8">
        <v>43354</v>
      </c>
      <c r="B1347" s="9">
        <v>0.55347222222222225</v>
      </c>
      <c r="C1347" s="10" t="str">
        <f>"FES1162646539"</f>
        <v>FES1162646539</v>
      </c>
      <c r="D1347" s="10" t="s">
        <v>19</v>
      </c>
      <c r="E1347" s="10" t="s">
        <v>455</v>
      </c>
      <c r="F1347" s="10" t="str">
        <f>"2170651242 "</f>
        <v xml:space="preserve">2170651242 </v>
      </c>
      <c r="G1347" s="10" t="str">
        <f t="shared" si="35"/>
        <v>ON1</v>
      </c>
      <c r="H1347" s="10" t="s">
        <v>21</v>
      </c>
      <c r="I1347" s="10" t="s">
        <v>456</v>
      </c>
      <c r="J1347" s="10" t="str">
        <f>""</f>
        <v/>
      </c>
      <c r="K1347" s="10" t="str">
        <f>"PFES1162646539_0001"</f>
        <v>PFES1162646539_0001</v>
      </c>
      <c r="L1347" s="10">
        <v>1</v>
      </c>
      <c r="M1347" s="10">
        <v>1</v>
      </c>
    </row>
    <row r="1348" spans="1:13">
      <c r="A1348" s="8">
        <v>43354</v>
      </c>
      <c r="B1348" s="9">
        <v>0.55277777777777781</v>
      </c>
      <c r="C1348" s="10" t="str">
        <f>"FES1162646583"</f>
        <v>FES1162646583</v>
      </c>
      <c r="D1348" s="10" t="s">
        <v>19</v>
      </c>
      <c r="E1348" s="10" t="s">
        <v>756</v>
      </c>
      <c r="F1348" s="10" t="str">
        <f>"2170649248 "</f>
        <v xml:space="preserve">2170649248 </v>
      </c>
      <c r="G1348" s="10" t="str">
        <f t="shared" si="35"/>
        <v>ON1</v>
      </c>
      <c r="H1348" s="10" t="s">
        <v>21</v>
      </c>
      <c r="I1348" s="10" t="s">
        <v>215</v>
      </c>
      <c r="J1348" s="10" t="str">
        <f>""</f>
        <v/>
      </c>
      <c r="K1348" s="10" t="str">
        <f>"PFES1162646583_0001"</f>
        <v>PFES1162646583_0001</v>
      </c>
      <c r="L1348" s="10">
        <v>1</v>
      </c>
      <c r="M1348" s="10">
        <v>1</v>
      </c>
    </row>
    <row r="1349" spans="1:13">
      <c r="A1349" s="8">
        <v>43354</v>
      </c>
      <c r="B1349" s="9">
        <v>0.55277777777777781</v>
      </c>
      <c r="C1349" s="10" t="str">
        <f>"FES1162646448"</f>
        <v>FES1162646448</v>
      </c>
      <c r="D1349" s="10" t="s">
        <v>19</v>
      </c>
      <c r="E1349" s="10" t="s">
        <v>344</v>
      </c>
      <c r="F1349" s="10" t="str">
        <f>"2170650969 "</f>
        <v xml:space="preserve">2170650969 </v>
      </c>
      <c r="G1349" s="10" t="str">
        <f t="shared" si="35"/>
        <v>ON1</v>
      </c>
      <c r="H1349" s="10" t="s">
        <v>21</v>
      </c>
      <c r="I1349" s="10" t="s">
        <v>333</v>
      </c>
      <c r="J1349" s="10" t="str">
        <f>""</f>
        <v/>
      </c>
      <c r="K1349" s="10" t="str">
        <f>"PFES1162646448_0001"</f>
        <v>PFES1162646448_0001</v>
      </c>
      <c r="L1349" s="10">
        <v>1</v>
      </c>
      <c r="M1349" s="10">
        <v>4</v>
      </c>
    </row>
    <row r="1350" spans="1:13">
      <c r="A1350" s="8">
        <v>43354</v>
      </c>
      <c r="B1350" s="9">
        <v>0.55277777777777781</v>
      </c>
      <c r="C1350" s="10" t="str">
        <f>"FES1162646406"</f>
        <v>FES1162646406</v>
      </c>
      <c r="D1350" s="10" t="s">
        <v>19</v>
      </c>
      <c r="E1350" s="10" t="s">
        <v>757</v>
      </c>
      <c r="F1350" s="10" t="str">
        <f>"2170649101 "</f>
        <v xml:space="preserve">2170649101 </v>
      </c>
      <c r="G1350" s="10" t="str">
        <f t="shared" si="35"/>
        <v>ON1</v>
      </c>
      <c r="H1350" s="10" t="s">
        <v>21</v>
      </c>
      <c r="I1350" s="10" t="s">
        <v>387</v>
      </c>
      <c r="J1350" s="10" t="str">
        <f>""</f>
        <v/>
      </c>
      <c r="K1350" s="10" t="str">
        <f>"PFES1162646406_0001"</f>
        <v>PFES1162646406_0001</v>
      </c>
      <c r="L1350" s="10">
        <v>1</v>
      </c>
      <c r="M1350" s="10">
        <v>1</v>
      </c>
    </row>
    <row r="1351" spans="1:13">
      <c r="A1351" s="8">
        <v>43354</v>
      </c>
      <c r="B1351" s="9">
        <v>0.55069444444444449</v>
      </c>
      <c r="C1351" s="10" t="str">
        <f>"FES1162646393"</f>
        <v>FES1162646393</v>
      </c>
      <c r="D1351" s="10" t="s">
        <v>19</v>
      </c>
      <c r="E1351" s="10" t="s">
        <v>232</v>
      </c>
      <c r="F1351" s="10" t="str">
        <f>"2170643604 "</f>
        <v xml:space="preserve">2170643604 </v>
      </c>
      <c r="G1351" s="10" t="str">
        <f t="shared" si="35"/>
        <v>ON1</v>
      </c>
      <c r="H1351" s="10" t="s">
        <v>21</v>
      </c>
      <c r="I1351" s="10" t="s">
        <v>233</v>
      </c>
      <c r="J1351" s="10" t="str">
        <f>""</f>
        <v/>
      </c>
      <c r="K1351" s="10" t="str">
        <f>"PFES1162646393_0001"</f>
        <v>PFES1162646393_0001</v>
      </c>
      <c r="L1351" s="10">
        <v>1</v>
      </c>
      <c r="M1351" s="10">
        <v>4</v>
      </c>
    </row>
    <row r="1352" spans="1:13">
      <c r="A1352" s="8">
        <v>43354</v>
      </c>
      <c r="B1352" s="9">
        <v>0.5493055555555556</v>
      </c>
      <c r="C1352" s="10" t="str">
        <f>"FES1162646547"</f>
        <v>FES1162646547</v>
      </c>
      <c r="D1352" s="10" t="s">
        <v>19</v>
      </c>
      <c r="E1352" s="10" t="s">
        <v>174</v>
      </c>
      <c r="F1352" s="10" t="str">
        <f>"2170642249 "</f>
        <v xml:space="preserve">2170642249 </v>
      </c>
      <c r="G1352" s="10" t="str">
        <f t="shared" si="35"/>
        <v>ON1</v>
      </c>
      <c r="H1352" s="10" t="s">
        <v>21</v>
      </c>
      <c r="I1352" s="10" t="s">
        <v>175</v>
      </c>
      <c r="J1352" s="10" t="str">
        <f>""</f>
        <v/>
      </c>
      <c r="K1352" s="10" t="str">
        <f>"PFES1162646547_0001"</f>
        <v>PFES1162646547_0001</v>
      </c>
      <c r="L1352" s="10">
        <v>1</v>
      </c>
      <c r="M1352" s="10">
        <v>3</v>
      </c>
    </row>
    <row r="1353" spans="1:13">
      <c r="A1353" s="8">
        <v>43354</v>
      </c>
      <c r="B1353" s="9">
        <v>0.54722222222222217</v>
      </c>
      <c r="C1353" s="10" t="str">
        <f>"FES1162646665"</f>
        <v>FES1162646665</v>
      </c>
      <c r="D1353" s="10" t="s">
        <v>19</v>
      </c>
      <c r="E1353" s="10" t="s">
        <v>445</v>
      </c>
      <c r="F1353" s="10" t="str">
        <f>"2170651341 "</f>
        <v xml:space="preserve">2170651341 </v>
      </c>
      <c r="G1353" s="10" t="str">
        <f t="shared" si="35"/>
        <v>ON1</v>
      </c>
      <c r="H1353" s="10" t="s">
        <v>21</v>
      </c>
      <c r="I1353" s="10" t="s">
        <v>206</v>
      </c>
      <c r="J1353" s="10" t="str">
        <f>""</f>
        <v/>
      </c>
      <c r="K1353" s="10" t="str">
        <f>"PFES1162646665_0001"</f>
        <v>PFES1162646665_0001</v>
      </c>
      <c r="L1353" s="10">
        <v>1</v>
      </c>
      <c r="M1353" s="10">
        <v>1</v>
      </c>
    </row>
    <row r="1354" spans="1:13">
      <c r="A1354" s="8">
        <v>43354</v>
      </c>
      <c r="B1354" s="9">
        <v>0.54652777777777783</v>
      </c>
      <c r="C1354" s="10" t="str">
        <f>"FES1162646662"</f>
        <v>FES1162646662</v>
      </c>
      <c r="D1354" s="10" t="s">
        <v>19</v>
      </c>
      <c r="E1354" s="10" t="s">
        <v>281</v>
      </c>
      <c r="F1354" s="10" t="str">
        <f>"2170651338 "</f>
        <v xml:space="preserve">2170651338 </v>
      </c>
      <c r="G1354" s="10" t="str">
        <f t="shared" si="35"/>
        <v>ON1</v>
      </c>
      <c r="H1354" s="10" t="s">
        <v>21</v>
      </c>
      <c r="I1354" s="10" t="s">
        <v>282</v>
      </c>
      <c r="J1354" s="10" t="str">
        <f>""</f>
        <v/>
      </c>
      <c r="K1354" s="10" t="str">
        <f>"PFES1162646662_0001"</f>
        <v>PFES1162646662_0001</v>
      </c>
      <c r="L1354" s="10">
        <v>1</v>
      </c>
      <c r="M1354" s="10">
        <v>1</v>
      </c>
    </row>
    <row r="1355" spans="1:13">
      <c r="A1355" s="8">
        <v>43354</v>
      </c>
      <c r="B1355" s="9">
        <v>0.54652777777777783</v>
      </c>
      <c r="C1355" s="10" t="str">
        <f>"FES1162646447"</f>
        <v>FES1162646447</v>
      </c>
      <c r="D1355" s="10" t="s">
        <v>19</v>
      </c>
      <c r="E1355" s="10" t="s">
        <v>220</v>
      </c>
      <c r="F1355" s="10" t="str">
        <f>"2170650967 "</f>
        <v xml:space="preserve">2170650967 </v>
      </c>
      <c r="G1355" s="10" t="str">
        <f t="shared" si="35"/>
        <v>ON1</v>
      </c>
      <c r="H1355" s="10" t="s">
        <v>21</v>
      </c>
      <c r="I1355" s="10" t="s">
        <v>126</v>
      </c>
      <c r="J1355" s="10" t="str">
        <f>""</f>
        <v/>
      </c>
      <c r="K1355" s="10" t="str">
        <f>"PFES1162646447_0001"</f>
        <v>PFES1162646447_0001</v>
      </c>
      <c r="L1355" s="10">
        <v>1</v>
      </c>
      <c r="M1355" s="10">
        <v>1</v>
      </c>
    </row>
    <row r="1356" spans="1:13">
      <c r="A1356" s="8">
        <v>43354</v>
      </c>
      <c r="B1356" s="9">
        <v>0.54652777777777783</v>
      </c>
      <c r="C1356" s="10" t="str">
        <f>"FES1162646561"</f>
        <v>FES1162646561</v>
      </c>
      <c r="D1356" s="10" t="s">
        <v>19</v>
      </c>
      <c r="E1356" s="10" t="s">
        <v>347</v>
      </c>
      <c r="F1356" s="10" t="str">
        <f>"2170647051 "</f>
        <v xml:space="preserve">2170647051 </v>
      </c>
      <c r="G1356" s="10" t="str">
        <f t="shared" si="35"/>
        <v>ON1</v>
      </c>
      <c r="H1356" s="10" t="s">
        <v>21</v>
      </c>
      <c r="I1356" s="10" t="s">
        <v>348</v>
      </c>
      <c r="J1356" s="10" t="str">
        <f>""</f>
        <v/>
      </c>
      <c r="K1356" s="10" t="str">
        <f>"PFES1162646561_0001"</f>
        <v>PFES1162646561_0001</v>
      </c>
      <c r="L1356" s="10">
        <v>1</v>
      </c>
      <c r="M1356" s="10">
        <v>1</v>
      </c>
    </row>
    <row r="1357" spans="1:13">
      <c r="A1357" s="8">
        <v>43354</v>
      </c>
      <c r="B1357" s="9">
        <v>0.54652777777777783</v>
      </c>
      <c r="C1357" s="10" t="str">
        <f>"FES1162646293"</f>
        <v>FES1162646293</v>
      </c>
      <c r="D1357" s="10" t="s">
        <v>19</v>
      </c>
      <c r="E1357" s="10" t="s">
        <v>715</v>
      </c>
      <c r="F1357" s="10" t="str">
        <f>"2170651059 "</f>
        <v xml:space="preserve">2170651059 </v>
      </c>
      <c r="G1357" s="10" t="str">
        <f t="shared" si="35"/>
        <v>ON1</v>
      </c>
      <c r="H1357" s="10" t="s">
        <v>21</v>
      </c>
      <c r="I1357" s="10" t="s">
        <v>189</v>
      </c>
      <c r="J1357" s="10" t="str">
        <f>""</f>
        <v/>
      </c>
      <c r="K1357" s="10" t="str">
        <f>"PFES1162646293_0001"</f>
        <v>PFES1162646293_0001</v>
      </c>
      <c r="L1357" s="10">
        <v>1</v>
      </c>
      <c r="M1357" s="10">
        <v>11</v>
      </c>
    </row>
    <row r="1358" spans="1:13">
      <c r="A1358" s="8">
        <v>43354</v>
      </c>
      <c r="B1358" s="9">
        <v>0.54583333333333328</v>
      </c>
      <c r="C1358" s="10" t="str">
        <f>"FES1162646564"</f>
        <v>FES1162646564</v>
      </c>
      <c r="D1358" s="10" t="s">
        <v>19</v>
      </c>
      <c r="E1358" s="10" t="s">
        <v>758</v>
      </c>
      <c r="F1358" s="10" t="str">
        <f>"2170648348 "</f>
        <v xml:space="preserve">2170648348 </v>
      </c>
      <c r="G1358" s="10" t="str">
        <f t="shared" si="35"/>
        <v>ON1</v>
      </c>
      <c r="H1358" s="10" t="s">
        <v>21</v>
      </c>
      <c r="I1358" s="10" t="s">
        <v>57</v>
      </c>
      <c r="J1358" s="10" t="str">
        <f>""</f>
        <v/>
      </c>
      <c r="K1358" s="10" t="str">
        <f>"PFES1162646564_0001"</f>
        <v>PFES1162646564_0001</v>
      </c>
      <c r="L1358" s="10">
        <v>1</v>
      </c>
      <c r="M1358" s="10">
        <v>1</v>
      </c>
    </row>
    <row r="1359" spans="1:13">
      <c r="A1359" s="8">
        <v>43354</v>
      </c>
      <c r="B1359" s="9">
        <v>0.54583333333333328</v>
      </c>
      <c r="C1359" s="10" t="str">
        <f>"FES1162646451"</f>
        <v>FES1162646451</v>
      </c>
      <c r="D1359" s="10" t="s">
        <v>19</v>
      </c>
      <c r="E1359" s="10" t="s">
        <v>759</v>
      </c>
      <c r="F1359" s="10" t="str">
        <f>"2170651086 "</f>
        <v xml:space="preserve">2170651086 </v>
      </c>
      <c r="G1359" s="10" t="str">
        <f t="shared" si="35"/>
        <v>ON1</v>
      </c>
      <c r="H1359" s="10" t="s">
        <v>21</v>
      </c>
      <c r="I1359" s="10" t="s">
        <v>126</v>
      </c>
      <c r="J1359" s="10" t="str">
        <f>""</f>
        <v/>
      </c>
      <c r="K1359" s="10" t="str">
        <f>"PFES1162646451_0001"</f>
        <v>PFES1162646451_0001</v>
      </c>
      <c r="L1359" s="10">
        <v>1</v>
      </c>
      <c r="M1359" s="10">
        <v>1</v>
      </c>
    </row>
    <row r="1360" spans="1:13">
      <c r="A1360" s="8">
        <v>43354</v>
      </c>
      <c r="B1360" s="9">
        <v>0.54583333333333328</v>
      </c>
      <c r="C1360" s="10" t="str">
        <f>"FES1162645983"</f>
        <v>FES1162645983</v>
      </c>
      <c r="D1360" s="10" t="s">
        <v>19</v>
      </c>
      <c r="E1360" s="10" t="s">
        <v>760</v>
      </c>
      <c r="F1360" s="10" t="str">
        <f>"217064947 "</f>
        <v xml:space="preserve">217064947 </v>
      </c>
      <c r="G1360" s="10" t="str">
        <f t="shared" si="35"/>
        <v>ON1</v>
      </c>
      <c r="H1360" s="10" t="s">
        <v>21</v>
      </c>
      <c r="I1360" s="10" t="s">
        <v>246</v>
      </c>
      <c r="J1360" s="10" t="str">
        <f>""</f>
        <v/>
      </c>
      <c r="K1360" s="10" t="str">
        <f>"PFES1162645983_0001"</f>
        <v>PFES1162645983_0001</v>
      </c>
      <c r="L1360" s="10">
        <v>1</v>
      </c>
      <c r="M1360" s="10">
        <v>1</v>
      </c>
    </row>
    <row r="1361" spans="1:13">
      <c r="A1361" s="8">
        <v>43354</v>
      </c>
      <c r="B1361" s="9">
        <v>0.54513888888888895</v>
      </c>
      <c r="C1361" s="10" t="str">
        <f>"FES1162646505"</f>
        <v>FES1162646505</v>
      </c>
      <c r="D1361" s="10" t="s">
        <v>19</v>
      </c>
      <c r="E1361" s="10" t="s">
        <v>572</v>
      </c>
      <c r="F1361" s="10" t="str">
        <f>"2170650643 "</f>
        <v xml:space="preserve">2170650643 </v>
      </c>
      <c r="G1361" s="10" t="str">
        <f t="shared" si="35"/>
        <v>ON1</v>
      </c>
      <c r="H1361" s="10" t="s">
        <v>21</v>
      </c>
      <c r="I1361" s="10" t="s">
        <v>76</v>
      </c>
      <c r="J1361" s="10" t="str">
        <f>""</f>
        <v/>
      </c>
      <c r="K1361" s="10" t="str">
        <f>"PFES1162646505_0001"</f>
        <v>PFES1162646505_0001</v>
      </c>
      <c r="L1361" s="10">
        <v>1</v>
      </c>
      <c r="M1361" s="10">
        <v>1</v>
      </c>
    </row>
    <row r="1362" spans="1:13">
      <c r="A1362" s="8">
        <v>43354</v>
      </c>
      <c r="B1362" s="9">
        <v>0.54513888888888895</v>
      </c>
      <c r="C1362" s="10" t="str">
        <f>"FES1162646591"</f>
        <v>FES1162646591</v>
      </c>
      <c r="D1362" s="10" t="s">
        <v>19</v>
      </c>
      <c r="E1362" s="10" t="s">
        <v>759</v>
      </c>
      <c r="F1362" s="10" t="str">
        <f>"2170650315 "</f>
        <v xml:space="preserve">2170650315 </v>
      </c>
      <c r="G1362" s="10" t="str">
        <f t="shared" si="35"/>
        <v>ON1</v>
      </c>
      <c r="H1362" s="10" t="s">
        <v>21</v>
      </c>
      <c r="I1362" s="10" t="s">
        <v>126</v>
      </c>
      <c r="J1362" s="10" t="str">
        <f>""</f>
        <v/>
      </c>
      <c r="K1362" s="10" t="str">
        <f>"PFES1162646591_0001"</f>
        <v>PFES1162646591_0001</v>
      </c>
      <c r="L1362" s="10">
        <v>1</v>
      </c>
      <c r="M1362" s="10">
        <v>1</v>
      </c>
    </row>
    <row r="1363" spans="1:13">
      <c r="A1363" s="8">
        <v>43354</v>
      </c>
      <c r="B1363" s="9">
        <v>0.54513888888888895</v>
      </c>
      <c r="C1363" s="10" t="str">
        <f>"FES1162646392"</f>
        <v>FES1162646392</v>
      </c>
      <c r="D1363" s="10" t="s">
        <v>19</v>
      </c>
      <c r="E1363" s="10" t="s">
        <v>232</v>
      </c>
      <c r="F1363" s="10" t="str">
        <f>"2170643582 "</f>
        <v xml:space="preserve">2170643582 </v>
      </c>
      <c r="G1363" s="10" t="str">
        <f t="shared" si="35"/>
        <v>ON1</v>
      </c>
      <c r="H1363" s="10" t="s">
        <v>21</v>
      </c>
      <c r="I1363" s="10" t="s">
        <v>233</v>
      </c>
      <c r="J1363" s="10" t="str">
        <f>""</f>
        <v/>
      </c>
      <c r="K1363" s="10" t="str">
        <f>"PFES1162646392_0001"</f>
        <v>PFES1162646392_0001</v>
      </c>
      <c r="L1363" s="10">
        <v>1</v>
      </c>
      <c r="M1363" s="10">
        <v>2</v>
      </c>
    </row>
    <row r="1364" spans="1:13">
      <c r="A1364" s="8">
        <v>43354</v>
      </c>
      <c r="B1364" s="9">
        <v>0.54513888888888895</v>
      </c>
      <c r="C1364" s="10" t="str">
        <f>"FES1162646438"</f>
        <v>FES1162646438</v>
      </c>
      <c r="D1364" s="10" t="s">
        <v>19</v>
      </c>
      <c r="E1364" s="10" t="s">
        <v>288</v>
      </c>
      <c r="F1364" s="10" t="str">
        <f>"2170650508 "</f>
        <v xml:space="preserve">2170650508 </v>
      </c>
      <c r="G1364" s="10" t="str">
        <f t="shared" si="35"/>
        <v>ON1</v>
      </c>
      <c r="H1364" s="10" t="s">
        <v>21</v>
      </c>
      <c r="I1364" s="10" t="s">
        <v>269</v>
      </c>
      <c r="J1364" s="10" t="str">
        <f>""</f>
        <v/>
      </c>
      <c r="K1364" s="10" t="str">
        <f>"PFES1162646438_0001"</f>
        <v>PFES1162646438_0001</v>
      </c>
      <c r="L1364" s="10">
        <v>1</v>
      </c>
      <c r="M1364" s="10">
        <v>1</v>
      </c>
    </row>
    <row r="1365" spans="1:13">
      <c r="A1365" s="8">
        <v>43354</v>
      </c>
      <c r="B1365" s="9">
        <v>0.5444444444444444</v>
      </c>
      <c r="C1365" s="10" t="str">
        <f>"FES1162646408"</f>
        <v>FES1162646408</v>
      </c>
      <c r="D1365" s="10" t="s">
        <v>19</v>
      </c>
      <c r="E1365" s="10" t="s">
        <v>401</v>
      </c>
      <c r="F1365" s="10" t="str">
        <f>"2170649419 "</f>
        <v xml:space="preserve">2170649419 </v>
      </c>
      <c r="G1365" s="10" t="str">
        <f t="shared" si="35"/>
        <v>ON1</v>
      </c>
      <c r="H1365" s="10" t="s">
        <v>21</v>
      </c>
      <c r="I1365" s="10" t="s">
        <v>402</v>
      </c>
      <c r="J1365" s="10" t="str">
        <f>""</f>
        <v/>
      </c>
      <c r="K1365" s="10" t="str">
        <f>"PFES1162646408_0001"</f>
        <v>PFES1162646408_0001</v>
      </c>
      <c r="L1365" s="10">
        <v>1</v>
      </c>
      <c r="M1365" s="10">
        <v>1</v>
      </c>
    </row>
    <row r="1366" spans="1:13">
      <c r="A1366" s="8">
        <v>43354</v>
      </c>
      <c r="B1366" s="9">
        <v>0.5444444444444444</v>
      </c>
      <c r="C1366" s="10" t="str">
        <f>"FES1162646414"</f>
        <v>FES1162646414</v>
      </c>
      <c r="D1366" s="10" t="s">
        <v>19</v>
      </c>
      <c r="E1366" s="10" t="s">
        <v>301</v>
      </c>
      <c r="F1366" s="10" t="str">
        <f>"2170649604 "</f>
        <v xml:space="preserve">2170649604 </v>
      </c>
      <c r="G1366" s="10" t="str">
        <f t="shared" si="35"/>
        <v>ON1</v>
      </c>
      <c r="H1366" s="10" t="s">
        <v>21</v>
      </c>
      <c r="I1366" s="10" t="s">
        <v>302</v>
      </c>
      <c r="J1366" s="10" t="str">
        <f>""</f>
        <v/>
      </c>
      <c r="K1366" s="10" t="str">
        <f>"PFES1162646414_0001"</f>
        <v>PFES1162646414_0001</v>
      </c>
      <c r="L1366" s="10">
        <v>1</v>
      </c>
      <c r="M1366" s="10">
        <v>1</v>
      </c>
    </row>
    <row r="1367" spans="1:13">
      <c r="A1367" s="8">
        <v>43354</v>
      </c>
      <c r="B1367" s="9">
        <v>0.5444444444444444</v>
      </c>
      <c r="C1367" s="10" t="str">
        <f>"FES1162646421"</f>
        <v>FES1162646421</v>
      </c>
      <c r="D1367" s="10" t="s">
        <v>19</v>
      </c>
      <c r="E1367" s="10" t="s">
        <v>104</v>
      </c>
      <c r="F1367" s="10" t="str">
        <f>"2170649836 "</f>
        <v xml:space="preserve">2170649836 </v>
      </c>
      <c r="G1367" s="10" t="str">
        <f t="shared" si="35"/>
        <v>ON1</v>
      </c>
      <c r="H1367" s="10" t="s">
        <v>21</v>
      </c>
      <c r="I1367" s="10" t="s">
        <v>105</v>
      </c>
      <c r="J1367" s="10" t="str">
        <f>""</f>
        <v/>
      </c>
      <c r="K1367" s="10" t="str">
        <f>"PFES1162646421_0001"</f>
        <v>PFES1162646421_0001</v>
      </c>
      <c r="L1367" s="10">
        <v>1</v>
      </c>
      <c r="M1367" s="10">
        <v>1</v>
      </c>
    </row>
    <row r="1368" spans="1:13">
      <c r="A1368" s="8">
        <v>43354</v>
      </c>
      <c r="B1368" s="9">
        <v>0.54375000000000007</v>
      </c>
      <c r="C1368" s="10" t="str">
        <f>"FES1162646600"</f>
        <v>FES1162646600</v>
      </c>
      <c r="D1368" s="10" t="s">
        <v>19</v>
      </c>
      <c r="E1368" s="10" t="s">
        <v>761</v>
      </c>
      <c r="F1368" s="10" t="str">
        <f>"2170650402 "</f>
        <v xml:space="preserve">2170650402 </v>
      </c>
      <c r="G1368" s="10" t="str">
        <f t="shared" si="35"/>
        <v>ON1</v>
      </c>
      <c r="H1368" s="10" t="s">
        <v>21</v>
      </c>
      <c r="I1368" s="10" t="s">
        <v>400</v>
      </c>
      <c r="J1368" s="10" t="str">
        <f>""</f>
        <v/>
      </c>
      <c r="K1368" s="10" t="str">
        <f>"PFES1162646600_0001"</f>
        <v>PFES1162646600_0001</v>
      </c>
      <c r="L1368" s="10">
        <v>1</v>
      </c>
      <c r="M1368" s="10">
        <v>1</v>
      </c>
    </row>
    <row r="1369" spans="1:13">
      <c r="A1369" s="8">
        <v>43354</v>
      </c>
      <c r="B1369" s="9">
        <v>0.54375000000000007</v>
      </c>
      <c r="C1369" s="10" t="str">
        <f>"FES1162646616"</f>
        <v>FES1162646616</v>
      </c>
      <c r="D1369" s="10" t="s">
        <v>19</v>
      </c>
      <c r="E1369" s="10" t="s">
        <v>629</v>
      </c>
      <c r="F1369" s="10" t="str">
        <f>"2170650604 "</f>
        <v xml:space="preserve">2170650604 </v>
      </c>
      <c r="G1369" s="10" t="str">
        <f t="shared" si="35"/>
        <v>ON1</v>
      </c>
      <c r="H1369" s="10" t="s">
        <v>21</v>
      </c>
      <c r="I1369" s="10" t="s">
        <v>76</v>
      </c>
      <c r="J1369" s="10" t="str">
        <f>""</f>
        <v/>
      </c>
      <c r="K1369" s="10" t="str">
        <f>"PFES1162646616_0001"</f>
        <v>PFES1162646616_0001</v>
      </c>
      <c r="L1369" s="10">
        <v>1</v>
      </c>
      <c r="M1369" s="10">
        <v>1</v>
      </c>
    </row>
    <row r="1370" spans="1:13">
      <c r="A1370" s="8">
        <v>43354</v>
      </c>
      <c r="B1370" s="9">
        <v>0.54305555555555551</v>
      </c>
      <c r="C1370" s="10" t="str">
        <f>"FES1162646602"</f>
        <v>FES1162646602</v>
      </c>
      <c r="D1370" s="10" t="s">
        <v>19</v>
      </c>
      <c r="E1370" s="10" t="s">
        <v>762</v>
      </c>
      <c r="F1370" s="10" t="str">
        <f>"2170651258 "</f>
        <v xml:space="preserve">2170651258 </v>
      </c>
      <c r="G1370" s="10" t="str">
        <f t="shared" si="35"/>
        <v>ON1</v>
      </c>
      <c r="H1370" s="10" t="s">
        <v>21</v>
      </c>
      <c r="I1370" s="10" t="s">
        <v>492</v>
      </c>
      <c r="J1370" s="10" t="str">
        <f>""</f>
        <v/>
      </c>
      <c r="K1370" s="10" t="str">
        <f>"PFES1162646602_0001"</f>
        <v>PFES1162646602_0001</v>
      </c>
      <c r="L1370" s="10">
        <v>1</v>
      </c>
      <c r="M1370" s="10">
        <v>1</v>
      </c>
    </row>
    <row r="1371" spans="1:13">
      <c r="A1371" s="8">
        <v>43354</v>
      </c>
      <c r="B1371" s="9">
        <v>0.54305555555555551</v>
      </c>
      <c r="C1371" s="10" t="str">
        <f>"FES1162646603"</f>
        <v>FES1162646603</v>
      </c>
      <c r="D1371" s="10" t="s">
        <v>19</v>
      </c>
      <c r="E1371" s="10" t="s">
        <v>762</v>
      </c>
      <c r="F1371" s="10" t="str">
        <f>"2170651259 "</f>
        <v xml:space="preserve">2170651259 </v>
      </c>
      <c r="G1371" s="10" t="str">
        <f t="shared" si="35"/>
        <v>ON1</v>
      </c>
      <c r="H1371" s="10" t="s">
        <v>21</v>
      </c>
      <c r="I1371" s="10" t="s">
        <v>492</v>
      </c>
      <c r="J1371" s="10" t="str">
        <f>""</f>
        <v/>
      </c>
      <c r="K1371" s="10" t="str">
        <f>"PFES1162646603_0001"</f>
        <v>PFES1162646603_0001</v>
      </c>
      <c r="L1371" s="10">
        <v>1</v>
      </c>
      <c r="M1371" s="10">
        <v>1</v>
      </c>
    </row>
    <row r="1372" spans="1:13">
      <c r="A1372" s="8">
        <v>43354</v>
      </c>
      <c r="B1372" s="9">
        <v>0.54236111111111118</v>
      </c>
      <c r="C1372" s="10" t="str">
        <f>"FES1162646499"</f>
        <v>FES1162646499</v>
      </c>
      <c r="D1372" s="10" t="s">
        <v>19</v>
      </c>
      <c r="E1372" s="10" t="s">
        <v>220</v>
      </c>
      <c r="F1372" s="10" t="str">
        <f>"2170648852 "</f>
        <v xml:space="preserve">2170648852 </v>
      </c>
      <c r="G1372" s="10" t="str">
        <f t="shared" si="35"/>
        <v>ON1</v>
      </c>
      <c r="H1372" s="10" t="s">
        <v>21</v>
      </c>
      <c r="I1372" s="10" t="s">
        <v>126</v>
      </c>
      <c r="J1372" s="10" t="str">
        <f>""</f>
        <v/>
      </c>
      <c r="K1372" s="10" t="str">
        <f>"PFES1162646499_0001"</f>
        <v>PFES1162646499_0001</v>
      </c>
      <c r="L1372" s="10">
        <v>1</v>
      </c>
      <c r="M1372" s="10">
        <v>2</v>
      </c>
    </row>
    <row r="1373" spans="1:13">
      <c r="A1373" s="8">
        <v>43354</v>
      </c>
      <c r="B1373" s="9">
        <v>0.54097222222222219</v>
      </c>
      <c r="C1373" s="10" t="str">
        <f>"FES1162646489"</f>
        <v>FES1162646489</v>
      </c>
      <c r="D1373" s="10" t="s">
        <v>19</v>
      </c>
      <c r="E1373" s="10" t="s">
        <v>763</v>
      </c>
      <c r="F1373" s="10" t="str">
        <f>"2170646861 "</f>
        <v xml:space="preserve">2170646861 </v>
      </c>
      <c r="G1373" s="10" t="str">
        <f t="shared" si="35"/>
        <v>ON1</v>
      </c>
      <c r="H1373" s="10" t="s">
        <v>21</v>
      </c>
      <c r="I1373" s="10" t="s">
        <v>764</v>
      </c>
      <c r="J1373" s="10" t="str">
        <f>""</f>
        <v/>
      </c>
      <c r="K1373" s="10" t="str">
        <f>"PFES1162646489_0001"</f>
        <v>PFES1162646489_0001</v>
      </c>
      <c r="L1373" s="10">
        <v>1</v>
      </c>
      <c r="M1373" s="10">
        <v>1</v>
      </c>
    </row>
    <row r="1374" spans="1:13">
      <c r="A1374" s="8">
        <v>43354</v>
      </c>
      <c r="B1374" s="9">
        <v>0.5395833333333333</v>
      </c>
      <c r="C1374" s="10" t="str">
        <f>"FES1162646407"</f>
        <v>FES1162646407</v>
      </c>
      <c r="D1374" s="10" t="s">
        <v>19</v>
      </c>
      <c r="E1374" s="10" t="s">
        <v>305</v>
      </c>
      <c r="F1374" s="10" t="str">
        <f>"2170649170 "</f>
        <v xml:space="preserve">2170649170 </v>
      </c>
      <c r="G1374" s="10" t="str">
        <f t="shared" si="35"/>
        <v>ON1</v>
      </c>
      <c r="H1374" s="10" t="s">
        <v>21</v>
      </c>
      <c r="I1374" s="10" t="s">
        <v>306</v>
      </c>
      <c r="J1374" s="10" t="str">
        <f>""</f>
        <v/>
      </c>
      <c r="K1374" s="10" t="str">
        <f>"PFES1162646407_0001"</f>
        <v>PFES1162646407_0001</v>
      </c>
      <c r="L1374" s="10">
        <v>1</v>
      </c>
      <c r="M1374" s="10">
        <v>3</v>
      </c>
    </row>
    <row r="1375" spans="1:13">
      <c r="A1375" s="8">
        <v>43354</v>
      </c>
      <c r="B1375" s="9">
        <v>0.53819444444444442</v>
      </c>
      <c r="C1375" s="10" t="str">
        <f>"FES1162646486"</f>
        <v>FES1162646486</v>
      </c>
      <c r="D1375" s="10" t="s">
        <v>19</v>
      </c>
      <c r="E1375" s="10" t="s">
        <v>328</v>
      </c>
      <c r="F1375" s="10" t="str">
        <f>"2170646394 "</f>
        <v xml:space="preserve">2170646394 </v>
      </c>
      <c r="G1375" s="10" t="str">
        <f t="shared" si="35"/>
        <v>ON1</v>
      </c>
      <c r="H1375" s="10" t="s">
        <v>21</v>
      </c>
      <c r="I1375" s="10" t="s">
        <v>57</v>
      </c>
      <c r="J1375" s="10" t="str">
        <f>""</f>
        <v/>
      </c>
      <c r="K1375" s="10" t="str">
        <f>"PFES1162646486_0001"</f>
        <v>PFES1162646486_0001</v>
      </c>
      <c r="L1375" s="10">
        <v>1</v>
      </c>
      <c r="M1375" s="10">
        <v>8</v>
      </c>
    </row>
    <row r="1376" spans="1:13">
      <c r="A1376" s="8">
        <v>43354</v>
      </c>
      <c r="B1376" s="9">
        <v>0.53749999999999998</v>
      </c>
      <c r="C1376" s="10" t="str">
        <f>"FES1162646479"</f>
        <v>FES1162646479</v>
      </c>
      <c r="D1376" s="10" t="s">
        <v>19</v>
      </c>
      <c r="E1376" s="10" t="s">
        <v>349</v>
      </c>
      <c r="F1376" s="10" t="str">
        <f>"2170651207 "</f>
        <v xml:space="preserve">2170651207 </v>
      </c>
      <c r="G1376" s="10" t="str">
        <f t="shared" si="35"/>
        <v>ON1</v>
      </c>
      <c r="H1376" s="10" t="s">
        <v>21</v>
      </c>
      <c r="I1376" s="10" t="s">
        <v>333</v>
      </c>
      <c r="J1376" s="10" t="str">
        <f>""</f>
        <v/>
      </c>
      <c r="K1376" s="10" t="str">
        <f>"PFES1162646479_0001"</f>
        <v>PFES1162646479_0001</v>
      </c>
      <c r="L1376" s="10">
        <v>1</v>
      </c>
      <c r="M1376" s="10">
        <v>1</v>
      </c>
    </row>
    <row r="1377" spans="1:13">
      <c r="A1377" s="8">
        <v>43354</v>
      </c>
      <c r="B1377" s="9">
        <v>0.53749999999999998</v>
      </c>
      <c r="C1377" s="10" t="str">
        <f>"FES1162646643"</f>
        <v>FES1162646643</v>
      </c>
      <c r="D1377" s="10" t="s">
        <v>19</v>
      </c>
      <c r="E1377" s="10" t="s">
        <v>765</v>
      </c>
      <c r="F1377" s="10" t="str">
        <f>"2170651310 "</f>
        <v xml:space="preserve">2170651310 </v>
      </c>
      <c r="G1377" s="10" t="str">
        <f t="shared" si="35"/>
        <v>ON1</v>
      </c>
      <c r="H1377" s="10" t="s">
        <v>21</v>
      </c>
      <c r="I1377" s="10" t="s">
        <v>83</v>
      </c>
      <c r="J1377" s="10" t="str">
        <f>""</f>
        <v/>
      </c>
      <c r="K1377" s="10" t="str">
        <f>"PFES1162646643_0001"</f>
        <v>PFES1162646643_0001</v>
      </c>
      <c r="L1377" s="10">
        <v>1</v>
      </c>
      <c r="M1377" s="10">
        <v>1</v>
      </c>
    </row>
    <row r="1378" spans="1:13">
      <c r="A1378" s="8">
        <v>43354</v>
      </c>
      <c r="B1378" s="9">
        <v>0.53680555555555554</v>
      </c>
      <c r="C1378" s="10" t="str">
        <f>"FES1162646504"</f>
        <v>FES1162646504</v>
      </c>
      <c r="D1378" s="10" t="s">
        <v>19</v>
      </c>
      <c r="E1378" s="10" t="s">
        <v>454</v>
      </c>
      <c r="F1378" s="10" t="str">
        <f>"2170651209 "</f>
        <v xml:space="preserve">2170651209 </v>
      </c>
      <c r="G1378" s="10" t="str">
        <f t="shared" si="35"/>
        <v>ON1</v>
      </c>
      <c r="H1378" s="10" t="s">
        <v>21</v>
      </c>
      <c r="I1378" s="10" t="s">
        <v>62</v>
      </c>
      <c r="J1378" s="10" t="str">
        <f>""</f>
        <v/>
      </c>
      <c r="K1378" s="10" t="str">
        <f>"PFES1162646504_0001"</f>
        <v>PFES1162646504_0001</v>
      </c>
      <c r="L1378" s="10">
        <v>1</v>
      </c>
      <c r="M1378" s="10">
        <v>1</v>
      </c>
    </row>
    <row r="1379" spans="1:13">
      <c r="A1379" s="8">
        <v>43354</v>
      </c>
      <c r="B1379" s="9">
        <v>0.53680555555555554</v>
      </c>
      <c r="C1379" s="10" t="str">
        <f>"FES1162646391"</f>
        <v>FES1162646391</v>
      </c>
      <c r="D1379" s="10" t="s">
        <v>19</v>
      </c>
      <c r="E1379" s="10" t="s">
        <v>232</v>
      </c>
      <c r="F1379" s="10" t="str">
        <f>"2170643311 "</f>
        <v xml:space="preserve">2170643311 </v>
      </c>
      <c r="G1379" s="10" t="str">
        <f t="shared" si="35"/>
        <v>ON1</v>
      </c>
      <c r="H1379" s="10" t="s">
        <v>21</v>
      </c>
      <c r="I1379" s="10" t="s">
        <v>233</v>
      </c>
      <c r="J1379" s="10" t="str">
        <f>""</f>
        <v/>
      </c>
      <c r="K1379" s="10" t="str">
        <f>"PFES1162646391_0001"</f>
        <v>PFES1162646391_0001</v>
      </c>
      <c r="L1379" s="10">
        <v>1</v>
      </c>
      <c r="M1379" s="10">
        <v>1</v>
      </c>
    </row>
    <row r="1380" spans="1:13">
      <c r="A1380" s="8">
        <v>43354</v>
      </c>
      <c r="B1380" s="9">
        <v>0.53680555555555554</v>
      </c>
      <c r="C1380" s="10" t="str">
        <f>"FES1162646439"</f>
        <v>FES1162646439</v>
      </c>
      <c r="D1380" s="10" t="s">
        <v>19</v>
      </c>
      <c r="E1380" s="10" t="s">
        <v>766</v>
      </c>
      <c r="F1380" s="10" t="str">
        <f>"2170650576 "</f>
        <v xml:space="preserve">2170650576 </v>
      </c>
      <c r="G1380" s="10" t="str">
        <f t="shared" si="35"/>
        <v>ON1</v>
      </c>
      <c r="H1380" s="10" t="s">
        <v>21</v>
      </c>
      <c r="I1380" s="10" t="s">
        <v>97</v>
      </c>
      <c r="J1380" s="10" t="str">
        <f>""</f>
        <v/>
      </c>
      <c r="K1380" s="10" t="str">
        <f>"PFES1162646439_0001"</f>
        <v>PFES1162646439_0001</v>
      </c>
      <c r="L1380" s="10">
        <v>1</v>
      </c>
      <c r="M1380" s="10">
        <v>1</v>
      </c>
    </row>
    <row r="1381" spans="1:13">
      <c r="A1381" s="8">
        <v>43354</v>
      </c>
      <c r="B1381" s="9">
        <v>0.53611111111111109</v>
      </c>
      <c r="C1381" s="10" t="str">
        <f>"FES1162646462"</f>
        <v>FES1162646462</v>
      </c>
      <c r="D1381" s="10" t="s">
        <v>19</v>
      </c>
      <c r="E1381" s="10" t="s">
        <v>482</v>
      </c>
      <c r="F1381" s="10" t="str">
        <f>"2170651177 "</f>
        <v xml:space="preserve">2170651177 </v>
      </c>
      <c r="G1381" s="10" t="str">
        <f t="shared" si="35"/>
        <v>ON1</v>
      </c>
      <c r="H1381" s="10" t="s">
        <v>21</v>
      </c>
      <c r="I1381" s="10" t="s">
        <v>474</v>
      </c>
      <c r="J1381" s="10" t="str">
        <f>""</f>
        <v/>
      </c>
      <c r="K1381" s="10" t="str">
        <f>"PFES1162646462_0001"</f>
        <v>PFES1162646462_0001</v>
      </c>
      <c r="L1381" s="10">
        <v>1</v>
      </c>
      <c r="M1381" s="10">
        <v>1</v>
      </c>
    </row>
    <row r="1382" spans="1:13">
      <c r="A1382" s="8">
        <v>43354</v>
      </c>
      <c r="B1382" s="9">
        <v>0.53611111111111109</v>
      </c>
      <c r="C1382" s="10" t="str">
        <f>"FES1162646608"</f>
        <v>FES1162646608</v>
      </c>
      <c r="D1382" s="10" t="s">
        <v>19</v>
      </c>
      <c r="E1382" s="10" t="s">
        <v>767</v>
      </c>
      <c r="F1382" s="10" t="str">
        <f>"2170650816 "</f>
        <v xml:space="preserve">2170650816 </v>
      </c>
      <c r="G1382" s="10" t="str">
        <f t="shared" si="35"/>
        <v>ON1</v>
      </c>
      <c r="H1382" s="10" t="s">
        <v>21</v>
      </c>
      <c r="I1382" s="10" t="s">
        <v>161</v>
      </c>
      <c r="J1382" s="10" t="str">
        <f>""</f>
        <v/>
      </c>
      <c r="K1382" s="10" t="str">
        <f>"PFES1162646608_0001"</f>
        <v>PFES1162646608_0001</v>
      </c>
      <c r="L1382" s="10">
        <v>2</v>
      </c>
      <c r="M1382" s="10">
        <v>13</v>
      </c>
    </row>
    <row r="1383" spans="1:13">
      <c r="A1383" s="8">
        <v>43354</v>
      </c>
      <c r="B1383" s="9">
        <v>0.53611111111111109</v>
      </c>
      <c r="C1383" s="10" t="str">
        <f>"FES1162646608"</f>
        <v>FES1162646608</v>
      </c>
      <c r="D1383" s="10" t="s">
        <v>19</v>
      </c>
      <c r="E1383" s="10" t="s">
        <v>767</v>
      </c>
      <c r="F1383" s="10" t="str">
        <f>"2170650816 "</f>
        <v xml:space="preserve">2170650816 </v>
      </c>
      <c r="G1383" s="10" t="str">
        <f t="shared" si="35"/>
        <v>ON1</v>
      </c>
      <c r="H1383" s="10" t="s">
        <v>21</v>
      </c>
      <c r="I1383" s="10" t="s">
        <v>161</v>
      </c>
      <c r="J1383" s="10"/>
      <c r="K1383" s="10" t="str">
        <f>"PFES1162646608_0002"</f>
        <v>PFES1162646608_0002</v>
      </c>
      <c r="L1383" s="10">
        <v>2</v>
      </c>
      <c r="M1383" s="10">
        <v>13</v>
      </c>
    </row>
    <row r="1384" spans="1:13">
      <c r="A1384" s="8">
        <v>43354</v>
      </c>
      <c r="B1384" s="9">
        <v>0.53611111111111109</v>
      </c>
      <c r="C1384" s="10" t="str">
        <f>"FES1162646386"</f>
        <v>FES1162646386</v>
      </c>
      <c r="D1384" s="10" t="s">
        <v>19</v>
      </c>
      <c r="E1384" s="10" t="s">
        <v>96</v>
      </c>
      <c r="F1384" s="10" t="str">
        <f>"2170651179 "</f>
        <v xml:space="preserve">2170651179 </v>
      </c>
      <c r="G1384" s="10" t="str">
        <f t="shared" si="35"/>
        <v>ON1</v>
      </c>
      <c r="H1384" s="10" t="s">
        <v>21</v>
      </c>
      <c r="I1384" s="10" t="s">
        <v>97</v>
      </c>
      <c r="J1384" s="10" t="str">
        <f>""</f>
        <v/>
      </c>
      <c r="K1384" s="10" t="str">
        <f>"PFES1162646386_0001"</f>
        <v>PFES1162646386_0001</v>
      </c>
      <c r="L1384" s="10">
        <v>1</v>
      </c>
      <c r="M1384" s="10">
        <v>1</v>
      </c>
    </row>
    <row r="1385" spans="1:13">
      <c r="A1385" s="8">
        <v>43354</v>
      </c>
      <c r="B1385" s="9">
        <v>0.53541666666666665</v>
      </c>
      <c r="C1385" s="10" t="str">
        <f>"FES1162646536"</f>
        <v>FES1162646536</v>
      </c>
      <c r="D1385" s="10" t="s">
        <v>19</v>
      </c>
      <c r="E1385" s="10" t="s">
        <v>141</v>
      </c>
      <c r="F1385" s="10" t="str">
        <f>"2170651235 "</f>
        <v xml:space="preserve">2170651235 </v>
      </c>
      <c r="G1385" s="10" t="str">
        <f t="shared" si="35"/>
        <v>ON1</v>
      </c>
      <c r="H1385" s="10" t="s">
        <v>21</v>
      </c>
      <c r="I1385" s="10" t="s">
        <v>91</v>
      </c>
      <c r="J1385" s="10" t="str">
        <f>""</f>
        <v/>
      </c>
      <c r="K1385" s="10" t="str">
        <f>"PFES1162646536_0001"</f>
        <v>PFES1162646536_0001</v>
      </c>
      <c r="L1385" s="10">
        <v>1</v>
      </c>
      <c r="M1385" s="10">
        <v>1</v>
      </c>
    </row>
    <row r="1386" spans="1:13">
      <c r="A1386" s="8">
        <v>43354</v>
      </c>
      <c r="B1386" s="9">
        <v>0.53541666666666665</v>
      </c>
      <c r="C1386" s="10" t="str">
        <f>"FES1162646455"</f>
        <v>FES1162646455</v>
      </c>
      <c r="D1386" s="10" t="s">
        <v>19</v>
      </c>
      <c r="E1386" s="10" t="s">
        <v>768</v>
      </c>
      <c r="F1386" s="10" t="str">
        <f>"2170651161 "</f>
        <v xml:space="preserve">2170651161 </v>
      </c>
      <c r="G1386" s="10" t="str">
        <f t="shared" si="35"/>
        <v>ON1</v>
      </c>
      <c r="H1386" s="10" t="s">
        <v>21</v>
      </c>
      <c r="I1386" s="10" t="s">
        <v>201</v>
      </c>
      <c r="J1386" s="10" t="str">
        <f>""</f>
        <v/>
      </c>
      <c r="K1386" s="10" t="str">
        <f>"PFES1162646455_0001"</f>
        <v>PFES1162646455_0001</v>
      </c>
      <c r="L1386" s="10">
        <v>1</v>
      </c>
      <c r="M1386" s="10">
        <v>1</v>
      </c>
    </row>
    <row r="1387" spans="1:13">
      <c r="A1387" s="8">
        <v>43354</v>
      </c>
      <c r="B1387" s="9">
        <v>0.53472222222222221</v>
      </c>
      <c r="C1387" s="10" t="str">
        <f>"FES1162646424"</f>
        <v>FES1162646424</v>
      </c>
      <c r="D1387" s="10" t="s">
        <v>19</v>
      </c>
      <c r="E1387" s="10" t="s">
        <v>162</v>
      </c>
      <c r="F1387" s="10" t="str">
        <f>"2170649926 "</f>
        <v xml:space="preserve">2170649926 </v>
      </c>
      <c r="G1387" s="10" t="str">
        <f t="shared" si="35"/>
        <v>ON1</v>
      </c>
      <c r="H1387" s="10" t="s">
        <v>21</v>
      </c>
      <c r="I1387" s="10" t="s">
        <v>30</v>
      </c>
      <c r="J1387" s="10" t="str">
        <f>""</f>
        <v/>
      </c>
      <c r="K1387" s="10" t="str">
        <f>"PFES1162646424_0001"</f>
        <v>PFES1162646424_0001</v>
      </c>
      <c r="L1387" s="10">
        <v>1</v>
      </c>
      <c r="M1387" s="10">
        <v>1</v>
      </c>
    </row>
    <row r="1388" spans="1:13">
      <c r="A1388" s="8">
        <v>43354</v>
      </c>
      <c r="B1388" s="9">
        <v>0.53472222222222221</v>
      </c>
      <c r="C1388" s="10" t="str">
        <f>"FES1162646638"</f>
        <v>FES1162646638</v>
      </c>
      <c r="D1388" s="10" t="s">
        <v>19</v>
      </c>
      <c r="E1388" s="10" t="s">
        <v>482</v>
      </c>
      <c r="F1388" s="10" t="str">
        <f>"2170651177 "</f>
        <v xml:space="preserve">2170651177 </v>
      </c>
      <c r="G1388" s="10" t="str">
        <f t="shared" ref="G1388:G1446" si="36">"ON1"</f>
        <v>ON1</v>
      </c>
      <c r="H1388" s="10" t="s">
        <v>21</v>
      </c>
      <c r="I1388" s="10" t="s">
        <v>474</v>
      </c>
      <c r="J1388" s="10" t="str">
        <f>""</f>
        <v/>
      </c>
      <c r="K1388" s="10" t="str">
        <f>"PFES1162646638_0001"</f>
        <v>PFES1162646638_0001</v>
      </c>
      <c r="L1388" s="10">
        <v>1</v>
      </c>
      <c r="M1388" s="10">
        <v>1</v>
      </c>
    </row>
    <row r="1389" spans="1:13">
      <c r="A1389" s="8">
        <v>43354</v>
      </c>
      <c r="B1389" s="9">
        <v>0.53472222222222221</v>
      </c>
      <c r="C1389" s="10" t="str">
        <f>"FES1162646423"</f>
        <v>FES1162646423</v>
      </c>
      <c r="D1389" s="10" t="s">
        <v>19</v>
      </c>
      <c r="E1389" s="10" t="s">
        <v>207</v>
      </c>
      <c r="F1389" s="10" t="str">
        <f>"2170649902 "</f>
        <v xml:space="preserve">2170649902 </v>
      </c>
      <c r="G1389" s="10" t="str">
        <f t="shared" si="36"/>
        <v>ON1</v>
      </c>
      <c r="H1389" s="10" t="s">
        <v>21</v>
      </c>
      <c r="I1389" s="10" t="s">
        <v>30</v>
      </c>
      <c r="J1389" s="10" t="str">
        <f>""</f>
        <v/>
      </c>
      <c r="K1389" s="10" t="str">
        <f>"PFES1162646423_0001"</f>
        <v>PFES1162646423_0001</v>
      </c>
      <c r="L1389" s="10">
        <v>1</v>
      </c>
      <c r="M1389" s="10">
        <v>1</v>
      </c>
    </row>
    <row r="1390" spans="1:13">
      <c r="A1390" s="8">
        <v>43354</v>
      </c>
      <c r="B1390" s="9">
        <v>0.53402777777777777</v>
      </c>
      <c r="C1390" s="10" t="str">
        <f>"FES1162646413"</f>
        <v>FES1162646413</v>
      </c>
      <c r="D1390" s="10" t="s">
        <v>19</v>
      </c>
      <c r="E1390" s="10" t="s">
        <v>344</v>
      </c>
      <c r="F1390" s="10" t="str">
        <f>"2170649572 "</f>
        <v xml:space="preserve">2170649572 </v>
      </c>
      <c r="G1390" s="10" t="str">
        <f t="shared" si="36"/>
        <v>ON1</v>
      </c>
      <c r="H1390" s="10" t="s">
        <v>21</v>
      </c>
      <c r="I1390" s="10" t="s">
        <v>333</v>
      </c>
      <c r="J1390" s="10" t="str">
        <f>""</f>
        <v/>
      </c>
      <c r="K1390" s="10" t="str">
        <f>"PFES1162646413_0001"</f>
        <v>PFES1162646413_0001</v>
      </c>
      <c r="L1390" s="10">
        <v>1</v>
      </c>
      <c r="M1390" s="10">
        <v>1</v>
      </c>
    </row>
    <row r="1391" spans="1:13">
      <c r="A1391" s="8">
        <v>43354</v>
      </c>
      <c r="B1391" s="9">
        <v>0.53402777777777777</v>
      </c>
      <c r="C1391" s="10" t="str">
        <f>"FES1162646464"</f>
        <v>FES1162646464</v>
      </c>
      <c r="D1391" s="10" t="s">
        <v>19</v>
      </c>
      <c r="E1391" s="10" t="s">
        <v>137</v>
      </c>
      <c r="F1391" s="10" t="str">
        <f>"2170651181 "</f>
        <v xml:space="preserve">2170651181 </v>
      </c>
      <c r="G1391" s="10" t="str">
        <f t="shared" si="36"/>
        <v>ON1</v>
      </c>
      <c r="H1391" s="10" t="s">
        <v>21</v>
      </c>
      <c r="I1391" s="10" t="s">
        <v>138</v>
      </c>
      <c r="J1391" s="10" t="str">
        <f>""</f>
        <v/>
      </c>
      <c r="K1391" s="10" t="str">
        <f>"PFES1162646464_0001"</f>
        <v>PFES1162646464_0001</v>
      </c>
      <c r="L1391" s="10">
        <v>1</v>
      </c>
      <c r="M1391" s="10">
        <v>1</v>
      </c>
    </row>
    <row r="1392" spans="1:13">
      <c r="A1392" s="8">
        <v>43354</v>
      </c>
      <c r="B1392" s="9">
        <v>0.53402777777777777</v>
      </c>
      <c r="C1392" s="10" t="str">
        <f>"FES1162646426"</f>
        <v>FES1162646426</v>
      </c>
      <c r="D1392" s="10" t="s">
        <v>19</v>
      </c>
      <c r="E1392" s="10" t="s">
        <v>58</v>
      </c>
      <c r="F1392" s="10" t="str">
        <f>"2170649952 "</f>
        <v xml:space="preserve">2170649952 </v>
      </c>
      <c r="G1392" s="10" t="str">
        <f t="shared" si="36"/>
        <v>ON1</v>
      </c>
      <c r="H1392" s="10" t="s">
        <v>21</v>
      </c>
      <c r="I1392" s="10" t="s">
        <v>30</v>
      </c>
      <c r="J1392" s="10" t="str">
        <f>""</f>
        <v/>
      </c>
      <c r="K1392" s="10" t="str">
        <f>"PFES1162646426_0001"</f>
        <v>PFES1162646426_0001</v>
      </c>
      <c r="L1392" s="10">
        <v>1</v>
      </c>
      <c r="M1392" s="10">
        <v>1</v>
      </c>
    </row>
    <row r="1393" spans="1:13">
      <c r="A1393" s="8">
        <v>43354</v>
      </c>
      <c r="B1393" s="9">
        <v>0.53333333333333333</v>
      </c>
      <c r="C1393" s="10" t="str">
        <f>"FES1162646389"</f>
        <v>FES1162646389</v>
      </c>
      <c r="D1393" s="10" t="s">
        <v>19</v>
      </c>
      <c r="E1393" s="10" t="s">
        <v>604</v>
      </c>
      <c r="F1393" s="10" t="str">
        <f>"2170642281 "</f>
        <v xml:space="preserve">2170642281 </v>
      </c>
      <c r="G1393" s="10" t="str">
        <f t="shared" si="36"/>
        <v>ON1</v>
      </c>
      <c r="H1393" s="10" t="s">
        <v>21</v>
      </c>
      <c r="I1393" s="10" t="s">
        <v>486</v>
      </c>
      <c r="J1393" s="10" t="str">
        <f>""</f>
        <v/>
      </c>
      <c r="K1393" s="10" t="str">
        <f>"PFES1162646389_0001"</f>
        <v>PFES1162646389_0001</v>
      </c>
      <c r="L1393" s="10">
        <v>1</v>
      </c>
      <c r="M1393" s="10">
        <v>1</v>
      </c>
    </row>
    <row r="1394" spans="1:13">
      <c r="A1394" s="8">
        <v>43354</v>
      </c>
      <c r="B1394" s="9">
        <v>0.53333333333333333</v>
      </c>
      <c r="C1394" s="10" t="str">
        <f>"FES1162646449"</f>
        <v>FES1162646449</v>
      </c>
      <c r="D1394" s="10" t="s">
        <v>19</v>
      </c>
      <c r="E1394" s="10" t="s">
        <v>332</v>
      </c>
      <c r="F1394" s="10" t="str">
        <f>"2170651020 "</f>
        <v xml:space="preserve">2170651020 </v>
      </c>
      <c r="G1394" s="10" t="str">
        <f t="shared" si="36"/>
        <v>ON1</v>
      </c>
      <c r="H1394" s="10" t="s">
        <v>21</v>
      </c>
      <c r="I1394" s="10" t="s">
        <v>333</v>
      </c>
      <c r="J1394" s="10" t="str">
        <f>""</f>
        <v/>
      </c>
      <c r="K1394" s="10" t="str">
        <f>"PFES1162646449_0001"</f>
        <v>PFES1162646449_0001</v>
      </c>
      <c r="L1394" s="10">
        <v>1</v>
      </c>
      <c r="M1394" s="10">
        <v>1</v>
      </c>
    </row>
    <row r="1395" spans="1:13">
      <c r="A1395" s="8">
        <v>43354</v>
      </c>
      <c r="B1395" s="9">
        <v>0.53263888888888888</v>
      </c>
      <c r="C1395" s="10" t="str">
        <f>"FES1162646422"</f>
        <v>FES1162646422</v>
      </c>
      <c r="D1395" s="10" t="s">
        <v>19</v>
      </c>
      <c r="E1395" s="10" t="s">
        <v>84</v>
      </c>
      <c r="F1395" s="10" t="str">
        <f>"2170649847 "</f>
        <v xml:space="preserve">2170649847 </v>
      </c>
      <c r="G1395" s="10" t="str">
        <f t="shared" si="36"/>
        <v>ON1</v>
      </c>
      <c r="H1395" s="10" t="s">
        <v>21</v>
      </c>
      <c r="I1395" s="10" t="s">
        <v>85</v>
      </c>
      <c r="J1395" s="10" t="str">
        <f>""</f>
        <v/>
      </c>
      <c r="K1395" s="10" t="str">
        <f>"PFES1162646422_0001"</f>
        <v>PFES1162646422_0001</v>
      </c>
      <c r="L1395" s="10">
        <v>1</v>
      </c>
      <c r="M1395" s="10">
        <v>1</v>
      </c>
    </row>
    <row r="1396" spans="1:13">
      <c r="A1396" s="8">
        <v>43354</v>
      </c>
      <c r="B1396" s="9">
        <v>0.52638888888888891</v>
      </c>
      <c r="C1396" s="10" t="str">
        <f>"FES1162646659"</f>
        <v>FES1162646659</v>
      </c>
      <c r="D1396" s="10" t="s">
        <v>19</v>
      </c>
      <c r="E1396" s="10" t="s">
        <v>41</v>
      </c>
      <c r="F1396" s="10" t="str">
        <f>"2170651330 "</f>
        <v xml:space="preserve">2170651330 </v>
      </c>
      <c r="G1396" s="10" t="str">
        <f t="shared" si="36"/>
        <v>ON1</v>
      </c>
      <c r="H1396" s="10" t="s">
        <v>21</v>
      </c>
      <c r="I1396" s="10" t="s">
        <v>42</v>
      </c>
      <c r="J1396" s="10" t="str">
        <f>""</f>
        <v/>
      </c>
      <c r="K1396" s="10" t="str">
        <f>"PFES1162646659_0001"</f>
        <v>PFES1162646659_0001</v>
      </c>
      <c r="L1396" s="10">
        <v>1</v>
      </c>
      <c r="M1396" s="10">
        <v>1</v>
      </c>
    </row>
    <row r="1397" spans="1:13">
      <c r="A1397" s="8">
        <v>43354</v>
      </c>
      <c r="B1397" s="9">
        <v>0.52569444444444446</v>
      </c>
      <c r="C1397" s="10" t="str">
        <f>"FES1162646549"</f>
        <v>FES1162646549</v>
      </c>
      <c r="D1397" s="10" t="s">
        <v>19</v>
      </c>
      <c r="E1397" s="10" t="s">
        <v>174</v>
      </c>
      <c r="F1397" s="10" t="str">
        <f>"217062538 "</f>
        <v xml:space="preserve">217062538 </v>
      </c>
      <c r="G1397" s="10" t="str">
        <f t="shared" si="36"/>
        <v>ON1</v>
      </c>
      <c r="H1397" s="10" t="s">
        <v>21</v>
      </c>
      <c r="I1397" s="10" t="s">
        <v>175</v>
      </c>
      <c r="J1397" s="10" t="str">
        <f>""</f>
        <v/>
      </c>
      <c r="K1397" s="10" t="str">
        <f>"PFES1162646549_0001"</f>
        <v>PFES1162646549_0001</v>
      </c>
      <c r="L1397" s="10">
        <v>1</v>
      </c>
      <c r="M1397" s="10">
        <v>1</v>
      </c>
    </row>
    <row r="1398" spans="1:13">
      <c r="A1398" s="8">
        <v>43354</v>
      </c>
      <c r="B1398" s="9">
        <v>0.52569444444444446</v>
      </c>
      <c r="C1398" s="10" t="str">
        <f>"FES1162646587"</f>
        <v>FES1162646587</v>
      </c>
      <c r="D1398" s="10" t="s">
        <v>19</v>
      </c>
      <c r="E1398" s="10" t="s">
        <v>422</v>
      </c>
      <c r="F1398" s="10" t="str">
        <f>"2170649539 "</f>
        <v xml:space="preserve">2170649539 </v>
      </c>
      <c r="G1398" s="10" t="str">
        <f t="shared" si="36"/>
        <v>ON1</v>
      </c>
      <c r="H1398" s="10" t="s">
        <v>21</v>
      </c>
      <c r="I1398" s="10" t="s">
        <v>42</v>
      </c>
      <c r="J1398" s="10" t="str">
        <f>""</f>
        <v/>
      </c>
      <c r="K1398" s="10" t="str">
        <f>"PFES1162646587_0001"</f>
        <v>PFES1162646587_0001</v>
      </c>
      <c r="L1398" s="10">
        <v>1</v>
      </c>
      <c r="M1398" s="10">
        <v>1</v>
      </c>
    </row>
    <row r="1399" spans="1:13">
      <c r="A1399" s="8">
        <v>43354</v>
      </c>
      <c r="B1399" s="9">
        <v>0.52569444444444446</v>
      </c>
      <c r="C1399" s="10" t="str">
        <f>"FES1162646556"</f>
        <v>FES1162646556</v>
      </c>
      <c r="D1399" s="10" t="s">
        <v>19</v>
      </c>
      <c r="E1399" s="10" t="s">
        <v>174</v>
      </c>
      <c r="F1399" s="10" t="str">
        <f>"2170645474 "</f>
        <v xml:space="preserve">2170645474 </v>
      </c>
      <c r="G1399" s="10" t="str">
        <f t="shared" si="36"/>
        <v>ON1</v>
      </c>
      <c r="H1399" s="10" t="s">
        <v>21</v>
      </c>
      <c r="I1399" s="10" t="s">
        <v>175</v>
      </c>
      <c r="J1399" s="10" t="str">
        <f>""</f>
        <v/>
      </c>
      <c r="K1399" s="10" t="str">
        <f>"PFES1162646556_0001"</f>
        <v>PFES1162646556_0001</v>
      </c>
      <c r="L1399" s="10">
        <v>1</v>
      </c>
      <c r="M1399" s="10">
        <v>1</v>
      </c>
    </row>
    <row r="1400" spans="1:13">
      <c r="A1400" s="8">
        <v>43354</v>
      </c>
      <c r="B1400" s="9">
        <v>0.52500000000000002</v>
      </c>
      <c r="C1400" s="10" t="str">
        <f>"FES1162646555"</f>
        <v>FES1162646555</v>
      </c>
      <c r="D1400" s="10" t="s">
        <v>19</v>
      </c>
      <c r="E1400" s="10" t="s">
        <v>174</v>
      </c>
      <c r="F1400" s="10" t="str">
        <f>"2170654127 "</f>
        <v xml:space="preserve">2170654127 </v>
      </c>
      <c r="G1400" s="10" t="str">
        <f t="shared" si="36"/>
        <v>ON1</v>
      </c>
      <c r="H1400" s="10" t="s">
        <v>21</v>
      </c>
      <c r="I1400" s="10" t="s">
        <v>175</v>
      </c>
      <c r="J1400" s="10" t="str">
        <f>""</f>
        <v/>
      </c>
      <c r="K1400" s="10" t="str">
        <f>"PFES1162646555_0001"</f>
        <v>PFES1162646555_0001</v>
      </c>
      <c r="L1400" s="10">
        <v>1</v>
      </c>
      <c r="M1400" s="10">
        <v>1</v>
      </c>
    </row>
    <row r="1401" spans="1:13">
      <c r="A1401" s="8">
        <v>43354</v>
      </c>
      <c r="B1401" s="9">
        <v>0.52500000000000002</v>
      </c>
      <c r="C1401" s="10" t="str">
        <f>"FES1162646427"</f>
        <v>FES1162646427</v>
      </c>
      <c r="D1401" s="10" t="s">
        <v>19</v>
      </c>
      <c r="E1401" s="10" t="s">
        <v>259</v>
      </c>
      <c r="F1401" s="10" t="str">
        <f>"2170649972 "</f>
        <v xml:space="preserve">2170649972 </v>
      </c>
      <c r="G1401" s="10" t="str">
        <f t="shared" si="36"/>
        <v>ON1</v>
      </c>
      <c r="H1401" s="10" t="s">
        <v>21</v>
      </c>
      <c r="I1401" s="10" t="s">
        <v>260</v>
      </c>
      <c r="J1401" s="10" t="str">
        <f>""</f>
        <v/>
      </c>
      <c r="K1401" s="10" t="str">
        <f>"PFES1162646427_0001"</f>
        <v>PFES1162646427_0001</v>
      </c>
      <c r="L1401" s="10">
        <v>1</v>
      </c>
      <c r="M1401" s="10">
        <v>1</v>
      </c>
    </row>
    <row r="1402" spans="1:13">
      <c r="A1402" s="8">
        <v>43354</v>
      </c>
      <c r="B1402" s="9">
        <v>0.52500000000000002</v>
      </c>
      <c r="C1402" s="10" t="str">
        <f>"FES1162646658"</f>
        <v>FES1162646658</v>
      </c>
      <c r="D1402" s="10" t="s">
        <v>19</v>
      </c>
      <c r="E1402" s="10" t="s">
        <v>358</v>
      </c>
      <c r="F1402" s="10" t="str">
        <f>"2170650705 "</f>
        <v xml:space="preserve">2170650705 </v>
      </c>
      <c r="G1402" s="10" t="str">
        <f t="shared" si="36"/>
        <v>ON1</v>
      </c>
      <c r="H1402" s="10" t="s">
        <v>21</v>
      </c>
      <c r="I1402" s="10" t="s">
        <v>42</v>
      </c>
      <c r="J1402" s="10" t="str">
        <f>""</f>
        <v/>
      </c>
      <c r="K1402" s="10" t="str">
        <f>"PFES1162646658_0001"</f>
        <v>PFES1162646658_0001</v>
      </c>
      <c r="L1402" s="10">
        <v>1</v>
      </c>
      <c r="M1402" s="10">
        <v>1</v>
      </c>
    </row>
    <row r="1403" spans="1:13">
      <c r="A1403" s="8">
        <v>43354</v>
      </c>
      <c r="B1403" s="9">
        <v>0.52430555555555558</v>
      </c>
      <c r="C1403" s="10" t="str">
        <f>"FES1162646473"</f>
        <v>FES1162646473</v>
      </c>
      <c r="D1403" s="10" t="s">
        <v>19</v>
      </c>
      <c r="E1403" s="10" t="s">
        <v>362</v>
      </c>
      <c r="F1403" s="10" t="str">
        <f>"2170651195 "</f>
        <v xml:space="preserve">2170651195 </v>
      </c>
      <c r="G1403" s="10" t="str">
        <f t="shared" si="36"/>
        <v>ON1</v>
      </c>
      <c r="H1403" s="10" t="s">
        <v>21</v>
      </c>
      <c r="I1403" s="10" t="s">
        <v>179</v>
      </c>
      <c r="J1403" s="10" t="str">
        <f>""</f>
        <v/>
      </c>
      <c r="K1403" s="10" t="str">
        <f>"PFES1162646473_0001"</f>
        <v>PFES1162646473_0001</v>
      </c>
      <c r="L1403" s="10">
        <v>1</v>
      </c>
      <c r="M1403" s="10">
        <v>1</v>
      </c>
    </row>
    <row r="1404" spans="1:13">
      <c r="A1404" s="8">
        <v>43354</v>
      </c>
      <c r="B1404" s="9">
        <v>0.52430555555555558</v>
      </c>
      <c r="C1404" s="10" t="str">
        <f>"FES1162646641"</f>
        <v>FES1162646641</v>
      </c>
      <c r="D1404" s="10" t="s">
        <v>19</v>
      </c>
      <c r="E1404" s="10" t="s">
        <v>445</v>
      </c>
      <c r="F1404" s="10" t="str">
        <f>"2170651307 "</f>
        <v xml:space="preserve">2170651307 </v>
      </c>
      <c r="G1404" s="10" t="str">
        <f t="shared" si="36"/>
        <v>ON1</v>
      </c>
      <c r="H1404" s="10" t="s">
        <v>21</v>
      </c>
      <c r="I1404" s="10" t="s">
        <v>206</v>
      </c>
      <c r="J1404" s="10" t="str">
        <f>""</f>
        <v/>
      </c>
      <c r="K1404" s="10" t="str">
        <f>"PFES1162646641_0001"</f>
        <v>PFES1162646641_0001</v>
      </c>
      <c r="L1404" s="10">
        <v>1</v>
      </c>
      <c r="M1404" s="10">
        <v>1</v>
      </c>
    </row>
    <row r="1405" spans="1:13">
      <c r="A1405" s="8">
        <v>43354</v>
      </c>
      <c r="B1405" s="9">
        <v>0.52430555555555558</v>
      </c>
      <c r="C1405" s="10" t="str">
        <f>"FES1162646646"</f>
        <v>FES1162646646</v>
      </c>
      <c r="D1405" s="10" t="s">
        <v>19</v>
      </c>
      <c r="E1405" s="10" t="s">
        <v>445</v>
      </c>
      <c r="F1405" s="10" t="str">
        <f>"217061319 "</f>
        <v xml:space="preserve">217061319 </v>
      </c>
      <c r="G1405" s="10" t="str">
        <f t="shared" si="36"/>
        <v>ON1</v>
      </c>
      <c r="H1405" s="10" t="s">
        <v>21</v>
      </c>
      <c r="I1405" s="10" t="s">
        <v>206</v>
      </c>
      <c r="J1405" s="10" t="str">
        <f>""</f>
        <v/>
      </c>
      <c r="K1405" s="10" t="str">
        <f>"PFES1162646646_0001"</f>
        <v>PFES1162646646_0001</v>
      </c>
      <c r="L1405" s="10">
        <v>1</v>
      </c>
      <c r="M1405" s="10">
        <v>1</v>
      </c>
    </row>
    <row r="1406" spans="1:13">
      <c r="A1406" s="8">
        <v>43354</v>
      </c>
      <c r="B1406" s="9">
        <v>0.52361111111111114</v>
      </c>
      <c r="C1406" s="10" t="str">
        <f>"FES1162646624"</f>
        <v>FES1162646624</v>
      </c>
      <c r="D1406" s="10" t="s">
        <v>19</v>
      </c>
      <c r="E1406" s="10" t="s">
        <v>470</v>
      </c>
      <c r="F1406" s="10" t="str">
        <f>"2170651290 "</f>
        <v xml:space="preserve">2170651290 </v>
      </c>
      <c r="G1406" s="10" t="str">
        <f t="shared" si="36"/>
        <v>ON1</v>
      </c>
      <c r="H1406" s="10" t="s">
        <v>21</v>
      </c>
      <c r="I1406" s="10" t="s">
        <v>175</v>
      </c>
      <c r="J1406" s="10" t="str">
        <f>""</f>
        <v/>
      </c>
      <c r="K1406" s="10" t="str">
        <f>"PFES1162646624_0001"</f>
        <v>PFES1162646624_0001</v>
      </c>
      <c r="L1406" s="10">
        <v>1</v>
      </c>
      <c r="M1406" s="10">
        <v>1</v>
      </c>
    </row>
    <row r="1407" spans="1:13">
      <c r="A1407" s="8">
        <v>43354</v>
      </c>
      <c r="B1407" s="9">
        <v>0.52361111111111114</v>
      </c>
      <c r="C1407" s="10" t="str">
        <f>"FES1162646619"</f>
        <v>FES1162646619</v>
      </c>
      <c r="D1407" s="10" t="s">
        <v>19</v>
      </c>
      <c r="E1407" s="10" t="s">
        <v>295</v>
      </c>
      <c r="F1407" s="10" t="str">
        <f>"21706451281 "</f>
        <v xml:space="preserve">21706451281 </v>
      </c>
      <c r="G1407" s="10" t="str">
        <f t="shared" si="36"/>
        <v>ON1</v>
      </c>
      <c r="H1407" s="10" t="s">
        <v>21</v>
      </c>
      <c r="I1407" s="10" t="s">
        <v>42</v>
      </c>
      <c r="J1407" s="10" t="str">
        <f>""</f>
        <v/>
      </c>
      <c r="K1407" s="10" t="str">
        <f>"PFES1162646619_0001"</f>
        <v>PFES1162646619_0001</v>
      </c>
      <c r="L1407" s="10">
        <v>1</v>
      </c>
      <c r="M1407" s="10">
        <v>1</v>
      </c>
    </row>
    <row r="1408" spans="1:13">
      <c r="A1408" s="8">
        <v>43354</v>
      </c>
      <c r="B1408" s="9">
        <v>0.5229166666666667</v>
      </c>
      <c r="C1408" s="10" t="str">
        <f>"FES1162646601"</f>
        <v>FES1162646601</v>
      </c>
      <c r="D1408" s="10" t="s">
        <v>19</v>
      </c>
      <c r="E1408" s="10" t="s">
        <v>174</v>
      </c>
      <c r="F1408" s="10" t="str">
        <f>"2170651257 "</f>
        <v xml:space="preserve">2170651257 </v>
      </c>
      <c r="G1408" s="10" t="str">
        <f t="shared" si="36"/>
        <v>ON1</v>
      </c>
      <c r="H1408" s="10" t="s">
        <v>21</v>
      </c>
      <c r="I1408" s="10" t="s">
        <v>175</v>
      </c>
      <c r="J1408" s="10" t="str">
        <f>""</f>
        <v/>
      </c>
      <c r="K1408" s="10" t="str">
        <f>"PFES1162646601_0001"</f>
        <v>PFES1162646601_0001</v>
      </c>
      <c r="L1408" s="10">
        <v>1</v>
      </c>
      <c r="M1408" s="10">
        <v>1</v>
      </c>
    </row>
    <row r="1409" spans="1:13">
      <c r="A1409" s="8">
        <v>43354</v>
      </c>
      <c r="B1409" s="9">
        <v>0.5229166666666667</v>
      </c>
      <c r="C1409" s="10" t="str">
        <f>"FES1162646418"</f>
        <v>FES1162646418</v>
      </c>
      <c r="D1409" s="10" t="s">
        <v>19</v>
      </c>
      <c r="E1409" s="10" t="s">
        <v>345</v>
      </c>
      <c r="F1409" s="10" t="str">
        <f>"2170649767 "</f>
        <v xml:space="preserve">2170649767 </v>
      </c>
      <c r="G1409" s="10" t="str">
        <f t="shared" si="36"/>
        <v>ON1</v>
      </c>
      <c r="H1409" s="10" t="s">
        <v>21</v>
      </c>
      <c r="I1409" s="10" t="s">
        <v>346</v>
      </c>
      <c r="J1409" s="10" t="str">
        <f>""</f>
        <v/>
      </c>
      <c r="K1409" s="10" t="str">
        <f>"PFES1162646418_0001"</f>
        <v>PFES1162646418_0001</v>
      </c>
      <c r="L1409" s="10">
        <v>1</v>
      </c>
      <c r="M1409" s="10">
        <v>1</v>
      </c>
    </row>
    <row r="1410" spans="1:13">
      <c r="A1410" s="8">
        <v>43354</v>
      </c>
      <c r="B1410" s="9">
        <v>0.5229166666666667</v>
      </c>
      <c r="C1410" s="10" t="str">
        <f>"FES1162646432"</f>
        <v>FES1162646432</v>
      </c>
      <c r="D1410" s="10" t="s">
        <v>19</v>
      </c>
      <c r="E1410" s="10" t="s">
        <v>769</v>
      </c>
      <c r="F1410" s="10" t="str">
        <f>"2170650254 "</f>
        <v xml:space="preserve">2170650254 </v>
      </c>
      <c r="G1410" s="10" t="str">
        <f t="shared" si="36"/>
        <v>ON1</v>
      </c>
      <c r="H1410" s="10" t="s">
        <v>21</v>
      </c>
      <c r="I1410" s="10" t="s">
        <v>429</v>
      </c>
      <c r="J1410" s="10" t="str">
        <f>""</f>
        <v/>
      </c>
      <c r="K1410" s="10" t="str">
        <f>"PFES1162646432_0001"</f>
        <v>PFES1162646432_0001</v>
      </c>
      <c r="L1410" s="10">
        <v>1</v>
      </c>
      <c r="M1410" s="10">
        <v>1</v>
      </c>
    </row>
    <row r="1411" spans="1:13">
      <c r="A1411" s="8">
        <v>43354</v>
      </c>
      <c r="B1411" s="9">
        <v>0.52222222222222225</v>
      </c>
      <c r="C1411" s="10" t="str">
        <f>"FES1162646553"</f>
        <v>FES1162646553</v>
      </c>
      <c r="D1411" s="10" t="s">
        <v>19</v>
      </c>
      <c r="E1411" s="10" t="s">
        <v>422</v>
      </c>
      <c r="F1411" s="10" t="str">
        <f>"2170644426 "</f>
        <v xml:space="preserve">2170644426 </v>
      </c>
      <c r="G1411" s="10" t="str">
        <f t="shared" si="36"/>
        <v>ON1</v>
      </c>
      <c r="H1411" s="10" t="s">
        <v>21</v>
      </c>
      <c r="I1411" s="10" t="s">
        <v>42</v>
      </c>
      <c r="J1411" s="10" t="str">
        <f>""</f>
        <v/>
      </c>
      <c r="K1411" s="10" t="str">
        <f>"PFES1162646553_0001"</f>
        <v>PFES1162646553_0001</v>
      </c>
      <c r="L1411" s="10">
        <v>1</v>
      </c>
      <c r="M1411" s="10">
        <v>1</v>
      </c>
    </row>
    <row r="1412" spans="1:13">
      <c r="A1412" s="8">
        <v>43354</v>
      </c>
      <c r="B1412" s="9">
        <v>0.52222222222222225</v>
      </c>
      <c r="C1412" s="10" t="str">
        <f>"FES1162646470"</f>
        <v>FES1162646470</v>
      </c>
      <c r="D1412" s="10" t="s">
        <v>19</v>
      </c>
      <c r="E1412" s="10" t="s">
        <v>351</v>
      </c>
      <c r="F1412" s="10" t="str">
        <f>"2170651192 "</f>
        <v xml:space="preserve">2170651192 </v>
      </c>
      <c r="G1412" s="10" t="str">
        <f t="shared" si="36"/>
        <v>ON1</v>
      </c>
      <c r="H1412" s="10" t="s">
        <v>21</v>
      </c>
      <c r="I1412" s="10" t="s">
        <v>308</v>
      </c>
      <c r="J1412" s="10" t="str">
        <f>""</f>
        <v/>
      </c>
      <c r="K1412" s="10" t="str">
        <f>"PFES1162646470_0001"</f>
        <v>PFES1162646470_0001</v>
      </c>
      <c r="L1412" s="10">
        <v>1</v>
      </c>
      <c r="M1412" s="10">
        <v>1</v>
      </c>
    </row>
    <row r="1413" spans="1:13">
      <c r="A1413" s="8">
        <v>43354</v>
      </c>
      <c r="B1413" s="9">
        <v>0.52152777777777781</v>
      </c>
      <c r="C1413" s="10" t="str">
        <f>"FES1162646351"</f>
        <v>FES1162646351</v>
      </c>
      <c r="D1413" s="10" t="s">
        <v>19</v>
      </c>
      <c r="E1413" s="10" t="s">
        <v>770</v>
      </c>
      <c r="F1413" s="10" t="str">
        <f>"2170651126 "</f>
        <v xml:space="preserve">2170651126 </v>
      </c>
      <c r="G1413" s="10" t="str">
        <f t="shared" si="36"/>
        <v>ON1</v>
      </c>
      <c r="H1413" s="10" t="s">
        <v>21</v>
      </c>
      <c r="I1413" s="10" t="s">
        <v>495</v>
      </c>
      <c r="J1413" s="10" t="str">
        <f>""</f>
        <v/>
      </c>
      <c r="K1413" s="10" t="str">
        <f>"PFES1162646351_0001"</f>
        <v>PFES1162646351_0001</v>
      </c>
      <c r="L1413" s="10">
        <v>1</v>
      </c>
      <c r="M1413" s="10">
        <v>1</v>
      </c>
    </row>
    <row r="1414" spans="1:13">
      <c r="A1414" s="8">
        <v>43354</v>
      </c>
      <c r="B1414" s="9">
        <v>0.52152777777777781</v>
      </c>
      <c r="C1414" s="10" t="str">
        <f>"FES1162646626"</f>
        <v>FES1162646626</v>
      </c>
      <c r="D1414" s="10" t="s">
        <v>19</v>
      </c>
      <c r="E1414" s="10" t="s">
        <v>295</v>
      </c>
      <c r="F1414" s="10" t="str">
        <f>"2170647828 "</f>
        <v xml:space="preserve">2170647828 </v>
      </c>
      <c r="G1414" s="10" t="str">
        <f t="shared" si="36"/>
        <v>ON1</v>
      </c>
      <c r="H1414" s="10" t="s">
        <v>21</v>
      </c>
      <c r="I1414" s="10" t="s">
        <v>42</v>
      </c>
      <c r="J1414" s="10" t="str">
        <f>""</f>
        <v/>
      </c>
      <c r="K1414" s="10" t="str">
        <f>"PFES1162646626_0001"</f>
        <v>PFES1162646626_0001</v>
      </c>
      <c r="L1414" s="10">
        <v>1</v>
      </c>
      <c r="M1414" s="10">
        <v>1</v>
      </c>
    </row>
    <row r="1415" spans="1:13">
      <c r="A1415" s="8">
        <v>43354</v>
      </c>
      <c r="B1415" s="9">
        <v>0.52083333333333337</v>
      </c>
      <c r="C1415" s="10" t="str">
        <f>"FES1162646551"</f>
        <v>FES1162646551</v>
      </c>
      <c r="D1415" s="10" t="s">
        <v>19</v>
      </c>
      <c r="E1415" s="10" t="s">
        <v>174</v>
      </c>
      <c r="F1415" s="10" t="str">
        <f>"2170643680 "</f>
        <v xml:space="preserve">2170643680 </v>
      </c>
      <c r="G1415" s="10" t="str">
        <f t="shared" si="36"/>
        <v>ON1</v>
      </c>
      <c r="H1415" s="10" t="s">
        <v>21</v>
      </c>
      <c r="I1415" s="10" t="s">
        <v>175</v>
      </c>
      <c r="J1415" s="10" t="str">
        <f>""</f>
        <v/>
      </c>
      <c r="K1415" s="10" t="str">
        <f>"PFES1162646551_0001"</f>
        <v>PFES1162646551_0001</v>
      </c>
      <c r="L1415" s="10">
        <v>1</v>
      </c>
      <c r="M1415" s="10">
        <v>1</v>
      </c>
    </row>
    <row r="1416" spans="1:13">
      <c r="A1416" s="8">
        <v>43354</v>
      </c>
      <c r="B1416" s="9">
        <v>0.51736111111111105</v>
      </c>
      <c r="C1416" s="10" t="str">
        <f>"FES1162646265"</f>
        <v>FES1162646265</v>
      </c>
      <c r="D1416" s="10" t="s">
        <v>19</v>
      </c>
      <c r="E1416" s="10" t="s">
        <v>232</v>
      </c>
      <c r="F1416" s="10" t="str">
        <f>"2170651029 "</f>
        <v xml:space="preserve">2170651029 </v>
      </c>
      <c r="G1416" s="10" t="str">
        <f t="shared" si="36"/>
        <v>ON1</v>
      </c>
      <c r="H1416" s="10" t="s">
        <v>21</v>
      </c>
      <c r="I1416" s="10" t="s">
        <v>233</v>
      </c>
      <c r="J1416" s="10" t="str">
        <f>""</f>
        <v/>
      </c>
      <c r="K1416" s="10" t="str">
        <f>"PFES1162646265_0001"</f>
        <v>PFES1162646265_0001</v>
      </c>
      <c r="L1416" s="10">
        <v>1</v>
      </c>
      <c r="M1416" s="10">
        <v>11</v>
      </c>
    </row>
    <row r="1417" spans="1:13">
      <c r="A1417" s="8">
        <v>43354</v>
      </c>
      <c r="B1417" s="9">
        <v>0.51666666666666672</v>
      </c>
      <c r="C1417" s="10" t="str">
        <f>"FES1162646495"</f>
        <v>FES1162646495</v>
      </c>
      <c r="D1417" s="10" t="s">
        <v>19</v>
      </c>
      <c r="E1417" s="10" t="s">
        <v>605</v>
      </c>
      <c r="F1417" s="10" t="str">
        <f>"2170647843 "</f>
        <v xml:space="preserve">2170647843 </v>
      </c>
      <c r="G1417" s="10" t="str">
        <f t="shared" si="36"/>
        <v>ON1</v>
      </c>
      <c r="H1417" s="10" t="s">
        <v>21</v>
      </c>
      <c r="I1417" s="10" t="s">
        <v>606</v>
      </c>
      <c r="J1417" s="10" t="str">
        <f>""</f>
        <v/>
      </c>
      <c r="K1417" s="10" t="str">
        <f>"PFES1162646495_0001"</f>
        <v>PFES1162646495_0001</v>
      </c>
      <c r="L1417" s="10">
        <v>1</v>
      </c>
      <c r="M1417" s="10">
        <v>3</v>
      </c>
    </row>
    <row r="1418" spans="1:13">
      <c r="A1418" s="8">
        <v>43354</v>
      </c>
      <c r="B1418" s="9">
        <v>0.51527777777777783</v>
      </c>
      <c r="C1418" s="10" t="str">
        <f>"FES1162646511"</f>
        <v>FES1162646511</v>
      </c>
      <c r="D1418" s="10" t="s">
        <v>19</v>
      </c>
      <c r="E1418" s="10" t="s">
        <v>232</v>
      </c>
      <c r="F1418" s="10" t="str">
        <f>"2170643311 "</f>
        <v xml:space="preserve">2170643311 </v>
      </c>
      <c r="G1418" s="10" t="str">
        <f t="shared" si="36"/>
        <v>ON1</v>
      </c>
      <c r="H1418" s="10" t="s">
        <v>21</v>
      </c>
      <c r="I1418" s="10" t="s">
        <v>233</v>
      </c>
      <c r="J1418" s="10" t="str">
        <f>""</f>
        <v/>
      </c>
      <c r="K1418" s="10" t="str">
        <f>"PFES1162646511_0001"</f>
        <v>PFES1162646511_0001</v>
      </c>
      <c r="L1418" s="10">
        <v>1</v>
      </c>
      <c r="M1418" s="10">
        <v>3</v>
      </c>
    </row>
    <row r="1419" spans="1:13">
      <c r="A1419" s="8">
        <v>43354</v>
      </c>
      <c r="B1419" s="9">
        <v>0.51388888888888895</v>
      </c>
      <c r="C1419" s="10" t="str">
        <f>"FES1162646491"</f>
        <v>FES1162646491</v>
      </c>
      <c r="D1419" s="10" t="s">
        <v>19</v>
      </c>
      <c r="E1419" s="10" t="s">
        <v>27</v>
      </c>
      <c r="F1419" s="10" t="str">
        <f>"2170647412 "</f>
        <v xml:space="preserve">2170647412 </v>
      </c>
      <c r="G1419" s="10" t="str">
        <f t="shared" si="36"/>
        <v>ON1</v>
      </c>
      <c r="H1419" s="10" t="s">
        <v>21</v>
      </c>
      <c r="I1419" s="10" t="s">
        <v>28</v>
      </c>
      <c r="J1419" s="10" t="str">
        <f>""</f>
        <v/>
      </c>
      <c r="K1419" s="10" t="str">
        <f>"PFES1162646491_0001"</f>
        <v>PFES1162646491_0001</v>
      </c>
      <c r="L1419" s="10">
        <v>1</v>
      </c>
      <c r="M1419" s="10">
        <v>9</v>
      </c>
    </row>
    <row r="1420" spans="1:13">
      <c r="A1420" s="8">
        <v>43354</v>
      </c>
      <c r="B1420" s="9">
        <v>0.51388888888888895</v>
      </c>
      <c r="C1420" s="10" t="str">
        <f>"FES1162646390"</f>
        <v>FES1162646390</v>
      </c>
      <c r="D1420" s="10" t="s">
        <v>19</v>
      </c>
      <c r="E1420" s="10" t="s">
        <v>174</v>
      </c>
      <c r="F1420" s="10" t="str">
        <f>"2170642540 "</f>
        <v xml:space="preserve">2170642540 </v>
      </c>
      <c r="G1420" s="10" t="str">
        <f t="shared" si="36"/>
        <v>ON1</v>
      </c>
      <c r="H1420" s="10" t="s">
        <v>21</v>
      </c>
      <c r="I1420" s="10" t="s">
        <v>175</v>
      </c>
      <c r="J1420" s="10" t="str">
        <f>""</f>
        <v/>
      </c>
      <c r="K1420" s="10" t="str">
        <f>"PFES1162646390_0001"</f>
        <v>PFES1162646390_0001</v>
      </c>
      <c r="L1420" s="10">
        <v>1</v>
      </c>
      <c r="M1420" s="10">
        <v>1</v>
      </c>
    </row>
    <row r="1421" spans="1:13">
      <c r="A1421" s="8">
        <v>43354</v>
      </c>
      <c r="B1421" s="9">
        <v>0.51388888888888895</v>
      </c>
      <c r="C1421" s="10" t="str">
        <f>"FES1162646394"</f>
        <v>FES1162646394</v>
      </c>
      <c r="D1421" s="10" t="s">
        <v>19</v>
      </c>
      <c r="E1421" s="10" t="s">
        <v>174</v>
      </c>
      <c r="F1421" s="10" t="str">
        <f>"2170644143 "</f>
        <v xml:space="preserve">2170644143 </v>
      </c>
      <c r="G1421" s="10" t="str">
        <f t="shared" si="36"/>
        <v>ON1</v>
      </c>
      <c r="H1421" s="10" t="s">
        <v>21</v>
      </c>
      <c r="I1421" s="10" t="s">
        <v>175</v>
      </c>
      <c r="J1421" s="10" t="str">
        <f>""</f>
        <v/>
      </c>
      <c r="K1421" s="10" t="str">
        <f>"PFES1162646394_0001"</f>
        <v>PFES1162646394_0001</v>
      </c>
      <c r="L1421" s="10">
        <v>1</v>
      </c>
      <c r="M1421" s="10">
        <v>1</v>
      </c>
    </row>
    <row r="1422" spans="1:13">
      <c r="A1422" s="8">
        <v>43354</v>
      </c>
      <c r="B1422" s="9">
        <v>0.51388888888888895</v>
      </c>
      <c r="C1422" s="10" t="str">
        <f>"FES1162646302"</f>
        <v>FES1162646302</v>
      </c>
      <c r="D1422" s="10" t="s">
        <v>19</v>
      </c>
      <c r="E1422" s="10" t="s">
        <v>771</v>
      </c>
      <c r="F1422" s="10" t="str">
        <f>"2170651076 "</f>
        <v xml:space="preserve">2170651076 </v>
      </c>
      <c r="G1422" s="10" t="str">
        <f t="shared" si="36"/>
        <v>ON1</v>
      </c>
      <c r="H1422" s="10" t="s">
        <v>21</v>
      </c>
      <c r="I1422" s="10" t="s">
        <v>290</v>
      </c>
      <c r="J1422" s="10" t="str">
        <f>""</f>
        <v/>
      </c>
      <c r="K1422" s="10" t="str">
        <f>"PFES1162646302_0001"</f>
        <v>PFES1162646302_0001</v>
      </c>
      <c r="L1422" s="10">
        <v>1</v>
      </c>
      <c r="M1422" s="10">
        <v>1</v>
      </c>
    </row>
    <row r="1423" spans="1:13">
      <c r="A1423" s="8">
        <v>43354</v>
      </c>
      <c r="B1423" s="9">
        <v>0.5131944444444444</v>
      </c>
      <c r="C1423" s="10" t="str">
        <f>"FES1162646568"</f>
        <v>FES1162646568</v>
      </c>
      <c r="D1423" s="10" t="s">
        <v>19</v>
      </c>
      <c r="E1423" s="10" t="s">
        <v>41</v>
      </c>
      <c r="F1423" s="10" t="str">
        <f>"2170648621 "</f>
        <v xml:space="preserve">2170648621 </v>
      </c>
      <c r="G1423" s="10" t="str">
        <f t="shared" si="36"/>
        <v>ON1</v>
      </c>
      <c r="H1423" s="10" t="s">
        <v>21</v>
      </c>
      <c r="I1423" s="10" t="s">
        <v>42</v>
      </c>
      <c r="J1423" s="10" t="str">
        <f>""</f>
        <v/>
      </c>
      <c r="K1423" s="10" t="str">
        <f>"PFES1162646568_0001"</f>
        <v>PFES1162646568_0001</v>
      </c>
      <c r="L1423" s="10">
        <v>1</v>
      </c>
      <c r="M1423" s="10">
        <v>1</v>
      </c>
    </row>
    <row r="1424" spans="1:13">
      <c r="A1424" s="8">
        <v>43354</v>
      </c>
      <c r="B1424" s="9">
        <v>0.5131944444444444</v>
      </c>
      <c r="C1424" s="10" t="str">
        <f>"FES1162646388"</f>
        <v>FES1162646388</v>
      </c>
      <c r="D1424" s="10" t="s">
        <v>19</v>
      </c>
      <c r="E1424" s="10" t="s">
        <v>174</v>
      </c>
      <c r="F1424" s="10" t="str">
        <f>"2170642262 "</f>
        <v xml:space="preserve">2170642262 </v>
      </c>
      <c r="G1424" s="10" t="str">
        <f t="shared" si="36"/>
        <v>ON1</v>
      </c>
      <c r="H1424" s="10" t="s">
        <v>21</v>
      </c>
      <c r="I1424" s="10" t="s">
        <v>175</v>
      </c>
      <c r="J1424" s="10" t="str">
        <f>""</f>
        <v/>
      </c>
      <c r="K1424" s="10" t="str">
        <f>"PFES1162646388_0001"</f>
        <v>PFES1162646388_0001</v>
      </c>
      <c r="L1424" s="10">
        <v>1</v>
      </c>
      <c r="M1424" s="10">
        <v>1</v>
      </c>
    </row>
    <row r="1425" spans="1:13">
      <c r="A1425" s="8">
        <v>43354</v>
      </c>
      <c r="B1425" s="9">
        <v>0.5131944444444444</v>
      </c>
      <c r="C1425" s="10" t="str">
        <f>"FES1162646409"</f>
        <v>FES1162646409</v>
      </c>
      <c r="D1425" s="10" t="s">
        <v>19</v>
      </c>
      <c r="E1425" s="10" t="s">
        <v>297</v>
      </c>
      <c r="F1425" s="10" t="str">
        <f>"2170649433 "</f>
        <v xml:space="preserve">2170649433 </v>
      </c>
      <c r="G1425" s="10" t="str">
        <f t="shared" si="36"/>
        <v>ON1</v>
      </c>
      <c r="H1425" s="10" t="s">
        <v>21</v>
      </c>
      <c r="I1425" s="10" t="s">
        <v>42</v>
      </c>
      <c r="J1425" s="10" t="str">
        <f>""</f>
        <v/>
      </c>
      <c r="K1425" s="10" t="str">
        <f>"PFES1162646409_0001"</f>
        <v>PFES1162646409_0001</v>
      </c>
      <c r="L1425" s="10">
        <v>1</v>
      </c>
      <c r="M1425" s="10">
        <v>1</v>
      </c>
    </row>
    <row r="1426" spans="1:13">
      <c r="A1426" s="8">
        <v>43354</v>
      </c>
      <c r="B1426" s="9">
        <v>0.51250000000000007</v>
      </c>
      <c r="C1426" s="10" t="str">
        <f>"FES1162646415"</f>
        <v>FES1162646415</v>
      </c>
      <c r="D1426" s="10" t="s">
        <v>19</v>
      </c>
      <c r="E1426" s="10" t="s">
        <v>549</v>
      </c>
      <c r="F1426" s="10" t="str">
        <f>"2170649641 "</f>
        <v xml:space="preserve">2170649641 </v>
      </c>
      <c r="G1426" s="10" t="str">
        <f t="shared" si="36"/>
        <v>ON1</v>
      </c>
      <c r="H1426" s="10" t="s">
        <v>21</v>
      </c>
      <c r="I1426" s="10" t="s">
        <v>283</v>
      </c>
      <c r="J1426" s="10" t="str">
        <f>""</f>
        <v/>
      </c>
      <c r="K1426" s="10" t="str">
        <f>"PFES1162646415_0001"</f>
        <v>PFES1162646415_0001</v>
      </c>
      <c r="L1426" s="10">
        <v>1</v>
      </c>
      <c r="M1426" s="10">
        <v>1</v>
      </c>
    </row>
    <row r="1427" spans="1:13">
      <c r="A1427" s="8">
        <v>43354</v>
      </c>
      <c r="B1427" s="9">
        <v>0.51250000000000007</v>
      </c>
      <c r="C1427" s="10" t="str">
        <f>"FES1162646411"</f>
        <v>FES1162646411</v>
      </c>
      <c r="D1427" s="10" t="s">
        <v>19</v>
      </c>
      <c r="E1427" s="10" t="s">
        <v>422</v>
      </c>
      <c r="F1427" s="10" t="str">
        <f>"2170649539 "</f>
        <v xml:space="preserve">2170649539 </v>
      </c>
      <c r="G1427" s="10" t="str">
        <f t="shared" si="36"/>
        <v>ON1</v>
      </c>
      <c r="H1427" s="10" t="s">
        <v>21</v>
      </c>
      <c r="I1427" s="10" t="s">
        <v>42</v>
      </c>
      <c r="J1427" s="10" t="str">
        <f>""</f>
        <v/>
      </c>
      <c r="K1427" s="10" t="str">
        <f>"PFES1162646411_0001"</f>
        <v>PFES1162646411_0001</v>
      </c>
      <c r="L1427" s="10">
        <v>1</v>
      </c>
      <c r="M1427" s="10">
        <v>1</v>
      </c>
    </row>
    <row r="1428" spans="1:13">
      <c r="A1428" s="8">
        <v>43354</v>
      </c>
      <c r="B1428" s="9">
        <v>0.51250000000000007</v>
      </c>
      <c r="C1428" s="10" t="str">
        <f>"FES1162646435"</f>
        <v>FES1162646435</v>
      </c>
      <c r="D1428" s="10" t="s">
        <v>19</v>
      </c>
      <c r="E1428" s="10" t="s">
        <v>358</v>
      </c>
      <c r="F1428" s="10" t="str">
        <f>"2170650428 "</f>
        <v xml:space="preserve">2170650428 </v>
      </c>
      <c r="G1428" s="10" t="str">
        <f t="shared" si="36"/>
        <v>ON1</v>
      </c>
      <c r="H1428" s="10" t="s">
        <v>21</v>
      </c>
      <c r="I1428" s="10" t="s">
        <v>42</v>
      </c>
      <c r="J1428" s="10" t="str">
        <f>""</f>
        <v/>
      </c>
      <c r="K1428" s="10" t="str">
        <f>"PFES1162646435_0001"</f>
        <v>PFES1162646435_0001</v>
      </c>
      <c r="L1428" s="10">
        <v>1</v>
      </c>
      <c r="M1428" s="10">
        <v>2</v>
      </c>
    </row>
    <row r="1429" spans="1:13">
      <c r="A1429" s="8">
        <v>43354</v>
      </c>
      <c r="B1429" s="9">
        <v>0.51250000000000007</v>
      </c>
      <c r="C1429" s="10" t="str">
        <f>"FES1162646436"</f>
        <v>FES1162646436</v>
      </c>
      <c r="D1429" s="10" t="s">
        <v>19</v>
      </c>
      <c r="E1429" s="10" t="s">
        <v>336</v>
      </c>
      <c r="F1429" s="10" t="str">
        <f>"2170650443 "</f>
        <v xml:space="preserve">2170650443 </v>
      </c>
      <c r="G1429" s="10" t="str">
        <f t="shared" si="36"/>
        <v>ON1</v>
      </c>
      <c r="H1429" s="10" t="s">
        <v>21</v>
      </c>
      <c r="I1429" s="10" t="s">
        <v>117</v>
      </c>
      <c r="J1429" s="10" t="str">
        <f>""</f>
        <v/>
      </c>
      <c r="K1429" s="10" t="str">
        <f>"PFES1162646436_0001"</f>
        <v>PFES1162646436_0001</v>
      </c>
      <c r="L1429" s="10">
        <v>1</v>
      </c>
      <c r="M1429" s="10">
        <v>1</v>
      </c>
    </row>
    <row r="1430" spans="1:13">
      <c r="A1430" s="8">
        <v>43354</v>
      </c>
      <c r="B1430" s="9">
        <v>0.51180555555555551</v>
      </c>
      <c r="C1430" s="10" t="str">
        <f>"FES1162646168"</f>
        <v>FES1162646168</v>
      </c>
      <c r="D1430" s="10" t="s">
        <v>19</v>
      </c>
      <c r="E1430" s="10" t="s">
        <v>772</v>
      </c>
      <c r="F1430" s="10" t="str">
        <f>"2170649199 "</f>
        <v xml:space="preserve">2170649199 </v>
      </c>
      <c r="G1430" s="10" t="str">
        <f t="shared" si="36"/>
        <v>ON1</v>
      </c>
      <c r="H1430" s="10" t="s">
        <v>21</v>
      </c>
      <c r="I1430" s="10" t="s">
        <v>177</v>
      </c>
      <c r="J1430" s="10" t="str">
        <f>""</f>
        <v/>
      </c>
      <c r="K1430" s="10" t="str">
        <f>"PFES1162646168_0001"</f>
        <v>PFES1162646168_0001</v>
      </c>
      <c r="L1430" s="10">
        <v>1</v>
      </c>
      <c r="M1430" s="10">
        <v>1</v>
      </c>
    </row>
    <row r="1431" spans="1:13">
      <c r="A1431" s="8">
        <v>43354</v>
      </c>
      <c r="B1431" s="9">
        <v>0.51180555555555551</v>
      </c>
      <c r="C1431" s="10" t="str">
        <f>"FES1162646288"</f>
        <v>FES1162646288</v>
      </c>
      <c r="D1431" s="10" t="s">
        <v>19</v>
      </c>
      <c r="E1431" s="10" t="s">
        <v>773</v>
      </c>
      <c r="F1431" s="10" t="str">
        <f>"2170651052 "</f>
        <v xml:space="preserve">2170651052 </v>
      </c>
      <c r="G1431" s="10" t="str">
        <f t="shared" si="36"/>
        <v>ON1</v>
      </c>
      <c r="H1431" s="10" t="s">
        <v>21</v>
      </c>
      <c r="I1431" s="10" t="s">
        <v>290</v>
      </c>
      <c r="J1431" s="10" t="str">
        <f>""</f>
        <v/>
      </c>
      <c r="K1431" s="10" t="str">
        <f>"PFES1162646288_0001"</f>
        <v>PFES1162646288_0001</v>
      </c>
      <c r="L1431" s="10">
        <v>1</v>
      </c>
      <c r="M1431" s="10">
        <v>1</v>
      </c>
    </row>
    <row r="1432" spans="1:13">
      <c r="A1432" s="8">
        <v>43354</v>
      </c>
      <c r="B1432" s="9">
        <v>0.51111111111111118</v>
      </c>
      <c r="C1432" s="10" t="str">
        <f>"FES1162646396"</f>
        <v>FES1162646396</v>
      </c>
      <c r="D1432" s="10" t="s">
        <v>19</v>
      </c>
      <c r="E1432" s="10" t="s">
        <v>174</v>
      </c>
      <c r="F1432" s="10" t="str">
        <f>"2170645988 "</f>
        <v xml:space="preserve">2170645988 </v>
      </c>
      <c r="G1432" s="10" t="str">
        <f t="shared" si="36"/>
        <v>ON1</v>
      </c>
      <c r="H1432" s="10" t="s">
        <v>21</v>
      </c>
      <c r="I1432" s="10" t="s">
        <v>175</v>
      </c>
      <c r="J1432" s="10" t="str">
        <f>""</f>
        <v/>
      </c>
      <c r="K1432" s="10" t="str">
        <f>"PFES1162646396_0001"</f>
        <v>PFES1162646396_0001</v>
      </c>
      <c r="L1432" s="10">
        <v>1</v>
      </c>
      <c r="M1432" s="10">
        <v>1</v>
      </c>
    </row>
    <row r="1433" spans="1:13">
      <c r="A1433" s="8">
        <v>43354</v>
      </c>
      <c r="B1433" s="9">
        <v>0.51111111111111118</v>
      </c>
      <c r="C1433" s="10" t="str">
        <f>"FES1162646474"</f>
        <v>FES1162646474</v>
      </c>
      <c r="D1433" s="10" t="s">
        <v>19</v>
      </c>
      <c r="E1433" s="10" t="s">
        <v>774</v>
      </c>
      <c r="F1433" s="10" t="str">
        <f>"2170651199 "</f>
        <v xml:space="preserve">2170651199 </v>
      </c>
      <c r="G1433" s="10" t="str">
        <f t="shared" si="36"/>
        <v>ON1</v>
      </c>
      <c r="H1433" s="10" t="s">
        <v>21</v>
      </c>
      <c r="I1433" s="10" t="s">
        <v>775</v>
      </c>
      <c r="J1433" s="10" t="str">
        <f>""</f>
        <v/>
      </c>
      <c r="K1433" s="10" t="str">
        <f>"PFES1162646474_0001"</f>
        <v>PFES1162646474_0001</v>
      </c>
      <c r="L1433" s="10">
        <v>1</v>
      </c>
      <c r="M1433" s="10">
        <v>1</v>
      </c>
    </row>
    <row r="1434" spans="1:13">
      <c r="A1434" s="8">
        <v>43354</v>
      </c>
      <c r="B1434" s="9">
        <v>0.51111111111111118</v>
      </c>
      <c r="C1434" s="10" t="str">
        <f>"FES1162646360"</f>
        <v>FES1162646360</v>
      </c>
      <c r="D1434" s="10" t="s">
        <v>19</v>
      </c>
      <c r="E1434" s="10" t="s">
        <v>776</v>
      </c>
      <c r="F1434" s="10" t="str">
        <f>"2170651135 "</f>
        <v xml:space="preserve">2170651135 </v>
      </c>
      <c r="G1434" s="10" t="str">
        <f t="shared" si="36"/>
        <v>ON1</v>
      </c>
      <c r="H1434" s="10" t="s">
        <v>21</v>
      </c>
      <c r="I1434" s="10" t="s">
        <v>777</v>
      </c>
      <c r="J1434" s="10" t="str">
        <f>""</f>
        <v/>
      </c>
      <c r="K1434" s="10" t="str">
        <f>"PFES1162646360_0001"</f>
        <v>PFES1162646360_0001</v>
      </c>
      <c r="L1434" s="10">
        <v>1</v>
      </c>
      <c r="M1434" s="10">
        <v>2</v>
      </c>
    </row>
    <row r="1435" spans="1:13">
      <c r="A1435" s="8">
        <v>43354</v>
      </c>
      <c r="B1435" s="9">
        <v>0.51111111111111118</v>
      </c>
      <c r="C1435" s="10" t="str">
        <f>"FES1162646444"</f>
        <v>FES1162646444</v>
      </c>
      <c r="D1435" s="10" t="s">
        <v>19</v>
      </c>
      <c r="E1435" s="10" t="s">
        <v>620</v>
      </c>
      <c r="F1435" s="10" t="str">
        <f>"2170650865 "</f>
        <v xml:space="preserve">2170650865 </v>
      </c>
      <c r="G1435" s="10" t="str">
        <f t="shared" si="36"/>
        <v>ON1</v>
      </c>
      <c r="H1435" s="10" t="s">
        <v>21</v>
      </c>
      <c r="I1435" s="10" t="s">
        <v>117</v>
      </c>
      <c r="J1435" s="10" t="str">
        <f>""</f>
        <v/>
      </c>
      <c r="K1435" s="10" t="str">
        <f>"PFES1162646444_0001"</f>
        <v>PFES1162646444_0001</v>
      </c>
      <c r="L1435" s="10">
        <v>1</v>
      </c>
      <c r="M1435" s="10">
        <v>1</v>
      </c>
    </row>
    <row r="1436" spans="1:13">
      <c r="A1436" s="8">
        <v>43354</v>
      </c>
      <c r="B1436" s="9">
        <v>0.51041666666666663</v>
      </c>
      <c r="C1436" s="10" t="str">
        <f>"FES1162646510"</f>
        <v>FES1162646510</v>
      </c>
      <c r="D1436" s="10" t="s">
        <v>19</v>
      </c>
      <c r="E1436" s="10" t="s">
        <v>41</v>
      </c>
      <c r="F1436" s="10" t="str">
        <f>"2170651215 "</f>
        <v xml:space="preserve">2170651215 </v>
      </c>
      <c r="G1436" s="10" t="str">
        <f t="shared" si="36"/>
        <v>ON1</v>
      </c>
      <c r="H1436" s="10" t="s">
        <v>21</v>
      </c>
      <c r="I1436" s="10" t="s">
        <v>42</v>
      </c>
      <c r="J1436" s="10" t="str">
        <f>""</f>
        <v/>
      </c>
      <c r="K1436" s="10" t="str">
        <f>"PFES1162646510_0001"</f>
        <v>PFES1162646510_0001</v>
      </c>
      <c r="L1436" s="10">
        <v>1</v>
      </c>
      <c r="M1436" s="10">
        <v>1</v>
      </c>
    </row>
    <row r="1437" spans="1:13">
      <c r="A1437" s="8">
        <v>43354</v>
      </c>
      <c r="B1437" s="9">
        <v>0.51041666666666663</v>
      </c>
      <c r="C1437" s="10" t="str">
        <f>"FES1162646431"</f>
        <v>FES1162646431</v>
      </c>
      <c r="D1437" s="10" t="s">
        <v>19</v>
      </c>
      <c r="E1437" s="10" t="s">
        <v>174</v>
      </c>
      <c r="F1437" s="10" t="str">
        <f>"2170650120 "</f>
        <v xml:space="preserve">2170650120 </v>
      </c>
      <c r="G1437" s="10" t="str">
        <f t="shared" si="36"/>
        <v>ON1</v>
      </c>
      <c r="H1437" s="10" t="s">
        <v>21</v>
      </c>
      <c r="I1437" s="10" t="s">
        <v>175</v>
      </c>
      <c r="J1437" s="10" t="str">
        <f>""</f>
        <v/>
      </c>
      <c r="K1437" s="10" t="str">
        <f>"PFES1162646431_0001"</f>
        <v>PFES1162646431_0001</v>
      </c>
      <c r="L1437" s="10">
        <v>1</v>
      </c>
      <c r="M1437" s="10">
        <v>1</v>
      </c>
    </row>
    <row r="1438" spans="1:13">
      <c r="A1438" s="8">
        <v>43354</v>
      </c>
      <c r="B1438" s="9">
        <v>0.51041666666666663</v>
      </c>
      <c r="C1438" s="10" t="str">
        <f>"FES1162646475"</f>
        <v>FES1162646475</v>
      </c>
      <c r="D1438" s="10" t="s">
        <v>19</v>
      </c>
      <c r="E1438" s="10" t="s">
        <v>65</v>
      </c>
      <c r="F1438" s="10" t="str">
        <f>"2170651200 "</f>
        <v xml:space="preserve">2170651200 </v>
      </c>
      <c r="G1438" s="10" t="str">
        <f t="shared" si="36"/>
        <v>ON1</v>
      </c>
      <c r="H1438" s="10" t="s">
        <v>21</v>
      </c>
      <c r="I1438" s="10" t="s">
        <v>66</v>
      </c>
      <c r="J1438" s="10" t="str">
        <f>""</f>
        <v/>
      </c>
      <c r="K1438" s="10" t="str">
        <f>"PFES1162646475_0001"</f>
        <v>PFES1162646475_0001</v>
      </c>
      <c r="L1438" s="10">
        <v>1</v>
      </c>
      <c r="M1438" s="10">
        <v>1</v>
      </c>
    </row>
    <row r="1439" spans="1:13">
      <c r="A1439" s="8">
        <v>43354</v>
      </c>
      <c r="B1439" s="9">
        <v>0.50972222222222219</v>
      </c>
      <c r="C1439" s="10" t="str">
        <f>"FES1162646419"</f>
        <v>FES1162646419</v>
      </c>
      <c r="D1439" s="10" t="s">
        <v>19</v>
      </c>
      <c r="E1439" s="10" t="s">
        <v>123</v>
      </c>
      <c r="F1439" s="10" t="str">
        <f>"2170649810 "</f>
        <v xml:space="preserve">2170649810 </v>
      </c>
      <c r="G1439" s="10" t="str">
        <f t="shared" si="36"/>
        <v>ON1</v>
      </c>
      <c r="H1439" s="10" t="s">
        <v>21</v>
      </c>
      <c r="I1439" s="10" t="s">
        <v>124</v>
      </c>
      <c r="J1439" s="10" t="str">
        <f>""</f>
        <v/>
      </c>
      <c r="K1439" s="10" t="str">
        <f>"PFES1162646419_0001"</f>
        <v>PFES1162646419_0001</v>
      </c>
      <c r="L1439" s="10">
        <v>1</v>
      </c>
      <c r="M1439" s="10">
        <v>1</v>
      </c>
    </row>
    <row r="1440" spans="1:13">
      <c r="A1440" s="8">
        <v>43354</v>
      </c>
      <c r="B1440" s="9">
        <v>0.50972222222222219</v>
      </c>
      <c r="C1440" s="10" t="str">
        <f>"FES1162646443"</f>
        <v>FES1162646443</v>
      </c>
      <c r="D1440" s="10" t="s">
        <v>19</v>
      </c>
      <c r="E1440" s="10" t="s">
        <v>620</v>
      </c>
      <c r="F1440" s="10" t="str">
        <f>"2170650863 "</f>
        <v xml:space="preserve">2170650863 </v>
      </c>
      <c r="G1440" s="10" t="str">
        <f t="shared" si="36"/>
        <v>ON1</v>
      </c>
      <c r="H1440" s="10" t="s">
        <v>21</v>
      </c>
      <c r="I1440" s="10" t="s">
        <v>117</v>
      </c>
      <c r="J1440" s="10" t="str">
        <f>""</f>
        <v/>
      </c>
      <c r="K1440" s="10" t="str">
        <f>"PFES1162646443_0001"</f>
        <v>PFES1162646443_0001</v>
      </c>
      <c r="L1440" s="10">
        <v>1</v>
      </c>
      <c r="M1440" s="10">
        <v>1</v>
      </c>
    </row>
    <row r="1441" spans="1:13">
      <c r="A1441" s="8">
        <v>43354</v>
      </c>
      <c r="B1441" s="9">
        <v>0.50972222222222219</v>
      </c>
      <c r="C1441" s="10" t="str">
        <f>"FES1162646383"</f>
        <v>FES1162646383</v>
      </c>
      <c r="D1441" s="10" t="s">
        <v>19</v>
      </c>
      <c r="E1441" s="10" t="s">
        <v>359</v>
      </c>
      <c r="F1441" s="10" t="str">
        <f>"2170651166 "</f>
        <v xml:space="preserve">2170651166 </v>
      </c>
      <c r="G1441" s="10" t="str">
        <f t="shared" si="36"/>
        <v>ON1</v>
      </c>
      <c r="H1441" s="10" t="s">
        <v>21</v>
      </c>
      <c r="I1441" s="10" t="s">
        <v>87</v>
      </c>
      <c r="J1441" s="10" t="str">
        <f>""</f>
        <v/>
      </c>
      <c r="K1441" s="10" t="str">
        <f>"PFES1162646383_0001"</f>
        <v>PFES1162646383_0001</v>
      </c>
      <c r="L1441" s="10">
        <v>1</v>
      </c>
      <c r="M1441" s="10">
        <v>1</v>
      </c>
    </row>
    <row r="1442" spans="1:13">
      <c r="A1442" s="8">
        <v>43354</v>
      </c>
      <c r="B1442" s="9">
        <v>0.50902777777777775</v>
      </c>
      <c r="C1442" s="10" t="str">
        <f>"FES1162646359"</f>
        <v>FES1162646359</v>
      </c>
      <c r="D1442" s="10" t="s">
        <v>19</v>
      </c>
      <c r="E1442" s="10" t="s">
        <v>778</v>
      </c>
      <c r="F1442" s="10" t="str">
        <f>"21706547537 "</f>
        <v xml:space="preserve">21706547537 </v>
      </c>
      <c r="G1442" s="10" t="str">
        <f t="shared" si="36"/>
        <v>ON1</v>
      </c>
      <c r="H1442" s="10" t="s">
        <v>21</v>
      </c>
      <c r="I1442" s="10" t="s">
        <v>686</v>
      </c>
      <c r="J1442" s="10" t="str">
        <f>""</f>
        <v/>
      </c>
      <c r="K1442" s="10" t="str">
        <f>"PFES1162646359_0001"</f>
        <v>PFES1162646359_0001</v>
      </c>
      <c r="L1442" s="10">
        <v>1</v>
      </c>
      <c r="M1442" s="10">
        <v>1</v>
      </c>
    </row>
    <row r="1443" spans="1:13">
      <c r="A1443" s="8">
        <v>43354</v>
      </c>
      <c r="B1443" s="9">
        <v>0.50902777777777775</v>
      </c>
      <c r="C1443" s="10" t="str">
        <f>"FES1162646348"</f>
        <v>FES1162646348</v>
      </c>
      <c r="D1443" s="10" t="s">
        <v>19</v>
      </c>
      <c r="E1443" s="10" t="s">
        <v>695</v>
      </c>
      <c r="F1443" s="10" t="str">
        <f>"2170650867 "</f>
        <v xml:space="preserve">2170650867 </v>
      </c>
      <c r="G1443" s="10" t="str">
        <f t="shared" si="36"/>
        <v>ON1</v>
      </c>
      <c r="H1443" s="10" t="s">
        <v>21</v>
      </c>
      <c r="I1443" s="10" t="s">
        <v>696</v>
      </c>
      <c r="J1443" s="10" t="str">
        <f>""</f>
        <v/>
      </c>
      <c r="K1443" s="10" t="str">
        <f>"PFES1162646348_0001"</f>
        <v>PFES1162646348_0001</v>
      </c>
      <c r="L1443" s="10">
        <v>1</v>
      </c>
      <c r="M1443" s="10">
        <v>1</v>
      </c>
    </row>
    <row r="1444" spans="1:13">
      <c r="A1444" s="8">
        <v>43354</v>
      </c>
      <c r="B1444" s="9">
        <v>0.50902777777777775</v>
      </c>
      <c r="C1444" s="10" t="str">
        <f>"FES1162646371"</f>
        <v>FES1162646371</v>
      </c>
      <c r="D1444" s="10" t="s">
        <v>19</v>
      </c>
      <c r="E1444" s="10" t="s">
        <v>779</v>
      </c>
      <c r="F1444" s="10" t="str">
        <f>"2170651152 "</f>
        <v xml:space="preserve">2170651152 </v>
      </c>
      <c r="G1444" s="10" t="str">
        <f t="shared" si="36"/>
        <v>ON1</v>
      </c>
      <c r="H1444" s="10" t="s">
        <v>21</v>
      </c>
      <c r="I1444" s="10" t="s">
        <v>222</v>
      </c>
      <c r="J1444" s="10" t="str">
        <f>""</f>
        <v/>
      </c>
      <c r="K1444" s="10" t="str">
        <f>"PFES1162646371_0001"</f>
        <v>PFES1162646371_0001</v>
      </c>
      <c r="L1444" s="10">
        <v>1</v>
      </c>
      <c r="M1444" s="10">
        <v>1</v>
      </c>
    </row>
    <row r="1445" spans="1:13">
      <c r="A1445" s="8">
        <v>43354</v>
      </c>
      <c r="B1445" s="9">
        <v>0.4597222222222222</v>
      </c>
      <c r="C1445" s="10" t="str">
        <f>"FES1162646372"</f>
        <v>FES1162646372</v>
      </c>
      <c r="D1445" s="10" t="s">
        <v>19</v>
      </c>
      <c r="E1445" s="10" t="s">
        <v>780</v>
      </c>
      <c r="F1445" s="10" t="str">
        <f>"2170651153 "</f>
        <v xml:space="preserve">2170651153 </v>
      </c>
      <c r="G1445" s="10" t="str">
        <f t="shared" si="36"/>
        <v>ON1</v>
      </c>
      <c r="H1445" s="10" t="s">
        <v>21</v>
      </c>
      <c r="I1445" s="10" t="s">
        <v>536</v>
      </c>
      <c r="J1445" s="10" t="str">
        <f>""</f>
        <v/>
      </c>
      <c r="K1445" s="10" t="str">
        <f>"PFES1162646372_0001"</f>
        <v>PFES1162646372_0001</v>
      </c>
      <c r="L1445" s="10">
        <v>2</v>
      </c>
      <c r="M1445" s="10">
        <v>8</v>
      </c>
    </row>
    <row r="1446" spans="1:13">
      <c r="A1446" s="8">
        <v>43354</v>
      </c>
      <c r="B1446" s="9">
        <v>0.4597222222222222</v>
      </c>
      <c r="C1446" s="10" t="str">
        <f>"FES1162646372"</f>
        <v>FES1162646372</v>
      </c>
      <c r="D1446" s="10" t="s">
        <v>19</v>
      </c>
      <c r="E1446" s="10" t="s">
        <v>780</v>
      </c>
      <c r="F1446" s="10" t="str">
        <f>"2170651153 "</f>
        <v xml:space="preserve">2170651153 </v>
      </c>
      <c r="G1446" s="10" t="str">
        <f t="shared" si="36"/>
        <v>ON1</v>
      </c>
      <c r="H1446" s="10" t="s">
        <v>21</v>
      </c>
      <c r="I1446" s="10" t="s">
        <v>536</v>
      </c>
      <c r="J1446" s="10"/>
      <c r="K1446" s="10" t="str">
        <f>"PFES1162646372_0002"</f>
        <v>PFES1162646372_0002</v>
      </c>
      <c r="L1446" s="10">
        <v>2</v>
      </c>
      <c r="M1446" s="10">
        <v>8</v>
      </c>
    </row>
    <row r="1447" spans="1:13">
      <c r="A1447" s="8">
        <v>43354</v>
      </c>
      <c r="B1447" s="9">
        <v>0.45833333333333331</v>
      </c>
      <c r="C1447" s="10" t="str">
        <f>"FES1162646480"</f>
        <v>FES1162646480</v>
      </c>
      <c r="D1447" s="10" t="s">
        <v>19</v>
      </c>
      <c r="E1447" s="10" t="s">
        <v>612</v>
      </c>
      <c r="F1447" s="10" t="str">
        <f>"2170629098 "</f>
        <v xml:space="preserve">2170629098 </v>
      </c>
      <c r="G1447" s="10" t="str">
        <f t="shared" ref="G1447:G1458" si="37">"ON1"</f>
        <v>ON1</v>
      </c>
      <c r="H1447" s="10" t="s">
        <v>21</v>
      </c>
      <c r="I1447" s="10" t="s">
        <v>613</v>
      </c>
      <c r="J1447" s="10" t="str">
        <f>""</f>
        <v/>
      </c>
      <c r="K1447" s="10" t="str">
        <f>"PFES1162646480_0001"</f>
        <v>PFES1162646480_0001</v>
      </c>
      <c r="L1447" s="10">
        <v>1</v>
      </c>
      <c r="M1447" s="10">
        <v>1</v>
      </c>
    </row>
    <row r="1448" spans="1:13">
      <c r="A1448" s="8">
        <v>43354</v>
      </c>
      <c r="B1448" s="9">
        <v>0.45763888888888887</v>
      </c>
      <c r="C1448" s="10" t="str">
        <f>"FES1162646506"</f>
        <v>FES1162646506</v>
      </c>
      <c r="D1448" s="10" t="s">
        <v>19</v>
      </c>
      <c r="E1448" s="10" t="s">
        <v>781</v>
      </c>
      <c r="F1448" s="10" t="str">
        <f>"2170645730 "</f>
        <v xml:space="preserve">2170645730 </v>
      </c>
      <c r="G1448" s="10" t="str">
        <f t="shared" si="37"/>
        <v>ON1</v>
      </c>
      <c r="H1448" s="10" t="s">
        <v>21</v>
      </c>
      <c r="I1448" s="10" t="s">
        <v>117</v>
      </c>
      <c r="J1448" s="10" t="str">
        <f>""</f>
        <v/>
      </c>
      <c r="K1448" s="10" t="str">
        <f>"PFES1162646506_0001"</f>
        <v>PFES1162646506_0001</v>
      </c>
      <c r="L1448" s="10">
        <v>1</v>
      </c>
      <c r="M1448" s="10">
        <v>1</v>
      </c>
    </row>
    <row r="1449" spans="1:13">
      <c r="A1449" s="8">
        <v>43354</v>
      </c>
      <c r="B1449" s="9">
        <v>0.45694444444444443</v>
      </c>
      <c r="C1449" s="10" t="str">
        <f>"FES1162646482"</f>
        <v>FES1162646482</v>
      </c>
      <c r="D1449" s="10" t="s">
        <v>19</v>
      </c>
      <c r="E1449" s="10" t="s">
        <v>174</v>
      </c>
      <c r="F1449" s="10" t="str">
        <f>"2170644243 "</f>
        <v xml:space="preserve">2170644243 </v>
      </c>
      <c r="G1449" s="10" t="str">
        <f t="shared" si="37"/>
        <v>ON1</v>
      </c>
      <c r="H1449" s="10" t="s">
        <v>21</v>
      </c>
      <c r="I1449" s="10" t="s">
        <v>175</v>
      </c>
      <c r="J1449" s="10" t="str">
        <f>""</f>
        <v/>
      </c>
      <c r="K1449" s="10" t="str">
        <f>"PFES1162646482_0001"</f>
        <v>PFES1162646482_0001</v>
      </c>
      <c r="L1449" s="10">
        <v>2</v>
      </c>
      <c r="M1449" s="10">
        <v>7</v>
      </c>
    </row>
    <row r="1450" spans="1:13">
      <c r="A1450" s="8">
        <v>43354</v>
      </c>
      <c r="B1450" s="9">
        <v>0.45694444444444443</v>
      </c>
      <c r="C1450" s="10" t="str">
        <f>"FES1162646482"</f>
        <v>FES1162646482</v>
      </c>
      <c r="D1450" s="10" t="s">
        <v>19</v>
      </c>
      <c r="E1450" s="10" t="s">
        <v>174</v>
      </c>
      <c r="F1450" s="10" t="str">
        <f>"2170644243 "</f>
        <v xml:space="preserve">2170644243 </v>
      </c>
      <c r="G1450" s="10" t="str">
        <f t="shared" si="37"/>
        <v>ON1</v>
      </c>
      <c r="H1450" s="10" t="s">
        <v>21</v>
      </c>
      <c r="I1450" s="10" t="s">
        <v>175</v>
      </c>
      <c r="J1450" s="10"/>
      <c r="K1450" s="10" t="str">
        <f>"PFES1162646482_0002"</f>
        <v>PFES1162646482_0002</v>
      </c>
      <c r="L1450" s="10">
        <v>2</v>
      </c>
      <c r="M1450" s="10">
        <v>7</v>
      </c>
    </row>
    <row r="1451" spans="1:13">
      <c r="A1451" s="8">
        <v>43354</v>
      </c>
      <c r="B1451" s="9">
        <v>0.45624999999999999</v>
      </c>
      <c r="C1451" s="10" t="str">
        <f>"FES1162646430"</f>
        <v>FES1162646430</v>
      </c>
      <c r="D1451" s="10" t="s">
        <v>19</v>
      </c>
      <c r="E1451" s="10" t="s">
        <v>113</v>
      </c>
      <c r="F1451" s="10" t="str">
        <f>"2170650119 "</f>
        <v xml:space="preserve">2170650119 </v>
      </c>
      <c r="G1451" s="10" t="str">
        <f t="shared" si="37"/>
        <v>ON1</v>
      </c>
      <c r="H1451" s="10" t="s">
        <v>21</v>
      </c>
      <c r="I1451" s="10" t="s">
        <v>114</v>
      </c>
      <c r="J1451" s="10" t="str">
        <f>""</f>
        <v/>
      </c>
      <c r="K1451" s="10" t="str">
        <f>"PFES1162646430_0001"</f>
        <v>PFES1162646430_0001</v>
      </c>
      <c r="L1451" s="10">
        <v>1</v>
      </c>
      <c r="M1451" s="10">
        <v>4</v>
      </c>
    </row>
    <row r="1452" spans="1:13">
      <c r="A1452" s="8">
        <v>43354</v>
      </c>
      <c r="B1452" s="9">
        <v>0.45555555555555555</v>
      </c>
      <c r="C1452" s="10" t="str">
        <f>"FES1162646469"</f>
        <v>FES1162646469</v>
      </c>
      <c r="D1452" s="10" t="s">
        <v>19</v>
      </c>
      <c r="E1452" s="10" t="s">
        <v>281</v>
      </c>
      <c r="F1452" s="10" t="str">
        <f>"2170651191 "</f>
        <v xml:space="preserve">2170651191 </v>
      </c>
      <c r="G1452" s="10" t="str">
        <f t="shared" si="37"/>
        <v>ON1</v>
      </c>
      <c r="H1452" s="10" t="s">
        <v>21</v>
      </c>
      <c r="I1452" s="10" t="s">
        <v>282</v>
      </c>
      <c r="J1452" s="10" t="str">
        <f>""</f>
        <v/>
      </c>
      <c r="K1452" s="10" t="str">
        <f>"PFES1162646469_0001"</f>
        <v>PFES1162646469_0001</v>
      </c>
      <c r="L1452" s="10">
        <v>1</v>
      </c>
      <c r="M1452" s="10">
        <v>3</v>
      </c>
    </row>
    <row r="1453" spans="1:13">
      <c r="A1453" s="8">
        <v>43354</v>
      </c>
      <c r="B1453" s="9">
        <v>0.45416666666666666</v>
      </c>
      <c r="C1453" s="10" t="str">
        <f>"FES1162646445"</f>
        <v>FES1162646445</v>
      </c>
      <c r="D1453" s="10" t="s">
        <v>19</v>
      </c>
      <c r="E1453" s="10" t="s">
        <v>583</v>
      </c>
      <c r="F1453" s="10" t="str">
        <f>"2170650871 "</f>
        <v xml:space="preserve">2170650871 </v>
      </c>
      <c r="G1453" s="10" t="str">
        <f t="shared" si="37"/>
        <v>ON1</v>
      </c>
      <c r="H1453" s="10" t="s">
        <v>21</v>
      </c>
      <c r="I1453" s="10" t="s">
        <v>584</v>
      </c>
      <c r="J1453" s="10" t="str">
        <f>""</f>
        <v/>
      </c>
      <c r="K1453" s="10" t="str">
        <f>"PFES1162646445_0001"</f>
        <v>PFES1162646445_0001</v>
      </c>
      <c r="L1453" s="10">
        <v>1</v>
      </c>
      <c r="M1453" s="10">
        <v>1</v>
      </c>
    </row>
    <row r="1454" spans="1:13">
      <c r="A1454" s="8">
        <v>43355</v>
      </c>
      <c r="B1454" s="9">
        <v>0.69097222222222221</v>
      </c>
      <c r="C1454" s="10" t="str">
        <f>"FES1162646141"</f>
        <v>FES1162646141</v>
      </c>
      <c r="D1454" s="10" t="s">
        <v>19</v>
      </c>
      <c r="E1454" s="10" t="s">
        <v>782</v>
      </c>
      <c r="F1454" s="10" t="str">
        <f>"2170647635 "</f>
        <v xml:space="preserve">2170647635 </v>
      </c>
      <c r="G1454" s="10" t="str">
        <f t="shared" si="37"/>
        <v>ON1</v>
      </c>
      <c r="H1454" s="10" t="s">
        <v>21</v>
      </c>
      <c r="I1454" s="10" t="s">
        <v>783</v>
      </c>
      <c r="J1454" s="10" t="str">
        <f>""</f>
        <v/>
      </c>
      <c r="K1454" s="10" t="str">
        <f>"PFES1162646141_0001"</f>
        <v>PFES1162646141_0001</v>
      </c>
      <c r="L1454" s="10">
        <v>1</v>
      </c>
      <c r="M1454" s="10">
        <v>1</v>
      </c>
    </row>
    <row r="1455" spans="1:13">
      <c r="A1455" s="8">
        <v>43355</v>
      </c>
      <c r="B1455" s="9">
        <v>0.68958333333333333</v>
      </c>
      <c r="C1455" s="10" t="str">
        <f>"FES1162646987"</f>
        <v>FES1162646987</v>
      </c>
      <c r="D1455" s="10" t="s">
        <v>19</v>
      </c>
      <c r="E1455" s="10" t="s">
        <v>784</v>
      </c>
      <c r="F1455" s="10" t="str">
        <f>"21706446623 "</f>
        <v xml:space="preserve">21706446623 </v>
      </c>
      <c r="G1455" s="10" t="str">
        <f t="shared" si="37"/>
        <v>ON1</v>
      </c>
      <c r="H1455" s="10" t="s">
        <v>21</v>
      </c>
      <c r="I1455" s="10" t="s">
        <v>785</v>
      </c>
      <c r="J1455" s="10" t="str">
        <f>""</f>
        <v/>
      </c>
      <c r="K1455" s="10" t="str">
        <f>"PFES1162646987_0001"</f>
        <v>PFES1162646987_0001</v>
      </c>
      <c r="L1455" s="10">
        <v>1</v>
      </c>
      <c r="M1455" s="10">
        <v>1</v>
      </c>
    </row>
    <row r="1456" spans="1:13">
      <c r="A1456" s="8">
        <v>43355</v>
      </c>
      <c r="B1456" s="9">
        <v>0.68888888888888899</v>
      </c>
      <c r="C1456" s="10" t="str">
        <f>"FES1162646546"</f>
        <v>FES1162646546</v>
      </c>
      <c r="D1456" s="10" t="s">
        <v>19</v>
      </c>
      <c r="E1456" s="10" t="s">
        <v>538</v>
      </c>
      <c r="F1456" s="10" t="str">
        <f>"2170641055 "</f>
        <v xml:space="preserve">2170641055 </v>
      </c>
      <c r="G1456" s="10" t="str">
        <f t="shared" si="37"/>
        <v>ON1</v>
      </c>
      <c r="H1456" s="10" t="s">
        <v>21</v>
      </c>
      <c r="I1456" s="10" t="s">
        <v>290</v>
      </c>
      <c r="J1456" s="10" t="str">
        <f>""</f>
        <v/>
      </c>
      <c r="K1456" s="10" t="str">
        <f>"PFES1162646546_0001"</f>
        <v>PFES1162646546_0001</v>
      </c>
      <c r="L1456" s="10">
        <v>1</v>
      </c>
      <c r="M1456" s="10">
        <v>6</v>
      </c>
    </row>
    <row r="1457" spans="1:13">
      <c r="A1457" s="8">
        <v>43355</v>
      </c>
      <c r="B1457" s="9">
        <v>0.6875</v>
      </c>
      <c r="C1457" s="10" t="str">
        <f>"FES1162646705"</f>
        <v>FES1162646705</v>
      </c>
      <c r="D1457" s="10" t="s">
        <v>19</v>
      </c>
      <c r="E1457" s="10" t="s">
        <v>786</v>
      </c>
      <c r="F1457" s="10" t="str">
        <f>"2170651201 "</f>
        <v xml:space="preserve">2170651201 </v>
      </c>
      <c r="G1457" s="10" t="str">
        <f t="shared" si="37"/>
        <v>ON1</v>
      </c>
      <c r="H1457" s="10" t="s">
        <v>21</v>
      </c>
      <c r="I1457" s="10" t="s">
        <v>787</v>
      </c>
      <c r="J1457" s="10" t="str">
        <f>""</f>
        <v/>
      </c>
      <c r="K1457" s="10" t="str">
        <f>"PFES1162646705_0001"</f>
        <v>PFES1162646705_0001</v>
      </c>
      <c r="L1457" s="10">
        <v>1</v>
      </c>
      <c r="M1457" s="10">
        <v>9</v>
      </c>
    </row>
    <row r="1458" spans="1:13">
      <c r="A1458" s="8">
        <v>43355</v>
      </c>
      <c r="B1458" s="9">
        <v>0.68611111111111101</v>
      </c>
      <c r="C1458" s="10" t="str">
        <f>"FES1162646906"</f>
        <v>FES1162646906</v>
      </c>
      <c r="D1458" s="10" t="s">
        <v>19</v>
      </c>
      <c r="E1458" s="10" t="s">
        <v>441</v>
      </c>
      <c r="F1458" s="10" t="str">
        <f>"2170648582 "</f>
        <v xml:space="preserve">2170648582 </v>
      </c>
      <c r="G1458" s="10" t="str">
        <f t="shared" si="37"/>
        <v>ON1</v>
      </c>
      <c r="H1458" s="10" t="s">
        <v>21</v>
      </c>
      <c r="I1458" s="10" t="s">
        <v>348</v>
      </c>
      <c r="J1458" s="10" t="str">
        <f>""</f>
        <v/>
      </c>
      <c r="K1458" s="10" t="str">
        <f>"PFES1162646906_0001"</f>
        <v>PFES1162646906_0001</v>
      </c>
      <c r="L1458" s="10">
        <v>1</v>
      </c>
      <c r="M1458" s="10">
        <v>5</v>
      </c>
    </row>
    <row r="1459" spans="1:13">
      <c r="A1459" s="8">
        <v>43355</v>
      </c>
      <c r="B1459" s="9">
        <v>0.68333333333333324</v>
      </c>
      <c r="C1459" s="10" t="str">
        <f>"FES1162646918"</f>
        <v>FES1162646918</v>
      </c>
      <c r="D1459" s="10" t="s">
        <v>19</v>
      </c>
      <c r="E1459" s="10" t="s">
        <v>441</v>
      </c>
      <c r="F1459" s="10" t="str">
        <f>"2170651577 "</f>
        <v xml:space="preserve">2170651577 </v>
      </c>
      <c r="G1459" s="10" t="str">
        <f>"DBC"</f>
        <v>DBC</v>
      </c>
      <c r="H1459" s="10" t="s">
        <v>21</v>
      </c>
      <c r="I1459" s="10" t="s">
        <v>348</v>
      </c>
      <c r="J1459" s="10" t="str">
        <f>""</f>
        <v/>
      </c>
      <c r="K1459" s="10" t="str">
        <f>"PFES1162646918_0001"</f>
        <v>PFES1162646918_0001</v>
      </c>
      <c r="L1459" s="10">
        <v>1</v>
      </c>
      <c r="M1459" s="10">
        <v>27</v>
      </c>
    </row>
    <row r="1460" spans="1:13">
      <c r="A1460" s="8">
        <v>43355</v>
      </c>
      <c r="B1460" s="9">
        <v>0.68333333333333324</v>
      </c>
      <c r="C1460" s="10" t="str">
        <f>"FES1162646968"</f>
        <v>FES1162646968</v>
      </c>
      <c r="D1460" s="10" t="s">
        <v>19</v>
      </c>
      <c r="E1460" s="10" t="s">
        <v>464</v>
      </c>
      <c r="F1460" s="10" t="str">
        <f>"2170651498 "</f>
        <v xml:space="preserve">2170651498 </v>
      </c>
      <c r="G1460" s="10" t="str">
        <f>"ON1"</f>
        <v>ON1</v>
      </c>
      <c r="H1460" s="10" t="s">
        <v>21</v>
      </c>
      <c r="I1460" s="10" t="s">
        <v>171</v>
      </c>
      <c r="J1460" s="10" t="str">
        <f>""</f>
        <v/>
      </c>
      <c r="K1460" s="10" t="str">
        <f>"PFES1162646968_0001"</f>
        <v>PFES1162646968_0001</v>
      </c>
      <c r="L1460" s="10">
        <v>1</v>
      </c>
      <c r="M1460" s="10">
        <v>1</v>
      </c>
    </row>
    <row r="1461" spans="1:13">
      <c r="A1461" s="8">
        <v>43355</v>
      </c>
      <c r="B1461" s="9">
        <v>0.68263888888888891</v>
      </c>
      <c r="C1461" s="10" t="str">
        <f>"FES1162646966"</f>
        <v>FES1162646966</v>
      </c>
      <c r="D1461" s="10" t="s">
        <v>19</v>
      </c>
      <c r="E1461" s="10" t="s">
        <v>788</v>
      </c>
      <c r="F1461" s="10" t="str">
        <f>"2170651405 "</f>
        <v xml:space="preserve">2170651405 </v>
      </c>
      <c r="G1461" s="10" t="str">
        <f>"ON1"</f>
        <v>ON1</v>
      </c>
      <c r="H1461" s="10" t="s">
        <v>21</v>
      </c>
      <c r="I1461" s="10" t="s">
        <v>789</v>
      </c>
      <c r="J1461" s="10" t="str">
        <f>""</f>
        <v/>
      </c>
      <c r="K1461" s="10" t="str">
        <f>"PFES1162646966_0001"</f>
        <v>PFES1162646966_0001</v>
      </c>
      <c r="L1461" s="10">
        <v>1</v>
      </c>
      <c r="M1461" s="10">
        <v>4</v>
      </c>
    </row>
    <row r="1462" spans="1:13">
      <c r="A1462" s="8">
        <v>43355</v>
      </c>
      <c r="B1462" s="9">
        <v>0.68194444444444446</v>
      </c>
      <c r="C1462" s="10" t="str">
        <f>"FES1162646974"</f>
        <v>FES1162646974</v>
      </c>
      <c r="D1462" s="10" t="s">
        <v>19</v>
      </c>
      <c r="E1462" s="10" t="s">
        <v>790</v>
      </c>
      <c r="F1462" s="10" t="str">
        <f>"2170651627 "</f>
        <v xml:space="preserve">2170651627 </v>
      </c>
      <c r="G1462" s="10" t="str">
        <f>"DBC"</f>
        <v>DBC</v>
      </c>
      <c r="H1462" s="10" t="s">
        <v>21</v>
      </c>
      <c r="I1462" s="10" t="s">
        <v>650</v>
      </c>
      <c r="J1462" s="10" t="str">
        <f>""</f>
        <v/>
      </c>
      <c r="K1462" s="10" t="str">
        <f>"PFES1162646974_0001"</f>
        <v>PFES1162646974_0001</v>
      </c>
      <c r="L1462" s="10">
        <v>1</v>
      </c>
      <c r="M1462" s="10">
        <v>24</v>
      </c>
    </row>
    <row r="1463" spans="1:13">
      <c r="A1463" s="8">
        <v>43355</v>
      </c>
      <c r="B1463" s="9">
        <v>0.67986111111111114</v>
      </c>
      <c r="C1463" s="10" t="str">
        <f>"FES1162646970"</f>
        <v>FES1162646970</v>
      </c>
      <c r="D1463" s="10" t="s">
        <v>19</v>
      </c>
      <c r="E1463" s="10" t="s">
        <v>84</v>
      </c>
      <c r="F1463" s="10" t="str">
        <f>"2170651514 "</f>
        <v xml:space="preserve">2170651514 </v>
      </c>
      <c r="G1463" s="10" t="str">
        <f>"ON1"</f>
        <v>ON1</v>
      </c>
      <c r="H1463" s="10" t="s">
        <v>21</v>
      </c>
      <c r="I1463" s="10" t="s">
        <v>85</v>
      </c>
      <c r="J1463" s="10" t="str">
        <f>""</f>
        <v/>
      </c>
      <c r="K1463" s="10" t="str">
        <f>"PFES1162646970_0001"</f>
        <v>PFES1162646970_0001</v>
      </c>
      <c r="L1463" s="10">
        <v>1</v>
      </c>
      <c r="M1463" s="10">
        <v>1</v>
      </c>
    </row>
    <row r="1464" spans="1:13">
      <c r="A1464" s="8">
        <v>43355</v>
      </c>
      <c r="B1464" s="9">
        <v>0.67986111111111114</v>
      </c>
      <c r="C1464" s="10" t="str">
        <f>"FES1162646972"</f>
        <v>FES1162646972</v>
      </c>
      <c r="D1464" s="10" t="s">
        <v>19</v>
      </c>
      <c r="E1464" s="10" t="s">
        <v>384</v>
      </c>
      <c r="F1464" s="10" t="str">
        <f>"2170651628 "</f>
        <v xml:space="preserve">2170651628 </v>
      </c>
      <c r="G1464" s="10" t="str">
        <f>"DBC"</f>
        <v>DBC</v>
      </c>
      <c r="H1464" s="10" t="s">
        <v>21</v>
      </c>
      <c r="I1464" s="10" t="s">
        <v>385</v>
      </c>
      <c r="J1464" s="10" t="str">
        <f>""</f>
        <v/>
      </c>
      <c r="K1464" s="10" t="str">
        <f>"PFES1162646972_0001"</f>
        <v>PFES1162646972_0001</v>
      </c>
      <c r="L1464" s="10">
        <v>2</v>
      </c>
      <c r="M1464" s="10">
        <v>24</v>
      </c>
    </row>
    <row r="1465" spans="1:13">
      <c r="A1465" s="8">
        <v>43355</v>
      </c>
      <c r="B1465" s="9">
        <v>0.67986111111111114</v>
      </c>
      <c r="C1465" s="10" t="str">
        <f>"FES1162646965"</f>
        <v>FES1162646965</v>
      </c>
      <c r="D1465" s="10" t="s">
        <v>19</v>
      </c>
      <c r="E1465" s="10" t="s">
        <v>27</v>
      </c>
      <c r="F1465" s="10" t="str">
        <f>"2170651112 "</f>
        <v xml:space="preserve">2170651112 </v>
      </c>
      <c r="G1465" s="10" t="str">
        <f t="shared" ref="G1465:G1528" si="38">"ON1"</f>
        <v>ON1</v>
      </c>
      <c r="H1465" s="10" t="s">
        <v>21</v>
      </c>
      <c r="I1465" s="10" t="s">
        <v>28</v>
      </c>
      <c r="J1465" s="10" t="str">
        <f>""</f>
        <v/>
      </c>
      <c r="K1465" s="10" t="str">
        <f>"PFES1162646965_0001"</f>
        <v>PFES1162646965_0001</v>
      </c>
      <c r="L1465" s="10">
        <v>1</v>
      </c>
      <c r="M1465" s="10">
        <v>1</v>
      </c>
    </row>
    <row r="1466" spans="1:13">
      <c r="A1466" s="8">
        <v>43355</v>
      </c>
      <c r="B1466" s="9">
        <v>0.6791666666666667</v>
      </c>
      <c r="C1466" s="10" t="str">
        <f>"FES1162646967"</f>
        <v>FES1162646967</v>
      </c>
      <c r="D1466" s="10" t="s">
        <v>19</v>
      </c>
      <c r="E1466" s="10" t="s">
        <v>119</v>
      </c>
      <c r="F1466" s="10" t="str">
        <f>"21706145411 "</f>
        <v xml:space="preserve">21706145411 </v>
      </c>
      <c r="G1466" s="10" t="str">
        <f t="shared" si="38"/>
        <v>ON1</v>
      </c>
      <c r="H1466" s="10" t="s">
        <v>21</v>
      </c>
      <c r="I1466" s="10" t="s">
        <v>68</v>
      </c>
      <c r="J1466" s="10" t="str">
        <f>""</f>
        <v/>
      </c>
      <c r="K1466" s="10" t="str">
        <f>"PFES1162646967_0001"</f>
        <v>PFES1162646967_0001</v>
      </c>
      <c r="L1466" s="10">
        <v>1</v>
      </c>
      <c r="M1466" s="10">
        <v>2</v>
      </c>
    </row>
    <row r="1467" spans="1:13">
      <c r="A1467" s="8">
        <v>43355</v>
      </c>
      <c r="B1467" s="9">
        <v>0.67847222222222225</v>
      </c>
      <c r="C1467" s="10" t="str">
        <f>"009935791845"</f>
        <v>009935791845</v>
      </c>
      <c r="D1467" s="10" t="s">
        <v>19</v>
      </c>
      <c r="E1467" s="10" t="s">
        <v>791</v>
      </c>
      <c r="F1467" s="10" t="str">
        <f>"1162644705 "</f>
        <v xml:space="preserve">1162644705 </v>
      </c>
      <c r="G1467" s="10" t="str">
        <f t="shared" si="38"/>
        <v>ON1</v>
      </c>
      <c r="H1467" s="10" t="s">
        <v>21</v>
      </c>
      <c r="I1467" s="10" t="s">
        <v>34</v>
      </c>
      <c r="J1467" s="10" t="str">
        <f>""</f>
        <v/>
      </c>
      <c r="K1467" s="10" t="str">
        <f>"P009935791845_0001"</f>
        <v>P009935791845_0001</v>
      </c>
      <c r="L1467" s="10">
        <v>1</v>
      </c>
      <c r="M1467" s="10">
        <v>1</v>
      </c>
    </row>
    <row r="1468" spans="1:13">
      <c r="A1468" s="8">
        <v>43355</v>
      </c>
      <c r="B1468" s="9">
        <v>0.67847222222222225</v>
      </c>
      <c r="C1468" s="10" t="str">
        <f>"FES1162646704"</f>
        <v>FES1162646704</v>
      </c>
      <c r="D1468" s="10" t="s">
        <v>19</v>
      </c>
      <c r="E1468" s="10" t="s">
        <v>81</v>
      </c>
      <c r="F1468" s="10" t="str">
        <f>"2170648923 "</f>
        <v xml:space="preserve">2170648923 </v>
      </c>
      <c r="G1468" s="10" t="str">
        <f t="shared" si="38"/>
        <v>ON1</v>
      </c>
      <c r="H1468" s="10" t="s">
        <v>21</v>
      </c>
      <c r="I1468" s="10" t="s">
        <v>28</v>
      </c>
      <c r="J1468" s="10" t="str">
        <f>""</f>
        <v/>
      </c>
      <c r="K1468" s="10" t="str">
        <f>"PFES1162646704_0001"</f>
        <v>PFES1162646704_0001</v>
      </c>
      <c r="L1468" s="10">
        <v>1</v>
      </c>
      <c r="M1468" s="10">
        <v>5</v>
      </c>
    </row>
    <row r="1469" spans="1:13">
      <c r="A1469" s="8">
        <v>43355</v>
      </c>
      <c r="B1469" s="9">
        <v>0.67708333333333337</v>
      </c>
      <c r="C1469" s="10" t="str">
        <f>"FES1162646969"</f>
        <v>FES1162646969</v>
      </c>
      <c r="D1469" s="10" t="s">
        <v>19</v>
      </c>
      <c r="E1469" s="10" t="s">
        <v>289</v>
      </c>
      <c r="F1469" s="10" t="str">
        <f>"2170651507 "</f>
        <v xml:space="preserve">2170651507 </v>
      </c>
      <c r="G1469" s="10" t="str">
        <f t="shared" si="38"/>
        <v>ON1</v>
      </c>
      <c r="H1469" s="10" t="s">
        <v>21</v>
      </c>
      <c r="I1469" s="10" t="s">
        <v>290</v>
      </c>
      <c r="J1469" s="10" t="str">
        <f>""</f>
        <v/>
      </c>
      <c r="K1469" s="10" t="str">
        <f>"PFES1162646969_0001"</f>
        <v>PFES1162646969_0001</v>
      </c>
      <c r="L1469" s="10">
        <v>1</v>
      </c>
      <c r="M1469" s="10">
        <v>4</v>
      </c>
    </row>
    <row r="1470" spans="1:13">
      <c r="A1470" s="8">
        <v>43355</v>
      </c>
      <c r="B1470" s="9">
        <v>0.67569444444444438</v>
      </c>
      <c r="C1470" s="10" t="str">
        <f>"FES1162646981"</f>
        <v>FES1162646981</v>
      </c>
      <c r="D1470" s="10" t="s">
        <v>19</v>
      </c>
      <c r="E1470" s="10" t="s">
        <v>612</v>
      </c>
      <c r="F1470" s="10" t="str">
        <f>"2170641399 "</f>
        <v xml:space="preserve">2170641399 </v>
      </c>
      <c r="G1470" s="10" t="str">
        <f t="shared" si="38"/>
        <v>ON1</v>
      </c>
      <c r="H1470" s="10" t="s">
        <v>21</v>
      </c>
      <c r="I1470" s="10" t="s">
        <v>613</v>
      </c>
      <c r="J1470" s="10" t="str">
        <f>""</f>
        <v/>
      </c>
      <c r="K1470" s="10" t="str">
        <f>"PFES1162646981_0001"</f>
        <v>PFES1162646981_0001</v>
      </c>
      <c r="L1470" s="10">
        <v>1</v>
      </c>
      <c r="M1470" s="10">
        <v>1</v>
      </c>
    </row>
    <row r="1471" spans="1:13">
      <c r="A1471" s="8">
        <v>43355</v>
      </c>
      <c r="B1471" s="9">
        <v>0.67499999999999993</v>
      </c>
      <c r="C1471" s="10" t="str">
        <f>"FES1162646980"</f>
        <v>FES1162646980</v>
      </c>
      <c r="D1471" s="10" t="s">
        <v>19</v>
      </c>
      <c r="E1471" s="10" t="s">
        <v>792</v>
      </c>
      <c r="F1471" s="10" t="str">
        <f>"2170639775 "</f>
        <v xml:space="preserve">2170639775 </v>
      </c>
      <c r="G1471" s="10" t="str">
        <f t="shared" si="38"/>
        <v>ON1</v>
      </c>
      <c r="H1471" s="10" t="s">
        <v>21</v>
      </c>
      <c r="I1471" s="10" t="s">
        <v>68</v>
      </c>
      <c r="J1471" s="10" t="str">
        <f>""</f>
        <v/>
      </c>
      <c r="K1471" s="10" t="str">
        <f>"PFES1162646980_0001"</f>
        <v>PFES1162646980_0001</v>
      </c>
      <c r="L1471" s="10">
        <v>1</v>
      </c>
      <c r="M1471" s="10">
        <v>1</v>
      </c>
    </row>
    <row r="1472" spans="1:13">
      <c r="A1472" s="8">
        <v>43355</v>
      </c>
      <c r="B1472" s="9">
        <v>0.67499999999999993</v>
      </c>
      <c r="C1472" s="10" t="str">
        <f>"FES1162646964"</f>
        <v>FES1162646964</v>
      </c>
      <c r="D1472" s="10" t="s">
        <v>19</v>
      </c>
      <c r="E1472" s="10" t="s">
        <v>793</v>
      </c>
      <c r="F1472" s="10" t="str">
        <f>"2170650814 "</f>
        <v xml:space="preserve">2170650814 </v>
      </c>
      <c r="G1472" s="10" t="str">
        <f t="shared" si="38"/>
        <v>ON1</v>
      </c>
      <c r="H1472" s="10" t="s">
        <v>21</v>
      </c>
      <c r="I1472" s="10" t="s">
        <v>150</v>
      </c>
      <c r="J1472" s="10" t="str">
        <f>""</f>
        <v/>
      </c>
      <c r="K1472" s="10" t="str">
        <f>"PFES1162646964_0001"</f>
        <v>PFES1162646964_0001</v>
      </c>
      <c r="L1472" s="10">
        <v>1</v>
      </c>
      <c r="M1472" s="10">
        <v>1</v>
      </c>
    </row>
    <row r="1473" spans="1:13">
      <c r="A1473" s="8">
        <v>43355</v>
      </c>
      <c r="B1473" s="9">
        <v>0.67499999999999993</v>
      </c>
      <c r="C1473" s="10" t="str">
        <f>"FES1162646971"</f>
        <v>FES1162646971</v>
      </c>
      <c r="D1473" s="10" t="s">
        <v>19</v>
      </c>
      <c r="E1473" s="10" t="s">
        <v>103</v>
      </c>
      <c r="F1473" s="10" t="str">
        <f>"2170651625 "</f>
        <v xml:space="preserve">2170651625 </v>
      </c>
      <c r="G1473" s="10" t="str">
        <f t="shared" si="38"/>
        <v>ON1</v>
      </c>
      <c r="H1473" s="10" t="s">
        <v>21</v>
      </c>
      <c r="I1473" s="10" t="s">
        <v>189</v>
      </c>
      <c r="J1473" s="10" t="str">
        <f>""</f>
        <v/>
      </c>
      <c r="K1473" s="10" t="str">
        <f>"PFES1162646971_0001"</f>
        <v>PFES1162646971_0001</v>
      </c>
      <c r="L1473" s="10">
        <v>1</v>
      </c>
      <c r="M1473" s="10">
        <v>1</v>
      </c>
    </row>
    <row r="1474" spans="1:13">
      <c r="A1474" s="8">
        <v>43355</v>
      </c>
      <c r="B1474" s="9">
        <v>0.67083333333333339</v>
      </c>
      <c r="C1474" s="10" t="str">
        <f>"FES1162646879"</f>
        <v>FES1162646879</v>
      </c>
      <c r="D1474" s="10" t="s">
        <v>19</v>
      </c>
      <c r="E1474" s="10" t="s">
        <v>794</v>
      </c>
      <c r="F1474" s="10" t="str">
        <f>"2170651263 "</f>
        <v xml:space="preserve">2170651263 </v>
      </c>
      <c r="G1474" s="10" t="str">
        <f t="shared" si="38"/>
        <v>ON1</v>
      </c>
      <c r="H1474" s="10" t="s">
        <v>21</v>
      </c>
      <c r="I1474" s="10" t="s">
        <v>795</v>
      </c>
      <c r="J1474" s="10" t="str">
        <f>""</f>
        <v/>
      </c>
      <c r="K1474" s="10" t="str">
        <f>"PFES1162646879_0001"</f>
        <v>PFES1162646879_0001</v>
      </c>
      <c r="L1474" s="10">
        <v>1</v>
      </c>
      <c r="M1474" s="10">
        <v>1</v>
      </c>
    </row>
    <row r="1475" spans="1:13">
      <c r="A1475" s="8">
        <v>43355</v>
      </c>
      <c r="B1475" s="9">
        <v>0.67083333333333339</v>
      </c>
      <c r="C1475" s="10" t="str">
        <f>"FES1162646976"</f>
        <v>FES1162646976</v>
      </c>
      <c r="D1475" s="10" t="s">
        <v>19</v>
      </c>
      <c r="E1475" s="10" t="s">
        <v>130</v>
      </c>
      <c r="F1475" s="10" t="str">
        <f>"217065269 "</f>
        <v xml:space="preserve">217065269 </v>
      </c>
      <c r="G1475" s="10" t="str">
        <f t="shared" si="38"/>
        <v>ON1</v>
      </c>
      <c r="H1475" s="10" t="s">
        <v>21</v>
      </c>
      <c r="I1475" s="10" t="s">
        <v>131</v>
      </c>
      <c r="J1475" s="10" t="str">
        <f>""</f>
        <v/>
      </c>
      <c r="K1475" s="10" t="str">
        <f>"PFES1162646976_0001"</f>
        <v>PFES1162646976_0001</v>
      </c>
      <c r="L1475" s="10">
        <v>1</v>
      </c>
      <c r="M1475" s="10">
        <v>1</v>
      </c>
    </row>
    <row r="1476" spans="1:13">
      <c r="A1476" s="8">
        <v>43355</v>
      </c>
      <c r="B1476" s="9">
        <v>0.67083333333333339</v>
      </c>
      <c r="C1476" s="10" t="str">
        <f>"FES1162646917"</f>
        <v>FES1162646917</v>
      </c>
      <c r="D1476" s="10" t="s">
        <v>19</v>
      </c>
      <c r="E1476" s="10" t="s">
        <v>441</v>
      </c>
      <c r="F1476" s="10" t="str">
        <f>"2170651576 "</f>
        <v xml:space="preserve">2170651576 </v>
      </c>
      <c r="G1476" s="10" t="str">
        <f t="shared" si="38"/>
        <v>ON1</v>
      </c>
      <c r="H1476" s="10" t="s">
        <v>21</v>
      </c>
      <c r="I1476" s="10" t="s">
        <v>348</v>
      </c>
      <c r="J1476" s="10" t="str">
        <f>""</f>
        <v/>
      </c>
      <c r="K1476" s="10" t="str">
        <f>"PFES1162646917_0001"</f>
        <v>PFES1162646917_0001</v>
      </c>
      <c r="L1476" s="10">
        <v>1</v>
      </c>
      <c r="M1476" s="10">
        <v>1</v>
      </c>
    </row>
    <row r="1477" spans="1:13">
      <c r="A1477" s="8">
        <v>43355</v>
      </c>
      <c r="B1477" s="9">
        <v>0.67013888888888884</v>
      </c>
      <c r="C1477" s="10" t="str">
        <f>"FES1162646922"</f>
        <v>FES1162646922</v>
      </c>
      <c r="D1477" s="10" t="s">
        <v>19</v>
      </c>
      <c r="E1477" s="10" t="s">
        <v>220</v>
      </c>
      <c r="F1477" s="10" t="str">
        <f>"21706512454 "</f>
        <v xml:space="preserve">21706512454 </v>
      </c>
      <c r="G1477" s="10" t="str">
        <f t="shared" si="38"/>
        <v>ON1</v>
      </c>
      <c r="H1477" s="10" t="s">
        <v>21</v>
      </c>
      <c r="I1477" s="10" t="s">
        <v>126</v>
      </c>
      <c r="J1477" s="10" t="str">
        <f>""</f>
        <v/>
      </c>
      <c r="K1477" s="10" t="str">
        <f>"PFES1162646922_0001"</f>
        <v>PFES1162646922_0001</v>
      </c>
      <c r="L1477" s="10">
        <v>1</v>
      </c>
      <c r="M1477" s="10">
        <v>1</v>
      </c>
    </row>
    <row r="1478" spans="1:13">
      <c r="A1478" s="8">
        <v>43355</v>
      </c>
      <c r="B1478" s="9">
        <v>0.67013888888888884</v>
      </c>
      <c r="C1478" s="10" t="str">
        <f>"FES1162646909"</f>
        <v>FES1162646909</v>
      </c>
      <c r="D1478" s="10" t="s">
        <v>19</v>
      </c>
      <c r="E1478" s="10" t="s">
        <v>776</v>
      </c>
      <c r="F1478" s="10" t="str">
        <f>"2170651566 "</f>
        <v xml:space="preserve">2170651566 </v>
      </c>
      <c r="G1478" s="10" t="str">
        <f t="shared" si="38"/>
        <v>ON1</v>
      </c>
      <c r="H1478" s="10" t="s">
        <v>21</v>
      </c>
      <c r="I1478" s="10" t="s">
        <v>777</v>
      </c>
      <c r="J1478" s="10" t="str">
        <f>""</f>
        <v/>
      </c>
      <c r="K1478" s="10" t="str">
        <f>"PFES1162646909_0001"</f>
        <v>PFES1162646909_0001</v>
      </c>
      <c r="L1478" s="10">
        <v>1</v>
      </c>
      <c r="M1478" s="10">
        <v>1</v>
      </c>
    </row>
    <row r="1479" spans="1:13">
      <c r="A1479" s="8">
        <v>43355</v>
      </c>
      <c r="B1479" s="9">
        <v>0.67013888888888884</v>
      </c>
      <c r="C1479" s="10" t="str">
        <f>"FES1162646925"</f>
        <v>FES1162646925</v>
      </c>
      <c r="D1479" s="10" t="s">
        <v>19</v>
      </c>
      <c r="E1479" s="10" t="s">
        <v>125</v>
      </c>
      <c r="F1479" s="10" t="str">
        <f>"2170651579 "</f>
        <v xml:space="preserve">2170651579 </v>
      </c>
      <c r="G1479" s="10" t="str">
        <f t="shared" si="38"/>
        <v>ON1</v>
      </c>
      <c r="H1479" s="10" t="s">
        <v>21</v>
      </c>
      <c r="I1479" s="10" t="s">
        <v>126</v>
      </c>
      <c r="J1479" s="10" t="str">
        <f>""</f>
        <v/>
      </c>
      <c r="K1479" s="10" t="str">
        <f>"PFES1162646925_0001"</f>
        <v>PFES1162646925_0001</v>
      </c>
      <c r="L1479" s="10">
        <v>1</v>
      </c>
      <c r="M1479" s="10">
        <v>1</v>
      </c>
    </row>
    <row r="1480" spans="1:13">
      <c r="A1480" s="8">
        <v>43355</v>
      </c>
      <c r="B1480" s="9">
        <v>0.6694444444444444</v>
      </c>
      <c r="C1480" s="10" t="str">
        <f>"FES1162646977"</f>
        <v>FES1162646977</v>
      </c>
      <c r="D1480" s="10" t="s">
        <v>19</v>
      </c>
      <c r="E1480" s="10" t="s">
        <v>375</v>
      </c>
      <c r="F1480" s="10" t="str">
        <f>"2170651630 "</f>
        <v xml:space="preserve">2170651630 </v>
      </c>
      <c r="G1480" s="10" t="str">
        <f t="shared" si="38"/>
        <v>ON1</v>
      </c>
      <c r="H1480" s="10" t="s">
        <v>21</v>
      </c>
      <c r="I1480" s="10" t="s">
        <v>44</v>
      </c>
      <c r="J1480" s="10" t="str">
        <f>""</f>
        <v/>
      </c>
      <c r="K1480" s="10" t="str">
        <f>"PFES1162646977_0001"</f>
        <v>PFES1162646977_0001</v>
      </c>
      <c r="L1480" s="10">
        <v>1</v>
      </c>
      <c r="M1480" s="10">
        <v>1</v>
      </c>
    </row>
    <row r="1481" spans="1:13">
      <c r="A1481" s="8">
        <v>43355</v>
      </c>
      <c r="B1481" s="9">
        <v>0.6694444444444444</v>
      </c>
      <c r="C1481" s="10" t="str">
        <f>"FES1162646939"</f>
        <v>FES1162646939</v>
      </c>
      <c r="D1481" s="10" t="s">
        <v>19</v>
      </c>
      <c r="E1481" s="10" t="s">
        <v>160</v>
      </c>
      <c r="F1481" s="10" t="str">
        <f>"2170651600 "</f>
        <v xml:space="preserve">2170651600 </v>
      </c>
      <c r="G1481" s="10" t="str">
        <f t="shared" si="38"/>
        <v>ON1</v>
      </c>
      <c r="H1481" s="10" t="s">
        <v>21</v>
      </c>
      <c r="I1481" s="10" t="s">
        <v>161</v>
      </c>
      <c r="J1481" s="10" t="str">
        <f>""</f>
        <v/>
      </c>
      <c r="K1481" s="10" t="str">
        <f>"PFES1162646939_0001"</f>
        <v>PFES1162646939_0001</v>
      </c>
      <c r="L1481" s="10">
        <v>1</v>
      </c>
      <c r="M1481" s="10">
        <v>1</v>
      </c>
    </row>
    <row r="1482" spans="1:13">
      <c r="A1482" s="8">
        <v>43355</v>
      </c>
      <c r="B1482" s="9">
        <v>0.66736111111111107</v>
      </c>
      <c r="C1482" s="10" t="str">
        <f>"FES1162646949"</f>
        <v>FES1162646949</v>
      </c>
      <c r="D1482" s="10" t="s">
        <v>19</v>
      </c>
      <c r="E1482" s="10" t="s">
        <v>63</v>
      </c>
      <c r="F1482" s="10" t="str">
        <f>"2170651609 "</f>
        <v xml:space="preserve">2170651609 </v>
      </c>
      <c r="G1482" s="10" t="str">
        <f t="shared" si="38"/>
        <v>ON1</v>
      </c>
      <c r="H1482" s="10" t="s">
        <v>21</v>
      </c>
      <c r="I1482" s="10" t="s">
        <v>64</v>
      </c>
      <c r="J1482" s="10" t="str">
        <f>""</f>
        <v/>
      </c>
      <c r="K1482" s="10" t="str">
        <f>"PFES1162646949_0001"</f>
        <v>PFES1162646949_0001</v>
      </c>
      <c r="L1482" s="10">
        <v>1</v>
      </c>
      <c r="M1482" s="10">
        <v>4</v>
      </c>
    </row>
    <row r="1483" spans="1:13">
      <c r="A1483" s="8">
        <v>43355</v>
      </c>
      <c r="B1483" s="9">
        <v>0.66666666666666663</v>
      </c>
      <c r="C1483" s="10" t="str">
        <f>"FES1162646952"</f>
        <v>FES1162646952</v>
      </c>
      <c r="D1483" s="10" t="s">
        <v>19</v>
      </c>
      <c r="E1483" s="10" t="s">
        <v>63</v>
      </c>
      <c r="F1483" s="10" t="str">
        <f>"2170651611 "</f>
        <v xml:space="preserve">2170651611 </v>
      </c>
      <c r="G1483" s="10" t="str">
        <f t="shared" si="38"/>
        <v>ON1</v>
      </c>
      <c r="H1483" s="10" t="s">
        <v>21</v>
      </c>
      <c r="I1483" s="10" t="s">
        <v>64</v>
      </c>
      <c r="J1483" s="10" t="str">
        <f>""</f>
        <v/>
      </c>
      <c r="K1483" s="10" t="str">
        <f>"PFES1162646952_0001"</f>
        <v>PFES1162646952_0001</v>
      </c>
      <c r="L1483" s="10">
        <v>1</v>
      </c>
      <c r="M1483" s="10">
        <v>3</v>
      </c>
    </row>
    <row r="1484" spans="1:13">
      <c r="A1484" s="8">
        <v>43355</v>
      </c>
      <c r="B1484" s="9">
        <v>0.66597222222222219</v>
      </c>
      <c r="C1484" s="10" t="str">
        <f>"FES1162646973"</f>
        <v>FES1162646973</v>
      </c>
      <c r="D1484" s="10" t="s">
        <v>19</v>
      </c>
      <c r="E1484" s="10" t="s">
        <v>796</v>
      </c>
      <c r="F1484" s="10" t="str">
        <f>"2170651420 "</f>
        <v xml:space="preserve">2170651420 </v>
      </c>
      <c r="G1484" s="10" t="str">
        <f t="shared" si="38"/>
        <v>ON1</v>
      </c>
      <c r="H1484" s="10" t="s">
        <v>21</v>
      </c>
      <c r="I1484" s="10" t="s">
        <v>797</v>
      </c>
      <c r="J1484" s="10" t="str">
        <f>""</f>
        <v/>
      </c>
      <c r="K1484" s="10" t="str">
        <f>"PFES1162646973_0001"</f>
        <v>PFES1162646973_0001</v>
      </c>
      <c r="L1484" s="10">
        <v>1</v>
      </c>
      <c r="M1484" s="10">
        <v>2</v>
      </c>
    </row>
    <row r="1485" spans="1:13">
      <c r="A1485" s="8">
        <v>43355</v>
      </c>
      <c r="B1485" s="9">
        <v>0.66597222222222219</v>
      </c>
      <c r="C1485" s="10" t="str">
        <f>"FES1162646954"</f>
        <v>FES1162646954</v>
      </c>
      <c r="D1485" s="10" t="s">
        <v>19</v>
      </c>
      <c r="E1485" s="10" t="s">
        <v>412</v>
      </c>
      <c r="F1485" s="10" t="str">
        <f>"2170651615 "</f>
        <v xml:space="preserve">2170651615 </v>
      </c>
      <c r="G1485" s="10" t="str">
        <f t="shared" si="38"/>
        <v>ON1</v>
      </c>
      <c r="H1485" s="10" t="s">
        <v>21</v>
      </c>
      <c r="I1485" s="10" t="s">
        <v>204</v>
      </c>
      <c r="J1485" s="10" t="str">
        <f>""</f>
        <v/>
      </c>
      <c r="K1485" s="10" t="str">
        <f>"PFES1162646954_0001"</f>
        <v>PFES1162646954_0001</v>
      </c>
      <c r="L1485" s="10">
        <v>1</v>
      </c>
      <c r="M1485" s="10">
        <v>1</v>
      </c>
    </row>
    <row r="1486" spans="1:13">
      <c r="A1486" s="8">
        <v>43355</v>
      </c>
      <c r="B1486" s="9">
        <v>0.66527777777777775</v>
      </c>
      <c r="C1486" s="10" t="str">
        <f>"FES1162646959"</f>
        <v>FES1162646959</v>
      </c>
      <c r="D1486" s="10" t="s">
        <v>19</v>
      </c>
      <c r="E1486" s="10" t="s">
        <v>798</v>
      </c>
      <c r="F1486" s="10" t="str">
        <f>"217065156 "</f>
        <v xml:space="preserve">217065156 </v>
      </c>
      <c r="G1486" s="10" t="str">
        <f t="shared" si="38"/>
        <v>ON1</v>
      </c>
      <c r="H1486" s="10" t="s">
        <v>21</v>
      </c>
      <c r="I1486" s="10" t="s">
        <v>277</v>
      </c>
      <c r="J1486" s="10" t="str">
        <f>""</f>
        <v/>
      </c>
      <c r="K1486" s="10" t="str">
        <f>"PFES1162646959_0001"</f>
        <v>PFES1162646959_0001</v>
      </c>
      <c r="L1486" s="10">
        <v>1</v>
      </c>
      <c r="M1486" s="10">
        <v>1</v>
      </c>
    </row>
    <row r="1487" spans="1:13">
      <c r="A1487" s="8">
        <v>43355</v>
      </c>
      <c r="B1487" s="9">
        <v>0.6645833333333333</v>
      </c>
      <c r="C1487" s="10" t="str">
        <f>"FES1162646961"</f>
        <v>FES1162646961</v>
      </c>
      <c r="D1487" s="10" t="s">
        <v>19</v>
      </c>
      <c r="E1487" s="10" t="s">
        <v>799</v>
      </c>
      <c r="F1487" s="10" t="str">
        <f>"2170651621 "</f>
        <v xml:space="preserve">2170651621 </v>
      </c>
      <c r="G1487" s="10" t="str">
        <f t="shared" si="38"/>
        <v>ON1</v>
      </c>
      <c r="H1487" s="10" t="s">
        <v>21</v>
      </c>
      <c r="I1487" s="10" t="s">
        <v>579</v>
      </c>
      <c r="J1487" s="10" t="str">
        <f>""</f>
        <v/>
      </c>
      <c r="K1487" s="10" t="str">
        <f>"PFES1162646961_0001"</f>
        <v>PFES1162646961_0001</v>
      </c>
      <c r="L1487" s="10">
        <v>2</v>
      </c>
      <c r="M1487" s="10">
        <v>8</v>
      </c>
    </row>
    <row r="1488" spans="1:13">
      <c r="A1488" s="8">
        <v>43355</v>
      </c>
      <c r="B1488" s="9">
        <v>0.66388888888888886</v>
      </c>
      <c r="C1488" s="10" t="str">
        <f>"FES1162646950"</f>
        <v>FES1162646950</v>
      </c>
      <c r="D1488" s="10" t="s">
        <v>19</v>
      </c>
      <c r="E1488" s="10" t="s">
        <v>800</v>
      </c>
      <c r="F1488" s="10" t="str">
        <f>"2170651565 "</f>
        <v xml:space="preserve">2170651565 </v>
      </c>
      <c r="G1488" s="10" t="str">
        <f t="shared" si="38"/>
        <v>ON1</v>
      </c>
      <c r="H1488" s="10" t="s">
        <v>21</v>
      </c>
      <c r="I1488" s="10" t="s">
        <v>28</v>
      </c>
      <c r="J1488" s="10" t="str">
        <f>""</f>
        <v/>
      </c>
      <c r="K1488" s="10" t="str">
        <f>"PFES1162646950_0001"</f>
        <v>PFES1162646950_0001</v>
      </c>
      <c r="L1488" s="10">
        <v>1</v>
      </c>
      <c r="M1488" s="10">
        <v>1</v>
      </c>
    </row>
    <row r="1489" spans="1:13">
      <c r="A1489" s="8">
        <v>43355</v>
      </c>
      <c r="B1489" s="9">
        <v>0.66388888888888886</v>
      </c>
      <c r="C1489" s="10" t="str">
        <f>"FES1162646956"</f>
        <v>FES1162646956</v>
      </c>
      <c r="D1489" s="10" t="s">
        <v>19</v>
      </c>
      <c r="E1489" s="10" t="s">
        <v>141</v>
      </c>
      <c r="F1489" s="10" t="str">
        <f>"2170651616 "</f>
        <v xml:space="preserve">2170651616 </v>
      </c>
      <c r="G1489" s="10" t="str">
        <f t="shared" si="38"/>
        <v>ON1</v>
      </c>
      <c r="H1489" s="10" t="s">
        <v>21</v>
      </c>
      <c r="I1489" s="10" t="s">
        <v>91</v>
      </c>
      <c r="J1489" s="10" t="str">
        <f>""</f>
        <v/>
      </c>
      <c r="K1489" s="10" t="str">
        <f>"PFES1162646956_0001"</f>
        <v>PFES1162646956_0001</v>
      </c>
      <c r="L1489" s="10">
        <v>1</v>
      </c>
      <c r="M1489" s="10">
        <v>1</v>
      </c>
    </row>
    <row r="1490" spans="1:13">
      <c r="A1490" s="8">
        <v>43355</v>
      </c>
      <c r="B1490" s="9">
        <v>0.66319444444444442</v>
      </c>
      <c r="C1490" s="10" t="str">
        <f>"FES1162646975"</f>
        <v>FES1162646975</v>
      </c>
      <c r="D1490" s="10" t="s">
        <v>19</v>
      </c>
      <c r="E1490" s="10" t="s">
        <v>196</v>
      </c>
      <c r="F1490" s="10" t="str">
        <f>"2170649063 "</f>
        <v xml:space="preserve">2170649063 </v>
      </c>
      <c r="G1490" s="10" t="str">
        <f t="shared" si="38"/>
        <v>ON1</v>
      </c>
      <c r="H1490" s="10" t="s">
        <v>21</v>
      </c>
      <c r="I1490" s="10" t="s">
        <v>197</v>
      </c>
      <c r="J1490" s="10" t="str">
        <f>""</f>
        <v/>
      </c>
      <c r="K1490" s="10" t="str">
        <f>"PFES1162646975_0001"</f>
        <v>PFES1162646975_0001</v>
      </c>
      <c r="L1490" s="10">
        <v>1</v>
      </c>
      <c r="M1490" s="10">
        <v>1</v>
      </c>
    </row>
    <row r="1491" spans="1:13">
      <c r="A1491" s="8">
        <v>43355</v>
      </c>
      <c r="B1491" s="9">
        <v>0.66319444444444442</v>
      </c>
      <c r="C1491" s="10" t="str">
        <f>"FES1162646978"</f>
        <v>FES1162646978</v>
      </c>
      <c r="D1491" s="10" t="s">
        <v>19</v>
      </c>
      <c r="E1491" s="10" t="s">
        <v>580</v>
      </c>
      <c r="F1491" s="10" t="str">
        <f>"2170615631 "</f>
        <v xml:space="preserve">2170615631 </v>
      </c>
      <c r="G1491" s="10" t="str">
        <f t="shared" si="38"/>
        <v>ON1</v>
      </c>
      <c r="H1491" s="10" t="s">
        <v>21</v>
      </c>
      <c r="I1491" s="10" t="s">
        <v>581</v>
      </c>
      <c r="J1491" s="10" t="str">
        <f>""</f>
        <v/>
      </c>
      <c r="K1491" s="10" t="str">
        <f>"PFES1162646978_0001"</f>
        <v>PFES1162646978_0001</v>
      </c>
      <c r="L1491" s="10">
        <v>1</v>
      </c>
      <c r="M1491" s="10">
        <v>1</v>
      </c>
    </row>
    <row r="1492" spans="1:13">
      <c r="A1492" s="8">
        <v>43355</v>
      </c>
      <c r="B1492" s="9">
        <v>0.66249999999999998</v>
      </c>
      <c r="C1492" s="10" t="str">
        <f>"FES1162646979"</f>
        <v>FES1162646979</v>
      </c>
      <c r="D1492" s="10" t="s">
        <v>19</v>
      </c>
      <c r="E1492" s="10" t="s">
        <v>580</v>
      </c>
      <c r="F1492" s="10" t="str">
        <f>"2170654632 "</f>
        <v xml:space="preserve">2170654632 </v>
      </c>
      <c r="G1492" s="10" t="str">
        <f t="shared" si="38"/>
        <v>ON1</v>
      </c>
      <c r="H1492" s="10" t="s">
        <v>21</v>
      </c>
      <c r="I1492" s="10" t="s">
        <v>581</v>
      </c>
      <c r="J1492" s="10" t="str">
        <f>""</f>
        <v/>
      </c>
      <c r="K1492" s="10" t="str">
        <f>"PFES1162646979_0001"</f>
        <v>PFES1162646979_0001</v>
      </c>
      <c r="L1492" s="10">
        <v>1</v>
      </c>
      <c r="M1492" s="10">
        <v>1</v>
      </c>
    </row>
    <row r="1493" spans="1:13">
      <c r="A1493" s="8">
        <v>43355</v>
      </c>
      <c r="B1493" s="9">
        <v>0.65833333333333333</v>
      </c>
      <c r="C1493" s="10" t="str">
        <f>"FES1162646562"</f>
        <v>FES1162646562</v>
      </c>
      <c r="D1493" s="10" t="s">
        <v>19</v>
      </c>
      <c r="E1493" s="10" t="s">
        <v>801</v>
      </c>
      <c r="F1493" s="10" t="str">
        <f>"2170647184 "</f>
        <v xml:space="preserve">2170647184 </v>
      </c>
      <c r="G1493" s="10" t="str">
        <f t="shared" si="38"/>
        <v>ON1</v>
      </c>
      <c r="H1493" s="10" t="s">
        <v>21</v>
      </c>
      <c r="I1493" s="10" t="s">
        <v>76</v>
      </c>
      <c r="J1493" s="10" t="str">
        <f>""</f>
        <v/>
      </c>
      <c r="K1493" s="10" t="str">
        <f>"PFES1162646562_0001"</f>
        <v>PFES1162646562_0001</v>
      </c>
      <c r="L1493" s="10">
        <v>1</v>
      </c>
      <c r="M1493" s="10">
        <v>3</v>
      </c>
    </row>
    <row r="1494" spans="1:13">
      <c r="A1494" s="8">
        <v>43355</v>
      </c>
      <c r="B1494" s="9">
        <v>0.65694444444444444</v>
      </c>
      <c r="C1494" s="10" t="str">
        <f>"FES1162646934"</f>
        <v>FES1162646934</v>
      </c>
      <c r="D1494" s="10" t="s">
        <v>19</v>
      </c>
      <c r="E1494" s="10" t="s">
        <v>141</v>
      </c>
      <c r="F1494" s="10" t="str">
        <f>"2170651591 "</f>
        <v xml:space="preserve">2170651591 </v>
      </c>
      <c r="G1494" s="10" t="str">
        <f t="shared" si="38"/>
        <v>ON1</v>
      </c>
      <c r="H1494" s="10" t="s">
        <v>21</v>
      </c>
      <c r="I1494" s="10" t="s">
        <v>91</v>
      </c>
      <c r="J1494" s="10" t="str">
        <f>""</f>
        <v/>
      </c>
      <c r="K1494" s="10" t="str">
        <f>"PFES1162646934_0001"</f>
        <v>PFES1162646934_0001</v>
      </c>
      <c r="L1494" s="10">
        <v>1</v>
      </c>
      <c r="M1494" s="10">
        <v>2</v>
      </c>
    </row>
    <row r="1495" spans="1:13">
      <c r="A1495" s="8">
        <v>43355</v>
      </c>
      <c r="B1495" s="9">
        <v>0.65555555555555556</v>
      </c>
      <c r="C1495" s="10" t="str">
        <f>"FES1162646898"</f>
        <v>FES1162646898</v>
      </c>
      <c r="D1495" s="10" t="s">
        <v>19</v>
      </c>
      <c r="E1495" s="10" t="s">
        <v>27</v>
      </c>
      <c r="F1495" s="10" t="str">
        <f>"2170651553 "</f>
        <v xml:space="preserve">2170651553 </v>
      </c>
      <c r="G1495" s="10" t="str">
        <f t="shared" si="38"/>
        <v>ON1</v>
      </c>
      <c r="H1495" s="10" t="s">
        <v>21</v>
      </c>
      <c r="I1495" s="10" t="s">
        <v>28</v>
      </c>
      <c r="J1495" s="10" t="str">
        <f>""</f>
        <v/>
      </c>
      <c r="K1495" s="10" t="str">
        <f>"PFES1162646898_0001"</f>
        <v>PFES1162646898_0001</v>
      </c>
      <c r="L1495" s="10">
        <v>1</v>
      </c>
      <c r="M1495" s="10">
        <v>6</v>
      </c>
    </row>
    <row r="1496" spans="1:13">
      <c r="A1496" s="8">
        <v>43355</v>
      </c>
      <c r="B1496" s="9">
        <v>0.65486111111111112</v>
      </c>
      <c r="C1496" s="10" t="str">
        <f>"FES1162646935"</f>
        <v>FES1162646935</v>
      </c>
      <c r="D1496" s="10" t="s">
        <v>19</v>
      </c>
      <c r="E1496" s="10" t="s">
        <v>141</v>
      </c>
      <c r="F1496" s="10" t="str">
        <f>"2170651592 "</f>
        <v xml:space="preserve">2170651592 </v>
      </c>
      <c r="G1496" s="10" t="str">
        <f t="shared" si="38"/>
        <v>ON1</v>
      </c>
      <c r="H1496" s="10" t="s">
        <v>21</v>
      </c>
      <c r="I1496" s="10" t="s">
        <v>91</v>
      </c>
      <c r="J1496" s="10" t="str">
        <f>""</f>
        <v/>
      </c>
      <c r="K1496" s="10" t="str">
        <f>"PFES1162646935_0001"</f>
        <v>PFES1162646935_0001</v>
      </c>
      <c r="L1496" s="10">
        <v>1</v>
      </c>
      <c r="M1496" s="10">
        <v>1</v>
      </c>
    </row>
    <row r="1497" spans="1:13">
      <c r="A1497" s="8">
        <v>43355</v>
      </c>
      <c r="B1497" s="9">
        <v>0.65416666666666667</v>
      </c>
      <c r="C1497" s="10" t="str">
        <f>"FES1162646795"</f>
        <v>FES1162646795</v>
      </c>
      <c r="D1497" s="10" t="s">
        <v>19</v>
      </c>
      <c r="E1497" s="10" t="s">
        <v>127</v>
      </c>
      <c r="F1497" s="10" t="str">
        <f>"2170651453 "</f>
        <v xml:space="preserve">2170651453 </v>
      </c>
      <c r="G1497" s="10" t="str">
        <f t="shared" si="38"/>
        <v>ON1</v>
      </c>
      <c r="H1497" s="10" t="s">
        <v>21</v>
      </c>
      <c r="I1497" s="10" t="s">
        <v>128</v>
      </c>
      <c r="J1497" s="10" t="str">
        <f>""</f>
        <v/>
      </c>
      <c r="K1497" s="10" t="str">
        <f>"PFES1162646795_0001"</f>
        <v>PFES1162646795_0001</v>
      </c>
      <c r="L1497" s="10">
        <v>1</v>
      </c>
      <c r="M1497" s="10">
        <v>6</v>
      </c>
    </row>
    <row r="1498" spans="1:13">
      <c r="A1498" s="8">
        <v>43355</v>
      </c>
      <c r="B1498" s="9">
        <v>0.65277777777777779</v>
      </c>
      <c r="C1498" s="10" t="str">
        <f>"FES1162646558"</f>
        <v>FES1162646558</v>
      </c>
      <c r="D1498" s="10" t="s">
        <v>19</v>
      </c>
      <c r="E1498" s="10" t="s">
        <v>802</v>
      </c>
      <c r="F1498" s="10" t="str">
        <f>"2170646497 "</f>
        <v xml:space="preserve">2170646497 </v>
      </c>
      <c r="G1498" s="10" t="str">
        <f t="shared" si="38"/>
        <v>ON1</v>
      </c>
      <c r="H1498" s="10" t="s">
        <v>21</v>
      </c>
      <c r="I1498" s="10" t="s">
        <v>246</v>
      </c>
      <c r="J1498" s="10" t="str">
        <f>""</f>
        <v/>
      </c>
      <c r="K1498" s="10" t="str">
        <f>"PFES1162646558_0001"</f>
        <v>PFES1162646558_0001</v>
      </c>
      <c r="L1498" s="10">
        <v>1</v>
      </c>
      <c r="M1498" s="10">
        <v>9</v>
      </c>
    </row>
    <row r="1499" spans="1:13">
      <c r="A1499" s="8">
        <v>43355</v>
      </c>
      <c r="B1499" s="9">
        <v>0.65208333333333335</v>
      </c>
      <c r="C1499" s="10" t="str">
        <f>"FES1162646916"</f>
        <v>FES1162646916</v>
      </c>
      <c r="D1499" s="10" t="s">
        <v>19</v>
      </c>
      <c r="E1499" s="10" t="s">
        <v>398</v>
      </c>
      <c r="F1499" s="10" t="str">
        <f>"2170651575 "</f>
        <v xml:space="preserve">2170651575 </v>
      </c>
      <c r="G1499" s="10" t="str">
        <f t="shared" si="38"/>
        <v>ON1</v>
      </c>
      <c r="H1499" s="10" t="s">
        <v>21</v>
      </c>
      <c r="I1499" s="10" t="s">
        <v>89</v>
      </c>
      <c r="J1499" s="10" t="str">
        <f>""</f>
        <v/>
      </c>
      <c r="K1499" s="10" t="str">
        <f>"PFES1162646916_0001"</f>
        <v>PFES1162646916_0001</v>
      </c>
      <c r="L1499" s="10">
        <v>1</v>
      </c>
      <c r="M1499" s="10">
        <v>5</v>
      </c>
    </row>
    <row r="1500" spans="1:13">
      <c r="A1500" s="8">
        <v>43355</v>
      </c>
      <c r="B1500" s="9">
        <v>0.65069444444444446</v>
      </c>
      <c r="C1500" s="10" t="str">
        <f>"FES1162646924"</f>
        <v>FES1162646924</v>
      </c>
      <c r="D1500" s="10" t="s">
        <v>19</v>
      </c>
      <c r="E1500" s="10" t="s">
        <v>132</v>
      </c>
      <c r="F1500" s="10" t="str">
        <f>"2170651578 "</f>
        <v xml:space="preserve">2170651578 </v>
      </c>
      <c r="G1500" s="10" t="str">
        <f t="shared" si="38"/>
        <v>ON1</v>
      </c>
      <c r="H1500" s="10" t="s">
        <v>21</v>
      </c>
      <c r="I1500" s="10" t="s">
        <v>133</v>
      </c>
      <c r="J1500" s="10" t="str">
        <f>""</f>
        <v/>
      </c>
      <c r="K1500" s="10" t="str">
        <f>"PFES1162646924_0001"</f>
        <v>PFES1162646924_0001</v>
      </c>
      <c r="L1500" s="10">
        <v>1</v>
      </c>
      <c r="M1500" s="10">
        <v>2</v>
      </c>
    </row>
    <row r="1501" spans="1:13">
      <c r="A1501" s="8">
        <v>43355</v>
      </c>
      <c r="B1501" s="9">
        <v>0.64930555555555558</v>
      </c>
      <c r="C1501" s="10" t="str">
        <f>"FES1162646936"</f>
        <v>FES1162646936</v>
      </c>
      <c r="D1501" s="10" t="s">
        <v>19</v>
      </c>
      <c r="E1501" s="10" t="s">
        <v>511</v>
      </c>
      <c r="F1501" s="10" t="str">
        <f>"2170651594 "</f>
        <v xml:space="preserve">2170651594 </v>
      </c>
      <c r="G1501" s="10" t="str">
        <f t="shared" si="38"/>
        <v>ON1</v>
      </c>
      <c r="H1501" s="10" t="s">
        <v>21</v>
      </c>
      <c r="I1501" s="10" t="s">
        <v>319</v>
      </c>
      <c r="J1501" s="10" t="str">
        <f>""</f>
        <v/>
      </c>
      <c r="K1501" s="10" t="str">
        <f>"PFES1162646936_0001"</f>
        <v>PFES1162646936_0001</v>
      </c>
      <c r="L1501" s="10">
        <v>1</v>
      </c>
      <c r="M1501" s="10">
        <v>3</v>
      </c>
    </row>
    <row r="1502" spans="1:13">
      <c r="A1502" s="8">
        <v>43355</v>
      </c>
      <c r="B1502" s="9">
        <v>0.64861111111111114</v>
      </c>
      <c r="C1502" s="10" t="str">
        <f>"FES1162646884"</f>
        <v>FES1162646884</v>
      </c>
      <c r="D1502" s="10" t="s">
        <v>19</v>
      </c>
      <c r="E1502" s="10" t="s">
        <v>803</v>
      </c>
      <c r="F1502" s="10" t="str">
        <f>"2170627599 "</f>
        <v xml:space="preserve">2170627599 </v>
      </c>
      <c r="G1502" s="10" t="str">
        <f t="shared" si="38"/>
        <v>ON1</v>
      </c>
      <c r="H1502" s="10" t="s">
        <v>21</v>
      </c>
      <c r="I1502" s="10" t="s">
        <v>290</v>
      </c>
      <c r="J1502" s="10" t="str">
        <f>""</f>
        <v/>
      </c>
      <c r="K1502" s="10" t="str">
        <f>"PFES1162646884_0001"</f>
        <v>PFES1162646884_0001</v>
      </c>
      <c r="L1502" s="10">
        <v>1</v>
      </c>
      <c r="M1502" s="10">
        <v>4</v>
      </c>
    </row>
    <row r="1503" spans="1:13">
      <c r="A1503" s="8">
        <v>43355</v>
      </c>
      <c r="B1503" s="9">
        <v>0.6479166666666667</v>
      </c>
      <c r="C1503" s="10" t="str">
        <f>"FES1162646891"</f>
        <v>FES1162646891</v>
      </c>
      <c r="D1503" s="10" t="s">
        <v>19</v>
      </c>
      <c r="E1503" s="10" t="s">
        <v>39</v>
      </c>
      <c r="F1503" s="10" t="str">
        <f>"2170649548 "</f>
        <v xml:space="preserve">2170649548 </v>
      </c>
      <c r="G1503" s="10" t="str">
        <f t="shared" si="38"/>
        <v>ON1</v>
      </c>
      <c r="H1503" s="10" t="s">
        <v>21</v>
      </c>
      <c r="I1503" s="10" t="s">
        <v>40</v>
      </c>
      <c r="J1503" s="10" t="str">
        <f>""</f>
        <v/>
      </c>
      <c r="K1503" s="10" t="str">
        <f>"PFES1162646891_0001"</f>
        <v>PFES1162646891_0001</v>
      </c>
      <c r="L1503" s="10">
        <v>1</v>
      </c>
      <c r="M1503" s="10">
        <v>1</v>
      </c>
    </row>
    <row r="1504" spans="1:13">
      <c r="A1504" s="8">
        <v>43355</v>
      </c>
      <c r="B1504" s="9">
        <v>0.64722222222222225</v>
      </c>
      <c r="C1504" s="10" t="str">
        <f>"FES1162646948"</f>
        <v>FES1162646948</v>
      </c>
      <c r="D1504" s="10" t="s">
        <v>19</v>
      </c>
      <c r="E1504" s="10" t="s">
        <v>137</v>
      </c>
      <c r="F1504" s="10" t="str">
        <f>"2170651607 "</f>
        <v xml:space="preserve">2170651607 </v>
      </c>
      <c r="G1504" s="10" t="str">
        <f t="shared" si="38"/>
        <v>ON1</v>
      </c>
      <c r="H1504" s="10" t="s">
        <v>21</v>
      </c>
      <c r="I1504" s="10" t="s">
        <v>138</v>
      </c>
      <c r="J1504" s="10" t="str">
        <f>""</f>
        <v/>
      </c>
      <c r="K1504" s="10" t="str">
        <f>"PFES1162646948_0001"</f>
        <v>PFES1162646948_0001</v>
      </c>
      <c r="L1504" s="10">
        <v>1</v>
      </c>
      <c r="M1504" s="10">
        <v>1</v>
      </c>
    </row>
    <row r="1505" spans="1:13">
      <c r="A1505" s="8">
        <v>43355</v>
      </c>
      <c r="B1505" s="9">
        <v>0.64722222222222225</v>
      </c>
      <c r="C1505" s="10" t="str">
        <f>"FES1162646757"</f>
        <v>FES1162646757</v>
      </c>
      <c r="D1505" s="10" t="s">
        <v>19</v>
      </c>
      <c r="E1505" s="10" t="s">
        <v>804</v>
      </c>
      <c r="F1505" s="10" t="str">
        <f>"2170648011 "</f>
        <v xml:space="preserve">2170648011 </v>
      </c>
      <c r="G1505" s="10" t="str">
        <f t="shared" si="38"/>
        <v>ON1</v>
      </c>
      <c r="H1505" s="10" t="s">
        <v>21</v>
      </c>
      <c r="I1505" s="10" t="s">
        <v>805</v>
      </c>
      <c r="J1505" s="10" t="str">
        <f>""</f>
        <v/>
      </c>
      <c r="K1505" s="10" t="str">
        <f>"PFES1162646757_0001"</f>
        <v>PFES1162646757_0001</v>
      </c>
      <c r="L1505" s="10">
        <v>1</v>
      </c>
      <c r="M1505" s="10">
        <v>2</v>
      </c>
    </row>
    <row r="1506" spans="1:13">
      <c r="A1506" s="8">
        <v>43355</v>
      </c>
      <c r="B1506" s="9">
        <v>0.64722222222222225</v>
      </c>
      <c r="C1506" s="10" t="str">
        <f>"FES1162646958"</f>
        <v>FES1162646958</v>
      </c>
      <c r="D1506" s="10" t="s">
        <v>19</v>
      </c>
      <c r="E1506" s="10" t="s">
        <v>75</v>
      </c>
      <c r="F1506" s="10" t="str">
        <f>"2170651618 "</f>
        <v xml:space="preserve">2170651618 </v>
      </c>
      <c r="G1506" s="10" t="str">
        <f t="shared" si="38"/>
        <v>ON1</v>
      </c>
      <c r="H1506" s="10" t="s">
        <v>21</v>
      </c>
      <c r="I1506" s="10" t="s">
        <v>591</v>
      </c>
      <c r="J1506" s="10" t="str">
        <f>""</f>
        <v/>
      </c>
      <c r="K1506" s="10" t="str">
        <f>"PFES1162646958_0001"</f>
        <v>PFES1162646958_0001</v>
      </c>
      <c r="L1506" s="10">
        <v>1</v>
      </c>
      <c r="M1506" s="10">
        <v>1</v>
      </c>
    </row>
    <row r="1507" spans="1:13">
      <c r="A1507" s="8">
        <v>43355</v>
      </c>
      <c r="B1507" s="9">
        <v>0.64722222222222225</v>
      </c>
      <c r="C1507" s="10" t="str">
        <f>"FES1162646779"</f>
        <v>FES1162646779</v>
      </c>
      <c r="D1507" s="10" t="s">
        <v>19</v>
      </c>
      <c r="E1507" s="10" t="s">
        <v>654</v>
      </c>
      <c r="F1507" s="10" t="str">
        <f>"2170651424 "</f>
        <v xml:space="preserve">2170651424 </v>
      </c>
      <c r="G1507" s="10" t="str">
        <f t="shared" si="38"/>
        <v>ON1</v>
      </c>
      <c r="H1507" s="10" t="s">
        <v>21</v>
      </c>
      <c r="I1507" s="10" t="s">
        <v>655</v>
      </c>
      <c r="J1507" s="10" t="str">
        <f>""</f>
        <v/>
      </c>
      <c r="K1507" s="10" t="str">
        <f>"PFES1162646779_0001"</f>
        <v>PFES1162646779_0001</v>
      </c>
      <c r="L1507" s="10">
        <v>1</v>
      </c>
      <c r="M1507" s="10">
        <v>1</v>
      </c>
    </row>
    <row r="1508" spans="1:13">
      <c r="A1508" s="8">
        <v>43355</v>
      </c>
      <c r="B1508" s="9">
        <v>0.64652777777777781</v>
      </c>
      <c r="C1508" s="10" t="str">
        <f>"FES1162646832"</f>
        <v>FES1162646832</v>
      </c>
      <c r="D1508" s="10" t="s">
        <v>19</v>
      </c>
      <c r="E1508" s="10" t="s">
        <v>615</v>
      </c>
      <c r="F1508" s="10" t="str">
        <f>"2170651485 "</f>
        <v xml:space="preserve">2170651485 </v>
      </c>
      <c r="G1508" s="10" t="str">
        <f t="shared" si="38"/>
        <v>ON1</v>
      </c>
      <c r="H1508" s="10" t="s">
        <v>21</v>
      </c>
      <c r="I1508" s="10" t="s">
        <v>57</v>
      </c>
      <c r="J1508" s="10" t="str">
        <f>""</f>
        <v/>
      </c>
      <c r="K1508" s="10" t="str">
        <f>"PFES1162646832_0001"</f>
        <v>PFES1162646832_0001</v>
      </c>
      <c r="L1508" s="10">
        <v>1</v>
      </c>
      <c r="M1508" s="10">
        <v>1</v>
      </c>
    </row>
    <row r="1509" spans="1:13">
      <c r="A1509" s="8">
        <v>43355</v>
      </c>
      <c r="B1509" s="9">
        <v>0.64583333333333337</v>
      </c>
      <c r="C1509" s="10" t="str">
        <f>"FES1162646776"</f>
        <v>FES1162646776</v>
      </c>
      <c r="D1509" s="10" t="s">
        <v>19</v>
      </c>
      <c r="E1509" s="10" t="s">
        <v>570</v>
      </c>
      <c r="F1509" s="10" t="str">
        <f>"2170651051 "</f>
        <v xml:space="preserve">2170651051 </v>
      </c>
      <c r="G1509" s="10" t="str">
        <f t="shared" si="38"/>
        <v>ON1</v>
      </c>
      <c r="H1509" s="10" t="s">
        <v>21</v>
      </c>
      <c r="I1509" s="10" t="s">
        <v>571</v>
      </c>
      <c r="J1509" s="10" t="str">
        <f>""</f>
        <v/>
      </c>
      <c r="K1509" s="10" t="str">
        <f>"PFES1162646776_0001"</f>
        <v>PFES1162646776_0001</v>
      </c>
      <c r="L1509" s="10">
        <v>1</v>
      </c>
      <c r="M1509" s="10">
        <v>1</v>
      </c>
    </row>
    <row r="1510" spans="1:13">
      <c r="A1510" s="8">
        <v>43355</v>
      </c>
      <c r="B1510" s="9">
        <v>0.64583333333333337</v>
      </c>
      <c r="C1510" s="10" t="str">
        <f>"FES1162646897"</f>
        <v>FES1162646897</v>
      </c>
      <c r="D1510" s="10" t="s">
        <v>19</v>
      </c>
      <c r="E1510" s="10" t="s">
        <v>347</v>
      </c>
      <c r="F1510" s="10" t="str">
        <f>"2170651552 "</f>
        <v xml:space="preserve">2170651552 </v>
      </c>
      <c r="G1510" s="10" t="str">
        <f t="shared" si="38"/>
        <v>ON1</v>
      </c>
      <c r="H1510" s="10" t="s">
        <v>21</v>
      </c>
      <c r="I1510" s="10" t="s">
        <v>348</v>
      </c>
      <c r="J1510" s="10" t="str">
        <f>""</f>
        <v/>
      </c>
      <c r="K1510" s="10" t="str">
        <f>"PFES1162646897_0001"</f>
        <v>PFES1162646897_0001</v>
      </c>
      <c r="L1510" s="10">
        <v>1</v>
      </c>
      <c r="M1510" s="10">
        <v>1</v>
      </c>
    </row>
    <row r="1511" spans="1:13">
      <c r="A1511" s="8">
        <v>43355</v>
      </c>
      <c r="B1511" s="9">
        <v>0.64583333333333337</v>
      </c>
      <c r="C1511" s="10" t="str">
        <f>"FES1162646896"</f>
        <v>FES1162646896</v>
      </c>
      <c r="D1511" s="10" t="s">
        <v>19</v>
      </c>
      <c r="E1511" s="10" t="s">
        <v>347</v>
      </c>
      <c r="F1511" s="10" t="str">
        <f>"2170651551 "</f>
        <v xml:space="preserve">2170651551 </v>
      </c>
      <c r="G1511" s="10" t="str">
        <f t="shared" si="38"/>
        <v>ON1</v>
      </c>
      <c r="H1511" s="10" t="s">
        <v>21</v>
      </c>
      <c r="I1511" s="10" t="s">
        <v>348</v>
      </c>
      <c r="J1511" s="10" t="str">
        <f>""</f>
        <v/>
      </c>
      <c r="K1511" s="10" t="str">
        <f>"PFES1162646896_0001"</f>
        <v>PFES1162646896_0001</v>
      </c>
      <c r="L1511" s="10">
        <v>1</v>
      </c>
      <c r="M1511" s="10">
        <v>1</v>
      </c>
    </row>
    <row r="1512" spans="1:13">
      <c r="A1512" s="8">
        <v>43355</v>
      </c>
      <c r="B1512" s="9">
        <v>0.64513888888888882</v>
      </c>
      <c r="C1512" s="10" t="str">
        <f>"FES1162646933"</f>
        <v>FES1162646933</v>
      </c>
      <c r="D1512" s="10" t="s">
        <v>19</v>
      </c>
      <c r="E1512" s="10" t="s">
        <v>90</v>
      </c>
      <c r="F1512" s="10" t="str">
        <f>"2170651950 "</f>
        <v xml:space="preserve">2170651950 </v>
      </c>
      <c r="G1512" s="10" t="str">
        <f t="shared" si="38"/>
        <v>ON1</v>
      </c>
      <c r="H1512" s="10" t="s">
        <v>21</v>
      </c>
      <c r="I1512" s="10" t="s">
        <v>91</v>
      </c>
      <c r="J1512" s="10" t="str">
        <f>""</f>
        <v/>
      </c>
      <c r="K1512" s="10" t="str">
        <f>"PFES1162646933_0001"</f>
        <v>PFES1162646933_0001</v>
      </c>
      <c r="L1512" s="10">
        <v>1</v>
      </c>
      <c r="M1512" s="10">
        <v>1</v>
      </c>
    </row>
    <row r="1513" spans="1:13">
      <c r="A1513" s="8">
        <v>43355</v>
      </c>
      <c r="B1513" s="9">
        <v>0.64444444444444449</v>
      </c>
      <c r="C1513" s="10" t="str">
        <f>"FES1162646911"</f>
        <v>FES1162646911</v>
      </c>
      <c r="D1513" s="10" t="s">
        <v>19</v>
      </c>
      <c r="E1513" s="10" t="s">
        <v>511</v>
      </c>
      <c r="F1513" s="10" t="str">
        <f>"2170651567 "</f>
        <v xml:space="preserve">2170651567 </v>
      </c>
      <c r="G1513" s="10" t="str">
        <f t="shared" si="38"/>
        <v>ON1</v>
      </c>
      <c r="H1513" s="10" t="s">
        <v>21</v>
      </c>
      <c r="I1513" s="10" t="s">
        <v>319</v>
      </c>
      <c r="J1513" s="10" t="str">
        <f>""</f>
        <v/>
      </c>
      <c r="K1513" s="10" t="str">
        <f>"PFES1162646911_0001"</f>
        <v>PFES1162646911_0001</v>
      </c>
      <c r="L1513" s="10">
        <v>1</v>
      </c>
      <c r="M1513" s="10">
        <v>1</v>
      </c>
    </row>
    <row r="1514" spans="1:13">
      <c r="A1514" s="8">
        <v>43355</v>
      </c>
      <c r="B1514" s="9">
        <v>0.64444444444444449</v>
      </c>
      <c r="C1514" s="10" t="str">
        <f>"FES1162646920"</f>
        <v>FES1162646920</v>
      </c>
      <c r="D1514" s="10" t="s">
        <v>19</v>
      </c>
      <c r="E1514" s="10" t="s">
        <v>642</v>
      </c>
      <c r="F1514" s="10" t="str">
        <f>"2170648093 "</f>
        <v xml:space="preserve">2170648093 </v>
      </c>
      <c r="G1514" s="10" t="str">
        <f t="shared" si="38"/>
        <v>ON1</v>
      </c>
      <c r="H1514" s="10" t="s">
        <v>21</v>
      </c>
      <c r="I1514" s="10" t="s">
        <v>171</v>
      </c>
      <c r="J1514" s="10" t="str">
        <f>""</f>
        <v/>
      </c>
      <c r="K1514" s="10" t="str">
        <f>"PFES1162646920_0001"</f>
        <v>PFES1162646920_0001</v>
      </c>
      <c r="L1514" s="10">
        <v>1</v>
      </c>
      <c r="M1514" s="10">
        <v>5</v>
      </c>
    </row>
    <row r="1515" spans="1:13">
      <c r="A1515" s="8">
        <v>43355</v>
      </c>
      <c r="B1515" s="9">
        <v>0.64374999999999993</v>
      </c>
      <c r="C1515" s="10" t="str">
        <f>"FES1162646932"</f>
        <v>FES1162646932</v>
      </c>
      <c r="D1515" s="10" t="s">
        <v>19</v>
      </c>
      <c r="E1515" s="10" t="s">
        <v>90</v>
      </c>
      <c r="F1515" s="10" t="str">
        <f>"2170651589 "</f>
        <v xml:space="preserve">2170651589 </v>
      </c>
      <c r="G1515" s="10" t="str">
        <f t="shared" si="38"/>
        <v>ON1</v>
      </c>
      <c r="H1515" s="10" t="s">
        <v>21</v>
      </c>
      <c r="I1515" s="10" t="s">
        <v>91</v>
      </c>
      <c r="J1515" s="10" t="str">
        <f>""</f>
        <v/>
      </c>
      <c r="K1515" s="10" t="str">
        <f>"PFES1162646932_0001"</f>
        <v>PFES1162646932_0001</v>
      </c>
      <c r="L1515" s="10">
        <v>1</v>
      </c>
      <c r="M1515" s="10">
        <v>1</v>
      </c>
    </row>
    <row r="1516" spans="1:13">
      <c r="A1516" s="8">
        <v>43355</v>
      </c>
      <c r="B1516" s="9">
        <v>0.6430555555555556</v>
      </c>
      <c r="C1516" s="10" t="str">
        <f>"FES1162646957"</f>
        <v>FES1162646957</v>
      </c>
      <c r="D1516" s="10" t="s">
        <v>19</v>
      </c>
      <c r="E1516" s="10" t="s">
        <v>281</v>
      </c>
      <c r="F1516" s="10" t="str">
        <f>"217061617 "</f>
        <v xml:space="preserve">217061617 </v>
      </c>
      <c r="G1516" s="10" t="str">
        <f t="shared" si="38"/>
        <v>ON1</v>
      </c>
      <c r="H1516" s="10" t="s">
        <v>21</v>
      </c>
      <c r="I1516" s="10" t="s">
        <v>282</v>
      </c>
      <c r="J1516" s="10" t="str">
        <f>""</f>
        <v/>
      </c>
      <c r="K1516" s="10" t="str">
        <f>"PFES1162646957_0001"</f>
        <v>PFES1162646957_0001</v>
      </c>
      <c r="L1516" s="10">
        <v>1</v>
      </c>
      <c r="M1516" s="10">
        <v>1</v>
      </c>
    </row>
    <row r="1517" spans="1:13">
      <c r="A1517" s="8">
        <v>43355</v>
      </c>
      <c r="B1517" s="9">
        <v>0.6430555555555556</v>
      </c>
      <c r="C1517" s="10" t="str">
        <f>"FES1162646942"</f>
        <v>FES1162646942</v>
      </c>
      <c r="D1517" s="10" t="s">
        <v>19</v>
      </c>
      <c r="E1517" s="10" t="s">
        <v>352</v>
      </c>
      <c r="F1517" s="10" t="str">
        <f>"2170651602 "</f>
        <v xml:space="preserve">2170651602 </v>
      </c>
      <c r="G1517" s="10" t="str">
        <f t="shared" si="38"/>
        <v>ON1</v>
      </c>
      <c r="H1517" s="10" t="s">
        <v>21</v>
      </c>
      <c r="I1517" s="10" t="s">
        <v>147</v>
      </c>
      <c r="J1517" s="10" t="str">
        <f>""</f>
        <v/>
      </c>
      <c r="K1517" s="10" t="str">
        <f>"PFES1162646942_0001"</f>
        <v>PFES1162646942_0001</v>
      </c>
      <c r="L1517" s="10">
        <v>1</v>
      </c>
      <c r="M1517" s="10">
        <v>1</v>
      </c>
    </row>
    <row r="1518" spans="1:13">
      <c r="A1518" s="8">
        <v>43355</v>
      </c>
      <c r="B1518" s="9">
        <v>0.64236111111111105</v>
      </c>
      <c r="C1518" s="10" t="str">
        <f>"FES1162646946"</f>
        <v>FES1162646946</v>
      </c>
      <c r="D1518" s="10" t="s">
        <v>19</v>
      </c>
      <c r="E1518" s="10" t="s">
        <v>806</v>
      </c>
      <c r="F1518" s="10" t="str">
        <f>"2170651392 "</f>
        <v xml:space="preserve">2170651392 </v>
      </c>
      <c r="G1518" s="10" t="str">
        <f t="shared" si="38"/>
        <v>ON1</v>
      </c>
      <c r="H1518" s="10" t="s">
        <v>21</v>
      </c>
      <c r="I1518" s="10" t="s">
        <v>290</v>
      </c>
      <c r="J1518" s="10" t="str">
        <f>""</f>
        <v/>
      </c>
      <c r="K1518" s="10" t="str">
        <f>"PFES1162646946_0001"</f>
        <v>PFES1162646946_0001</v>
      </c>
      <c r="L1518" s="10">
        <v>1</v>
      </c>
      <c r="M1518" s="10">
        <v>5</v>
      </c>
    </row>
    <row r="1519" spans="1:13">
      <c r="A1519" s="8">
        <v>43355</v>
      </c>
      <c r="B1519" s="9">
        <v>0.64236111111111105</v>
      </c>
      <c r="C1519" s="10" t="str">
        <f>"FES1162646899"</f>
        <v>FES1162646899</v>
      </c>
      <c r="D1519" s="10" t="s">
        <v>19</v>
      </c>
      <c r="E1519" s="10" t="s">
        <v>82</v>
      </c>
      <c r="F1519" s="10" t="str">
        <f>"2170651557 "</f>
        <v xml:space="preserve">2170651557 </v>
      </c>
      <c r="G1519" s="10" t="str">
        <f t="shared" si="38"/>
        <v>ON1</v>
      </c>
      <c r="H1519" s="10" t="s">
        <v>21</v>
      </c>
      <c r="I1519" s="10" t="s">
        <v>83</v>
      </c>
      <c r="J1519" s="10" t="str">
        <f>""</f>
        <v/>
      </c>
      <c r="K1519" s="10" t="str">
        <f>"PFES1162646899_0001"</f>
        <v>PFES1162646899_0001</v>
      </c>
      <c r="L1519" s="10">
        <v>1</v>
      </c>
      <c r="M1519" s="10">
        <v>1</v>
      </c>
    </row>
    <row r="1520" spans="1:13">
      <c r="A1520" s="8">
        <v>43355</v>
      </c>
      <c r="B1520" s="9">
        <v>0.64236111111111105</v>
      </c>
      <c r="C1520" s="10" t="str">
        <f>"FES1162646943"</f>
        <v>FES1162646943</v>
      </c>
      <c r="D1520" s="10" t="s">
        <v>19</v>
      </c>
      <c r="E1520" s="10" t="s">
        <v>371</v>
      </c>
      <c r="F1520" s="10" t="str">
        <f>"2170651604 "</f>
        <v xml:space="preserve">2170651604 </v>
      </c>
      <c r="G1520" s="10" t="str">
        <f t="shared" si="38"/>
        <v>ON1</v>
      </c>
      <c r="H1520" s="10" t="s">
        <v>21</v>
      </c>
      <c r="I1520" s="10" t="s">
        <v>105</v>
      </c>
      <c r="J1520" s="10" t="str">
        <f>""</f>
        <v/>
      </c>
      <c r="K1520" s="10" t="str">
        <f>"PFES1162646943_0001"</f>
        <v>PFES1162646943_0001</v>
      </c>
      <c r="L1520" s="10">
        <v>1</v>
      </c>
      <c r="M1520" s="10">
        <v>1</v>
      </c>
    </row>
    <row r="1521" spans="1:13">
      <c r="A1521" s="8">
        <v>43355</v>
      </c>
      <c r="B1521" s="9">
        <v>0.64166666666666672</v>
      </c>
      <c r="C1521" s="10" t="str">
        <f>"FES1162646656"</f>
        <v>FES1162646656</v>
      </c>
      <c r="D1521" s="10" t="s">
        <v>19</v>
      </c>
      <c r="E1521" s="10" t="s">
        <v>226</v>
      </c>
      <c r="F1521" s="10" t="str">
        <f>"2170649996 "</f>
        <v xml:space="preserve">2170649996 </v>
      </c>
      <c r="G1521" s="10" t="str">
        <f t="shared" si="38"/>
        <v>ON1</v>
      </c>
      <c r="H1521" s="10" t="s">
        <v>21</v>
      </c>
      <c r="I1521" s="10" t="s">
        <v>227</v>
      </c>
      <c r="J1521" s="10" t="str">
        <f>""</f>
        <v/>
      </c>
      <c r="K1521" s="10" t="str">
        <f>"PFES1162646656_0001"</f>
        <v>PFES1162646656_0001</v>
      </c>
      <c r="L1521" s="10">
        <v>1</v>
      </c>
      <c r="M1521" s="10">
        <v>10</v>
      </c>
    </row>
    <row r="1522" spans="1:13">
      <c r="A1522" s="8">
        <v>43355</v>
      </c>
      <c r="B1522" s="9">
        <v>0.64097222222222217</v>
      </c>
      <c r="C1522" s="10" t="str">
        <f>"FES1162646908"</f>
        <v>FES1162646908</v>
      </c>
      <c r="D1522" s="10" t="s">
        <v>19</v>
      </c>
      <c r="E1522" s="10" t="s">
        <v>38</v>
      </c>
      <c r="F1522" s="10" t="str">
        <f>"2170651564 "</f>
        <v xml:space="preserve">2170651564 </v>
      </c>
      <c r="G1522" s="10" t="str">
        <f t="shared" si="38"/>
        <v>ON1</v>
      </c>
      <c r="H1522" s="10" t="s">
        <v>21</v>
      </c>
      <c r="I1522" s="10" t="s">
        <v>26</v>
      </c>
      <c r="J1522" s="10" t="str">
        <f>""</f>
        <v/>
      </c>
      <c r="K1522" s="10" t="str">
        <f>"PFES1162646908_0001"</f>
        <v>PFES1162646908_0001</v>
      </c>
      <c r="L1522" s="10">
        <v>1</v>
      </c>
      <c r="M1522" s="10">
        <v>1</v>
      </c>
    </row>
    <row r="1523" spans="1:13">
      <c r="A1523" s="8">
        <v>43355</v>
      </c>
      <c r="B1523" s="9">
        <v>0.64097222222222217</v>
      </c>
      <c r="C1523" s="10" t="str">
        <f>"FES1162646930"</f>
        <v>FES1162646930</v>
      </c>
      <c r="D1523" s="10" t="s">
        <v>19</v>
      </c>
      <c r="E1523" s="10" t="s">
        <v>27</v>
      </c>
      <c r="F1523" s="10" t="str">
        <f>"2170651586 "</f>
        <v xml:space="preserve">2170651586 </v>
      </c>
      <c r="G1523" s="10" t="str">
        <f t="shared" si="38"/>
        <v>ON1</v>
      </c>
      <c r="H1523" s="10" t="s">
        <v>21</v>
      </c>
      <c r="I1523" s="10" t="s">
        <v>28</v>
      </c>
      <c r="J1523" s="10" t="str">
        <f>""</f>
        <v/>
      </c>
      <c r="K1523" s="10" t="str">
        <f>"PFES1162646930_0001"</f>
        <v>PFES1162646930_0001</v>
      </c>
      <c r="L1523" s="10">
        <v>1</v>
      </c>
      <c r="M1523" s="10">
        <v>1</v>
      </c>
    </row>
    <row r="1524" spans="1:13">
      <c r="A1524" s="8">
        <v>43355</v>
      </c>
      <c r="B1524" s="9">
        <v>0.64027777777777783</v>
      </c>
      <c r="C1524" s="10" t="str">
        <f>"FES1162646960"</f>
        <v>FES1162646960</v>
      </c>
      <c r="D1524" s="10" t="s">
        <v>19</v>
      </c>
      <c r="E1524" s="10" t="s">
        <v>653</v>
      </c>
      <c r="F1524" s="10" t="str">
        <f>"2170651538 "</f>
        <v xml:space="preserve">2170651538 </v>
      </c>
      <c r="G1524" s="10" t="str">
        <f t="shared" si="38"/>
        <v>ON1</v>
      </c>
      <c r="H1524" s="10" t="s">
        <v>21</v>
      </c>
      <c r="I1524" s="10" t="s">
        <v>179</v>
      </c>
      <c r="J1524" s="10" t="str">
        <f>""</f>
        <v/>
      </c>
      <c r="K1524" s="10" t="str">
        <f>"PFES1162646960_0001"</f>
        <v>PFES1162646960_0001</v>
      </c>
      <c r="L1524" s="10">
        <v>1</v>
      </c>
      <c r="M1524" s="10">
        <v>1</v>
      </c>
    </row>
    <row r="1525" spans="1:13">
      <c r="A1525" s="8">
        <v>43355</v>
      </c>
      <c r="B1525" s="9">
        <v>0.64027777777777783</v>
      </c>
      <c r="C1525" s="10" t="str">
        <f>"FES1162646962"</f>
        <v>FES1162646962</v>
      </c>
      <c r="D1525" s="10" t="s">
        <v>19</v>
      </c>
      <c r="E1525" s="10" t="s">
        <v>404</v>
      </c>
      <c r="F1525" s="10" t="str">
        <f>"2170651622 "</f>
        <v xml:space="preserve">2170651622 </v>
      </c>
      <c r="G1525" s="10" t="str">
        <f t="shared" si="38"/>
        <v>ON1</v>
      </c>
      <c r="H1525" s="10" t="s">
        <v>21</v>
      </c>
      <c r="I1525" s="10" t="s">
        <v>405</v>
      </c>
      <c r="J1525" s="10" t="str">
        <f>""</f>
        <v/>
      </c>
      <c r="K1525" s="10" t="str">
        <f>"PFES1162646962_0001"</f>
        <v>PFES1162646962_0001</v>
      </c>
      <c r="L1525" s="10">
        <v>1</v>
      </c>
      <c r="M1525" s="10">
        <v>1</v>
      </c>
    </row>
    <row r="1526" spans="1:13">
      <c r="A1526" s="8">
        <v>43355</v>
      </c>
      <c r="B1526" s="9">
        <v>0.6166666666666667</v>
      </c>
      <c r="C1526" s="10" t="str">
        <f>"FES1162646877"</f>
        <v>FES1162646877</v>
      </c>
      <c r="D1526" s="10" t="s">
        <v>19</v>
      </c>
      <c r="E1526" s="10" t="s">
        <v>498</v>
      </c>
      <c r="F1526" s="10" t="str">
        <f>"2170650667 "</f>
        <v xml:space="preserve">2170650667 </v>
      </c>
      <c r="G1526" s="10" t="str">
        <f t="shared" si="38"/>
        <v>ON1</v>
      </c>
      <c r="H1526" s="10" t="s">
        <v>21</v>
      </c>
      <c r="I1526" s="10" t="s">
        <v>499</v>
      </c>
      <c r="J1526" s="10" t="str">
        <f>""</f>
        <v/>
      </c>
      <c r="K1526" s="10" t="str">
        <f>"PFES1162646877_0001"</f>
        <v>PFES1162646877_0001</v>
      </c>
      <c r="L1526" s="10">
        <v>1</v>
      </c>
      <c r="M1526" s="10">
        <v>15</v>
      </c>
    </row>
    <row r="1527" spans="1:13">
      <c r="A1527" s="8">
        <v>43355</v>
      </c>
      <c r="B1527" s="9">
        <v>0.60833333333333328</v>
      </c>
      <c r="C1527" s="10" t="str">
        <f>"FES1162646886"</f>
        <v>FES1162646886</v>
      </c>
      <c r="D1527" s="10" t="s">
        <v>19</v>
      </c>
      <c r="E1527" s="10" t="s">
        <v>807</v>
      </c>
      <c r="F1527" s="10" t="str">
        <f>"2170647270 "</f>
        <v xml:space="preserve">2170647270 </v>
      </c>
      <c r="G1527" s="10" t="str">
        <f t="shared" si="38"/>
        <v>ON1</v>
      </c>
      <c r="H1527" s="10" t="s">
        <v>21</v>
      </c>
      <c r="I1527" s="10" t="s">
        <v>105</v>
      </c>
      <c r="J1527" s="10" t="str">
        <f>""</f>
        <v/>
      </c>
      <c r="K1527" s="10" t="str">
        <f>"PFES1162646886_0001"</f>
        <v>PFES1162646886_0001</v>
      </c>
      <c r="L1527" s="10">
        <v>1</v>
      </c>
      <c r="M1527" s="10">
        <v>9</v>
      </c>
    </row>
    <row r="1528" spans="1:13">
      <c r="A1528" s="8">
        <v>43355</v>
      </c>
      <c r="B1528" s="9">
        <v>0.60833333333333328</v>
      </c>
      <c r="C1528" s="10" t="str">
        <f>"FES1162646923"</f>
        <v>FES1162646923</v>
      </c>
      <c r="D1528" s="10" t="s">
        <v>19</v>
      </c>
      <c r="E1528" s="10" t="s">
        <v>808</v>
      </c>
      <c r="F1528" s="10" t="str">
        <f>"217.651145 "</f>
        <v xml:space="preserve">217.651145 </v>
      </c>
      <c r="G1528" s="10" t="str">
        <f t="shared" si="38"/>
        <v>ON1</v>
      </c>
      <c r="H1528" s="10" t="s">
        <v>21</v>
      </c>
      <c r="I1528" s="10" t="s">
        <v>696</v>
      </c>
      <c r="J1528" s="10" t="str">
        <f>""</f>
        <v/>
      </c>
      <c r="K1528" s="10" t="str">
        <f>"PFES1162646923_0001"</f>
        <v>PFES1162646923_0001</v>
      </c>
      <c r="L1528" s="10">
        <v>1</v>
      </c>
      <c r="M1528" s="10">
        <v>13</v>
      </c>
    </row>
    <row r="1529" spans="1:13">
      <c r="A1529" s="8">
        <v>43355</v>
      </c>
      <c r="B1529" s="9">
        <v>0.60833333333333328</v>
      </c>
      <c r="C1529" s="10" t="str">
        <f>"FES1162646900"</f>
        <v>FES1162646900</v>
      </c>
      <c r="D1529" s="10" t="s">
        <v>19</v>
      </c>
      <c r="E1529" s="10" t="s">
        <v>809</v>
      </c>
      <c r="F1529" s="10" t="str">
        <f>"2170651559 "</f>
        <v xml:space="preserve">2170651559 </v>
      </c>
      <c r="G1529" s="10" t="str">
        <f t="shared" ref="G1529:G1592" si="39">"ON1"</f>
        <v>ON1</v>
      </c>
      <c r="H1529" s="10" t="s">
        <v>21</v>
      </c>
      <c r="I1529" s="10" t="s">
        <v>810</v>
      </c>
      <c r="J1529" s="10" t="str">
        <f>""</f>
        <v/>
      </c>
      <c r="K1529" s="10" t="str">
        <f>"PFES1162646900_0001"</f>
        <v>PFES1162646900_0001</v>
      </c>
      <c r="L1529" s="10">
        <v>1</v>
      </c>
      <c r="M1529" s="10">
        <v>3</v>
      </c>
    </row>
    <row r="1530" spans="1:13">
      <c r="A1530" s="8">
        <v>43355</v>
      </c>
      <c r="B1530" s="9">
        <v>0.60763888888888895</v>
      </c>
      <c r="C1530" s="10" t="str">
        <f>"FES1162646955"</f>
        <v>FES1162646955</v>
      </c>
      <c r="D1530" s="10" t="s">
        <v>19</v>
      </c>
      <c r="E1530" s="10" t="s">
        <v>357</v>
      </c>
      <c r="F1530" s="10" t="str">
        <f>"2170651615 "</f>
        <v xml:space="preserve">2170651615 </v>
      </c>
      <c r="G1530" s="10" t="str">
        <f t="shared" si="39"/>
        <v>ON1</v>
      </c>
      <c r="H1530" s="10" t="s">
        <v>21</v>
      </c>
      <c r="I1530" s="10" t="s">
        <v>283</v>
      </c>
      <c r="J1530" s="10" t="str">
        <f>""</f>
        <v/>
      </c>
      <c r="K1530" s="10" t="str">
        <f>"PFES1162646955_0001"</f>
        <v>PFES1162646955_0001</v>
      </c>
      <c r="L1530" s="10">
        <v>1</v>
      </c>
      <c r="M1530" s="10">
        <v>3</v>
      </c>
    </row>
    <row r="1531" spans="1:13">
      <c r="A1531" s="8">
        <v>43355</v>
      </c>
      <c r="B1531" s="9">
        <v>0.60763888888888895</v>
      </c>
      <c r="C1531" s="10" t="str">
        <f>"FES1162646885"</f>
        <v>FES1162646885</v>
      </c>
      <c r="D1531" s="10" t="s">
        <v>19</v>
      </c>
      <c r="E1531" s="10" t="s">
        <v>538</v>
      </c>
      <c r="F1531" s="10" t="str">
        <f>"2170641072 "</f>
        <v xml:space="preserve">2170641072 </v>
      </c>
      <c r="G1531" s="10" t="str">
        <f t="shared" si="39"/>
        <v>ON1</v>
      </c>
      <c r="H1531" s="10" t="s">
        <v>21</v>
      </c>
      <c r="I1531" s="10" t="s">
        <v>290</v>
      </c>
      <c r="J1531" s="10" t="str">
        <f>""</f>
        <v/>
      </c>
      <c r="K1531" s="10" t="str">
        <f>"PFES1162646885_0001"</f>
        <v>PFES1162646885_0001</v>
      </c>
      <c r="L1531" s="10">
        <v>1</v>
      </c>
      <c r="M1531" s="10">
        <v>8</v>
      </c>
    </row>
    <row r="1532" spans="1:13">
      <c r="A1532" s="8">
        <v>43355</v>
      </c>
      <c r="B1532" s="9">
        <v>0.6069444444444444</v>
      </c>
      <c r="C1532" s="10" t="str">
        <f>"FES1162646889"</f>
        <v>FES1162646889</v>
      </c>
      <c r="D1532" s="10" t="s">
        <v>19</v>
      </c>
      <c r="E1532" s="10" t="s">
        <v>573</v>
      </c>
      <c r="F1532" s="10" t="str">
        <f>"217064976 "</f>
        <v xml:space="preserve">217064976 </v>
      </c>
      <c r="G1532" s="10" t="str">
        <f t="shared" si="39"/>
        <v>ON1</v>
      </c>
      <c r="H1532" s="10" t="s">
        <v>21</v>
      </c>
      <c r="I1532" s="10" t="s">
        <v>105</v>
      </c>
      <c r="J1532" s="10" t="str">
        <f>""</f>
        <v/>
      </c>
      <c r="K1532" s="10" t="str">
        <f>"PFES1162646889_0001"</f>
        <v>PFES1162646889_0001</v>
      </c>
      <c r="L1532" s="10">
        <v>1</v>
      </c>
      <c r="M1532" s="10">
        <v>10</v>
      </c>
    </row>
    <row r="1533" spans="1:13">
      <c r="A1533" s="8">
        <v>43355</v>
      </c>
      <c r="B1533" s="9">
        <v>0.6069444444444444</v>
      </c>
      <c r="C1533" s="10" t="str">
        <f>"FES1162646852"</f>
        <v>FES1162646852</v>
      </c>
      <c r="D1533" s="10" t="s">
        <v>19</v>
      </c>
      <c r="E1533" s="10" t="s">
        <v>20</v>
      </c>
      <c r="F1533" s="10" t="str">
        <f>"2170651509 "</f>
        <v xml:space="preserve">2170651509 </v>
      </c>
      <c r="G1533" s="10" t="str">
        <f t="shared" si="39"/>
        <v>ON1</v>
      </c>
      <c r="H1533" s="10" t="s">
        <v>21</v>
      </c>
      <c r="I1533" s="10" t="s">
        <v>22</v>
      </c>
      <c r="J1533" s="10" t="str">
        <f>""</f>
        <v/>
      </c>
      <c r="K1533" s="10" t="str">
        <f>"PFES1162646852_0001"</f>
        <v>PFES1162646852_0001</v>
      </c>
      <c r="L1533" s="10">
        <v>1</v>
      </c>
      <c r="M1533" s="10">
        <v>5</v>
      </c>
    </row>
    <row r="1534" spans="1:13">
      <c r="A1534" s="8">
        <v>43355</v>
      </c>
      <c r="B1534" s="9">
        <v>0.60625000000000007</v>
      </c>
      <c r="C1534" s="10" t="str">
        <f>"FES1162646809"</f>
        <v>FES1162646809</v>
      </c>
      <c r="D1534" s="10" t="s">
        <v>19</v>
      </c>
      <c r="E1534" s="10" t="s">
        <v>811</v>
      </c>
      <c r="F1534" s="10" t="str">
        <f>"2170651469 "</f>
        <v xml:space="preserve">2170651469 </v>
      </c>
      <c r="G1534" s="10" t="str">
        <f t="shared" si="39"/>
        <v>ON1</v>
      </c>
      <c r="H1534" s="10" t="s">
        <v>21</v>
      </c>
      <c r="I1534" s="10" t="s">
        <v>26</v>
      </c>
      <c r="J1534" s="10" t="str">
        <f>""</f>
        <v/>
      </c>
      <c r="K1534" s="10" t="str">
        <f>"PFES1162646809_0001"</f>
        <v>PFES1162646809_0001</v>
      </c>
      <c r="L1534" s="10">
        <v>1</v>
      </c>
      <c r="M1534" s="10">
        <v>2</v>
      </c>
    </row>
    <row r="1535" spans="1:13">
      <c r="A1535" s="8">
        <v>43355</v>
      </c>
      <c r="B1535" s="9">
        <v>0.60486111111111118</v>
      </c>
      <c r="C1535" s="10" t="str">
        <f>"FES1162646868"</f>
        <v>FES1162646868</v>
      </c>
      <c r="D1535" s="10" t="s">
        <v>19</v>
      </c>
      <c r="E1535" s="10" t="s">
        <v>365</v>
      </c>
      <c r="F1535" s="10" t="str">
        <f>"2170651527 "</f>
        <v xml:space="preserve">2170651527 </v>
      </c>
      <c r="G1535" s="10" t="str">
        <f t="shared" si="39"/>
        <v>ON1</v>
      </c>
      <c r="H1535" s="10" t="s">
        <v>21</v>
      </c>
      <c r="I1535" s="10" t="s">
        <v>366</v>
      </c>
      <c r="J1535" s="10" t="str">
        <f>""</f>
        <v/>
      </c>
      <c r="K1535" s="10" t="str">
        <f>"PFES1162646868_0001"</f>
        <v>PFES1162646868_0001</v>
      </c>
      <c r="L1535" s="10">
        <v>1</v>
      </c>
      <c r="M1535" s="10">
        <v>2</v>
      </c>
    </row>
    <row r="1536" spans="1:13">
      <c r="A1536" s="8">
        <v>43355</v>
      </c>
      <c r="B1536" s="9">
        <v>0.59930555555555554</v>
      </c>
      <c r="C1536" s="10" t="str">
        <f>"FES1162646878"</f>
        <v>FES1162646878</v>
      </c>
      <c r="D1536" s="10" t="s">
        <v>19</v>
      </c>
      <c r="E1536" s="10" t="s">
        <v>358</v>
      </c>
      <c r="F1536" s="10" t="str">
        <f>"2170650705 "</f>
        <v xml:space="preserve">2170650705 </v>
      </c>
      <c r="G1536" s="10" t="str">
        <f t="shared" si="39"/>
        <v>ON1</v>
      </c>
      <c r="H1536" s="10" t="s">
        <v>21</v>
      </c>
      <c r="I1536" s="10" t="s">
        <v>42</v>
      </c>
      <c r="J1536" s="10" t="str">
        <f>""</f>
        <v/>
      </c>
      <c r="K1536" s="10" t="str">
        <f>"PFES1162646878_0001"</f>
        <v>PFES1162646878_0001</v>
      </c>
      <c r="L1536" s="10">
        <v>1</v>
      </c>
      <c r="M1536" s="10">
        <v>14</v>
      </c>
    </row>
    <row r="1537" spans="1:13">
      <c r="A1537" s="8">
        <v>43355</v>
      </c>
      <c r="B1537" s="9">
        <v>0.59791666666666665</v>
      </c>
      <c r="C1537" s="10" t="str">
        <f>"FES1162646947"</f>
        <v>FES1162646947</v>
      </c>
      <c r="D1537" s="10" t="s">
        <v>19</v>
      </c>
      <c r="E1537" s="10" t="s">
        <v>69</v>
      </c>
      <c r="F1537" s="10" t="str">
        <f>"2170651606 "</f>
        <v xml:space="preserve">2170651606 </v>
      </c>
      <c r="G1537" s="10" t="str">
        <f t="shared" si="39"/>
        <v>ON1</v>
      </c>
      <c r="H1537" s="10" t="s">
        <v>21</v>
      </c>
      <c r="I1537" s="10" t="s">
        <v>68</v>
      </c>
      <c r="J1537" s="10" t="str">
        <f>""</f>
        <v/>
      </c>
      <c r="K1537" s="10" t="str">
        <f>"PFES1162646947_0001"</f>
        <v>PFES1162646947_0001</v>
      </c>
      <c r="L1537" s="10">
        <v>1</v>
      </c>
      <c r="M1537" s="10">
        <v>6</v>
      </c>
    </row>
    <row r="1538" spans="1:13">
      <c r="A1538" s="8">
        <v>43355</v>
      </c>
      <c r="B1538" s="9">
        <v>0.58819444444444446</v>
      </c>
      <c r="C1538" s="10" t="str">
        <f>"FES1162646913"</f>
        <v>FES1162646913</v>
      </c>
      <c r="D1538" s="10" t="s">
        <v>19</v>
      </c>
      <c r="E1538" s="10" t="s">
        <v>398</v>
      </c>
      <c r="F1538" s="10" t="str">
        <f>"2170651570 "</f>
        <v xml:space="preserve">2170651570 </v>
      </c>
      <c r="G1538" s="10" t="str">
        <f t="shared" si="39"/>
        <v>ON1</v>
      </c>
      <c r="H1538" s="10" t="s">
        <v>21</v>
      </c>
      <c r="I1538" s="10" t="s">
        <v>89</v>
      </c>
      <c r="J1538" s="10" t="str">
        <f>""</f>
        <v/>
      </c>
      <c r="K1538" s="10" t="str">
        <f>"PFES1162646913_0001"</f>
        <v>PFES1162646913_0001</v>
      </c>
      <c r="L1538" s="10">
        <v>1</v>
      </c>
      <c r="M1538" s="10">
        <v>1</v>
      </c>
    </row>
    <row r="1539" spans="1:13">
      <c r="A1539" s="8">
        <v>43355</v>
      </c>
      <c r="B1539" s="9">
        <v>0.58819444444444446</v>
      </c>
      <c r="C1539" s="10" t="str">
        <f>"FES1162646857"</f>
        <v>FES1162646857</v>
      </c>
      <c r="D1539" s="10" t="s">
        <v>19</v>
      </c>
      <c r="E1539" s="10" t="s">
        <v>220</v>
      </c>
      <c r="F1539" s="10" t="str">
        <f>"2170651483 "</f>
        <v xml:space="preserve">2170651483 </v>
      </c>
      <c r="G1539" s="10" t="str">
        <f t="shared" si="39"/>
        <v>ON1</v>
      </c>
      <c r="H1539" s="10" t="s">
        <v>21</v>
      </c>
      <c r="I1539" s="10" t="s">
        <v>126</v>
      </c>
      <c r="J1539" s="10" t="str">
        <f>""</f>
        <v/>
      </c>
      <c r="K1539" s="10" t="str">
        <f>"PFES1162646857_0001"</f>
        <v>PFES1162646857_0001</v>
      </c>
      <c r="L1539" s="10">
        <v>1</v>
      </c>
      <c r="M1539" s="10">
        <v>1</v>
      </c>
    </row>
    <row r="1540" spans="1:13">
      <c r="A1540" s="8">
        <v>43355</v>
      </c>
      <c r="B1540" s="9">
        <v>0.58750000000000002</v>
      </c>
      <c r="C1540" s="10" t="str">
        <f>"FES1162646804"</f>
        <v>FES1162646804</v>
      </c>
      <c r="D1540" s="10" t="s">
        <v>19</v>
      </c>
      <c r="E1540" s="10" t="s">
        <v>693</v>
      </c>
      <c r="F1540" s="10" t="str">
        <f>"2170651464 "</f>
        <v xml:space="preserve">2170651464 </v>
      </c>
      <c r="G1540" s="10" t="str">
        <f t="shared" si="39"/>
        <v>ON1</v>
      </c>
      <c r="H1540" s="10" t="s">
        <v>21</v>
      </c>
      <c r="I1540" s="10" t="s">
        <v>694</v>
      </c>
      <c r="J1540" s="10" t="str">
        <f>""</f>
        <v/>
      </c>
      <c r="K1540" s="10" t="str">
        <f>"PFES1162646804_0001"</f>
        <v>PFES1162646804_0001</v>
      </c>
      <c r="L1540" s="10">
        <v>1</v>
      </c>
      <c r="M1540" s="10">
        <v>1</v>
      </c>
    </row>
    <row r="1541" spans="1:13">
      <c r="A1541" s="8">
        <v>43355</v>
      </c>
      <c r="B1541" s="9">
        <v>0.58750000000000002</v>
      </c>
      <c r="C1541" s="10" t="str">
        <f>"FES1162646921"</f>
        <v>FES1162646921</v>
      </c>
      <c r="D1541" s="10" t="s">
        <v>19</v>
      </c>
      <c r="E1541" s="10" t="s">
        <v>357</v>
      </c>
      <c r="F1541" s="10" t="str">
        <f>"2170651107 "</f>
        <v xml:space="preserve">2170651107 </v>
      </c>
      <c r="G1541" s="10" t="str">
        <f t="shared" si="39"/>
        <v>ON1</v>
      </c>
      <c r="H1541" s="10" t="s">
        <v>21</v>
      </c>
      <c r="I1541" s="10" t="s">
        <v>283</v>
      </c>
      <c r="J1541" s="10" t="str">
        <f>""</f>
        <v/>
      </c>
      <c r="K1541" s="10" t="str">
        <f>"PFES1162646921_0001"</f>
        <v>PFES1162646921_0001</v>
      </c>
      <c r="L1541" s="10">
        <v>1</v>
      </c>
      <c r="M1541" s="10">
        <v>1</v>
      </c>
    </row>
    <row r="1542" spans="1:13">
      <c r="A1542" s="8">
        <v>43355</v>
      </c>
      <c r="B1542" s="9">
        <v>0.58680555555555558</v>
      </c>
      <c r="C1542" s="10" t="str">
        <f>"FES1162646941"</f>
        <v>FES1162646941</v>
      </c>
      <c r="D1542" s="10" t="s">
        <v>19</v>
      </c>
      <c r="E1542" s="10" t="s">
        <v>397</v>
      </c>
      <c r="F1542" s="10" t="str">
        <f>"2170651601 "</f>
        <v xml:space="preserve">2170651601 </v>
      </c>
      <c r="G1542" s="10" t="str">
        <f t="shared" si="39"/>
        <v>ON1</v>
      </c>
      <c r="H1542" s="10" t="s">
        <v>21</v>
      </c>
      <c r="I1542" s="10" t="s">
        <v>89</v>
      </c>
      <c r="J1542" s="10" t="str">
        <f>""</f>
        <v/>
      </c>
      <c r="K1542" s="10" t="str">
        <f>"PFES1162646941_0001"</f>
        <v>PFES1162646941_0001</v>
      </c>
      <c r="L1542" s="10">
        <v>1</v>
      </c>
      <c r="M1542" s="10">
        <v>1</v>
      </c>
    </row>
    <row r="1543" spans="1:13">
      <c r="A1543" s="8">
        <v>43355</v>
      </c>
      <c r="B1543" s="9">
        <v>0.58680555555555558</v>
      </c>
      <c r="C1543" s="10" t="str">
        <f>"FES1162646775"</f>
        <v>FES1162646775</v>
      </c>
      <c r="D1543" s="10" t="s">
        <v>19</v>
      </c>
      <c r="E1543" s="10" t="s">
        <v>440</v>
      </c>
      <c r="F1543" s="10" t="str">
        <f>"2170650850 "</f>
        <v xml:space="preserve">2170650850 </v>
      </c>
      <c r="G1543" s="10" t="str">
        <f t="shared" si="39"/>
        <v>ON1</v>
      </c>
      <c r="H1543" s="10" t="s">
        <v>21</v>
      </c>
      <c r="I1543" s="10" t="s">
        <v>76</v>
      </c>
      <c r="J1543" s="10" t="str">
        <f>""</f>
        <v/>
      </c>
      <c r="K1543" s="10" t="str">
        <f>"PFES1162646775_0001"</f>
        <v>PFES1162646775_0001</v>
      </c>
      <c r="L1543" s="10">
        <v>1</v>
      </c>
      <c r="M1543" s="10">
        <v>1</v>
      </c>
    </row>
    <row r="1544" spans="1:13">
      <c r="A1544" s="8">
        <v>43355</v>
      </c>
      <c r="B1544" s="9">
        <v>0.58194444444444449</v>
      </c>
      <c r="C1544" s="10" t="str">
        <f>"FES1162646881"</f>
        <v>FES1162646881</v>
      </c>
      <c r="D1544" s="10" t="s">
        <v>19</v>
      </c>
      <c r="E1544" s="10" t="s">
        <v>812</v>
      </c>
      <c r="F1544" s="10" t="str">
        <f>"2170651543 "</f>
        <v xml:space="preserve">2170651543 </v>
      </c>
      <c r="G1544" s="10" t="str">
        <f t="shared" si="39"/>
        <v>ON1</v>
      </c>
      <c r="H1544" s="10" t="s">
        <v>21</v>
      </c>
      <c r="I1544" s="10" t="s">
        <v>353</v>
      </c>
      <c r="J1544" s="10" t="str">
        <f>""</f>
        <v/>
      </c>
      <c r="K1544" s="10" t="str">
        <f>"PFES1162646881_0001"</f>
        <v>PFES1162646881_0001</v>
      </c>
      <c r="L1544" s="10">
        <v>1</v>
      </c>
      <c r="M1544" s="10">
        <v>3</v>
      </c>
    </row>
    <row r="1545" spans="1:13">
      <c r="A1545" s="8">
        <v>43355</v>
      </c>
      <c r="B1545" s="9">
        <v>0.5805555555555556</v>
      </c>
      <c r="C1545" s="10" t="str">
        <f>"FES1162646928"</f>
        <v>FES1162646928</v>
      </c>
      <c r="D1545" s="10" t="s">
        <v>19</v>
      </c>
      <c r="E1545" s="10" t="s">
        <v>357</v>
      </c>
      <c r="F1545" s="10" t="str">
        <f>"2170651584 "</f>
        <v xml:space="preserve">2170651584 </v>
      </c>
      <c r="G1545" s="10" t="str">
        <f t="shared" si="39"/>
        <v>ON1</v>
      </c>
      <c r="H1545" s="10" t="s">
        <v>21</v>
      </c>
      <c r="I1545" s="10" t="s">
        <v>283</v>
      </c>
      <c r="J1545" s="10" t="str">
        <f>""</f>
        <v/>
      </c>
      <c r="K1545" s="10" t="str">
        <f>"PFES1162646928_0001"</f>
        <v>PFES1162646928_0001</v>
      </c>
      <c r="L1545" s="10">
        <v>1</v>
      </c>
      <c r="M1545" s="10">
        <v>2</v>
      </c>
    </row>
    <row r="1546" spans="1:13">
      <c r="A1546" s="8">
        <v>43355</v>
      </c>
      <c r="B1546" s="9">
        <v>0.57986111111111105</v>
      </c>
      <c r="C1546" s="10" t="str">
        <f>"FES1162646764"</f>
        <v>FES1162646764</v>
      </c>
      <c r="D1546" s="10" t="s">
        <v>19</v>
      </c>
      <c r="E1546" s="10" t="s">
        <v>347</v>
      </c>
      <c r="F1546" s="10" t="str">
        <f>"2170649815 "</f>
        <v xml:space="preserve">2170649815 </v>
      </c>
      <c r="G1546" s="10" t="str">
        <f t="shared" si="39"/>
        <v>ON1</v>
      </c>
      <c r="H1546" s="10" t="s">
        <v>21</v>
      </c>
      <c r="I1546" s="10" t="s">
        <v>348</v>
      </c>
      <c r="J1546" s="10" t="str">
        <f>""</f>
        <v/>
      </c>
      <c r="K1546" s="10" t="str">
        <f>"PFES1162646764_0001"</f>
        <v>PFES1162646764_0001</v>
      </c>
      <c r="L1546" s="10">
        <v>1</v>
      </c>
      <c r="M1546" s="10">
        <v>1</v>
      </c>
    </row>
    <row r="1547" spans="1:13">
      <c r="A1547" s="8">
        <v>43355</v>
      </c>
      <c r="B1547" s="9">
        <v>0.57986111111111105</v>
      </c>
      <c r="C1547" s="10" t="str">
        <f>"FES1162646883"</f>
        <v>FES1162646883</v>
      </c>
      <c r="D1547" s="10" t="s">
        <v>19</v>
      </c>
      <c r="E1547" s="10" t="s">
        <v>813</v>
      </c>
      <c r="F1547" s="10" t="str">
        <f>"2170651547 "</f>
        <v xml:space="preserve">2170651547 </v>
      </c>
      <c r="G1547" s="10" t="str">
        <f t="shared" si="39"/>
        <v>ON1</v>
      </c>
      <c r="H1547" s="10" t="s">
        <v>21</v>
      </c>
      <c r="I1547" s="10" t="s">
        <v>814</v>
      </c>
      <c r="J1547" s="10" t="str">
        <f>""</f>
        <v/>
      </c>
      <c r="K1547" s="10" t="str">
        <f>"PFES1162646883_0001"</f>
        <v>PFES1162646883_0001</v>
      </c>
      <c r="L1547" s="10">
        <v>1</v>
      </c>
      <c r="M1547" s="10">
        <v>1</v>
      </c>
    </row>
    <row r="1548" spans="1:13">
      <c r="A1548" s="8">
        <v>43355</v>
      </c>
      <c r="B1548" s="9">
        <v>0.57916666666666672</v>
      </c>
      <c r="C1548" s="10" t="str">
        <f>"FES1162646813"</f>
        <v>FES1162646813</v>
      </c>
      <c r="D1548" s="10" t="s">
        <v>19</v>
      </c>
      <c r="E1548" s="10" t="s">
        <v>98</v>
      </c>
      <c r="F1548" s="10" t="str">
        <f>"2170651472 "</f>
        <v xml:space="preserve">2170651472 </v>
      </c>
      <c r="G1548" s="10" t="str">
        <f t="shared" si="39"/>
        <v>ON1</v>
      </c>
      <c r="H1548" s="10" t="s">
        <v>21</v>
      </c>
      <c r="I1548" s="10" t="s">
        <v>74</v>
      </c>
      <c r="J1548" s="10" t="str">
        <f>""</f>
        <v/>
      </c>
      <c r="K1548" s="10" t="str">
        <f>"PFES1162646813_0001"</f>
        <v>PFES1162646813_0001</v>
      </c>
      <c r="L1548" s="10">
        <v>1</v>
      </c>
      <c r="M1548" s="10">
        <v>1</v>
      </c>
    </row>
    <row r="1549" spans="1:13">
      <c r="A1549" s="8">
        <v>43355</v>
      </c>
      <c r="B1549" s="9">
        <v>0.57916666666666672</v>
      </c>
      <c r="C1549" s="10" t="str">
        <f>"FES1162646882"</f>
        <v>FES1162646882</v>
      </c>
      <c r="D1549" s="10" t="s">
        <v>19</v>
      </c>
      <c r="E1549" s="10" t="s">
        <v>129</v>
      </c>
      <c r="F1549" s="10" t="str">
        <f>"2170651545 "</f>
        <v xml:space="preserve">2170651545 </v>
      </c>
      <c r="G1549" s="10" t="str">
        <f t="shared" si="39"/>
        <v>ON1</v>
      </c>
      <c r="H1549" s="10" t="s">
        <v>21</v>
      </c>
      <c r="I1549" s="10" t="s">
        <v>76</v>
      </c>
      <c r="J1549" s="10" t="str">
        <f>""</f>
        <v/>
      </c>
      <c r="K1549" s="10" t="str">
        <f>"PFES1162646882_0001"</f>
        <v>PFES1162646882_0001</v>
      </c>
      <c r="L1549" s="10">
        <v>1</v>
      </c>
      <c r="M1549" s="10">
        <v>1</v>
      </c>
    </row>
    <row r="1550" spans="1:13">
      <c r="A1550" s="8">
        <v>43355</v>
      </c>
      <c r="B1550" s="9">
        <v>0.57916666666666672</v>
      </c>
      <c r="C1550" s="10" t="str">
        <f>"FES1162646847"</f>
        <v>FES1162646847</v>
      </c>
      <c r="D1550" s="10" t="s">
        <v>19</v>
      </c>
      <c r="E1550" s="10" t="s">
        <v>815</v>
      </c>
      <c r="F1550" s="10" t="str">
        <f>"2170651503 "</f>
        <v xml:space="preserve">2170651503 </v>
      </c>
      <c r="G1550" s="10" t="str">
        <f t="shared" si="39"/>
        <v>ON1</v>
      </c>
      <c r="H1550" s="10" t="s">
        <v>21</v>
      </c>
      <c r="I1550" s="10" t="s">
        <v>484</v>
      </c>
      <c r="J1550" s="10" t="str">
        <f>""</f>
        <v/>
      </c>
      <c r="K1550" s="10" t="str">
        <f>"PFES1162646847_0001"</f>
        <v>PFES1162646847_0001</v>
      </c>
      <c r="L1550" s="10">
        <v>1</v>
      </c>
      <c r="M1550" s="10">
        <v>3</v>
      </c>
    </row>
    <row r="1551" spans="1:13">
      <c r="A1551" s="8">
        <v>43355</v>
      </c>
      <c r="B1551" s="9">
        <v>0.57916666666666672</v>
      </c>
      <c r="C1551" s="10" t="str">
        <f>"FES1162646834"</f>
        <v>FES1162646834</v>
      </c>
      <c r="D1551" s="10" t="s">
        <v>19</v>
      </c>
      <c r="E1551" s="10" t="s">
        <v>746</v>
      </c>
      <c r="F1551" s="10" t="str">
        <f>"2170651491 "</f>
        <v xml:space="preserve">2170651491 </v>
      </c>
      <c r="G1551" s="10" t="str">
        <f t="shared" si="39"/>
        <v>ON1</v>
      </c>
      <c r="H1551" s="10" t="s">
        <v>21</v>
      </c>
      <c r="I1551" s="10" t="s">
        <v>76</v>
      </c>
      <c r="J1551" s="10" t="str">
        <f>""</f>
        <v/>
      </c>
      <c r="K1551" s="10" t="str">
        <f>"PFES1162646834_0001"</f>
        <v>PFES1162646834_0001</v>
      </c>
      <c r="L1551" s="10">
        <v>1</v>
      </c>
      <c r="M1551" s="10">
        <v>1</v>
      </c>
    </row>
    <row r="1552" spans="1:13">
      <c r="A1552" s="8">
        <v>43355</v>
      </c>
      <c r="B1552" s="9">
        <v>0.57847222222222217</v>
      </c>
      <c r="C1552" s="10" t="str">
        <f>"FES1162646774"</f>
        <v>FES1162646774</v>
      </c>
      <c r="D1552" s="10" t="s">
        <v>19</v>
      </c>
      <c r="E1552" s="10" t="s">
        <v>149</v>
      </c>
      <c r="F1552" s="10" t="str">
        <f>"2170650826 "</f>
        <v xml:space="preserve">2170650826 </v>
      </c>
      <c r="G1552" s="10" t="str">
        <f t="shared" si="39"/>
        <v>ON1</v>
      </c>
      <c r="H1552" s="10" t="s">
        <v>21</v>
      </c>
      <c r="I1552" s="10" t="s">
        <v>150</v>
      </c>
      <c r="J1552" s="10" t="str">
        <f>""</f>
        <v/>
      </c>
      <c r="K1552" s="10" t="str">
        <f>"PFES1162646774_0001"</f>
        <v>PFES1162646774_0001</v>
      </c>
      <c r="L1552" s="10">
        <v>1</v>
      </c>
      <c r="M1552" s="10">
        <v>1</v>
      </c>
    </row>
    <row r="1553" spans="1:13">
      <c r="A1553" s="8">
        <v>43355</v>
      </c>
      <c r="B1553" s="9">
        <v>0.57777777777777783</v>
      </c>
      <c r="C1553" s="10" t="str">
        <f>"FES1162646850"</f>
        <v>FES1162646850</v>
      </c>
      <c r="D1553" s="10" t="s">
        <v>19</v>
      </c>
      <c r="E1553" s="10" t="s">
        <v>289</v>
      </c>
      <c r="F1553" s="10" t="str">
        <f>"2170650381 "</f>
        <v xml:space="preserve">2170650381 </v>
      </c>
      <c r="G1553" s="10" t="str">
        <f t="shared" si="39"/>
        <v>ON1</v>
      </c>
      <c r="H1553" s="10" t="s">
        <v>21</v>
      </c>
      <c r="I1553" s="10" t="s">
        <v>290</v>
      </c>
      <c r="J1553" s="10" t="str">
        <f>""</f>
        <v/>
      </c>
      <c r="K1553" s="10" t="str">
        <f>"PFES1162646850_0001"</f>
        <v>PFES1162646850_0001</v>
      </c>
      <c r="L1553" s="10">
        <v>1</v>
      </c>
      <c r="M1553" s="10">
        <v>6</v>
      </c>
    </row>
    <row r="1554" spans="1:13">
      <c r="A1554" s="8">
        <v>43355</v>
      </c>
      <c r="B1554" s="9">
        <v>0.5756944444444444</v>
      </c>
      <c r="C1554" s="10" t="str">
        <f>"FES1162646762"</f>
        <v>FES1162646762</v>
      </c>
      <c r="D1554" s="10" t="s">
        <v>19</v>
      </c>
      <c r="E1554" s="10" t="s">
        <v>266</v>
      </c>
      <c r="F1554" s="10" t="str">
        <f>"2170649020 "</f>
        <v xml:space="preserve">2170649020 </v>
      </c>
      <c r="G1554" s="10" t="str">
        <f t="shared" si="39"/>
        <v>ON1</v>
      </c>
      <c r="H1554" s="10" t="s">
        <v>21</v>
      </c>
      <c r="I1554" s="10" t="s">
        <v>267</v>
      </c>
      <c r="J1554" s="10" t="str">
        <f>""</f>
        <v/>
      </c>
      <c r="K1554" s="10" t="str">
        <f>"PFES1162646762_0001"</f>
        <v>PFES1162646762_0001</v>
      </c>
      <c r="L1554" s="10">
        <v>1</v>
      </c>
      <c r="M1554" s="10">
        <v>3</v>
      </c>
    </row>
    <row r="1555" spans="1:13">
      <c r="A1555" s="8">
        <v>43355</v>
      </c>
      <c r="B1555" s="9">
        <v>0.57500000000000007</v>
      </c>
      <c r="C1555" s="10" t="str">
        <f>"FES1162646875"</f>
        <v>FES1162646875</v>
      </c>
      <c r="D1555" s="10" t="s">
        <v>19</v>
      </c>
      <c r="E1555" s="10" t="s">
        <v>483</v>
      </c>
      <c r="F1555" s="10" t="str">
        <f>"2170651537 "</f>
        <v xml:space="preserve">2170651537 </v>
      </c>
      <c r="G1555" s="10" t="str">
        <f t="shared" si="39"/>
        <v>ON1</v>
      </c>
      <c r="H1555" s="10" t="s">
        <v>21</v>
      </c>
      <c r="I1555" s="10" t="s">
        <v>484</v>
      </c>
      <c r="J1555" s="10" t="str">
        <f>""</f>
        <v/>
      </c>
      <c r="K1555" s="10" t="str">
        <f>"PFES1162646875_0001"</f>
        <v>PFES1162646875_0001</v>
      </c>
      <c r="L1555" s="10">
        <v>1</v>
      </c>
      <c r="M1555" s="10">
        <v>2</v>
      </c>
    </row>
    <row r="1556" spans="1:13">
      <c r="A1556" s="8">
        <v>43355</v>
      </c>
      <c r="B1556" s="9">
        <v>0.57430555555555551</v>
      </c>
      <c r="C1556" s="10" t="str">
        <f>"FES1162646749"</f>
        <v>FES1162646749</v>
      </c>
      <c r="D1556" s="10" t="s">
        <v>19</v>
      </c>
      <c r="E1556" s="10" t="s">
        <v>816</v>
      </c>
      <c r="F1556" s="10" t="str">
        <f>"2170650989 "</f>
        <v xml:space="preserve">2170650989 </v>
      </c>
      <c r="G1556" s="10" t="str">
        <f t="shared" si="39"/>
        <v>ON1</v>
      </c>
      <c r="H1556" s="10" t="s">
        <v>21</v>
      </c>
      <c r="I1556" s="10" t="s">
        <v>817</v>
      </c>
      <c r="J1556" s="10" t="str">
        <f>""</f>
        <v/>
      </c>
      <c r="K1556" s="10" t="str">
        <f>"PFES1162646749_0001"</f>
        <v>PFES1162646749_0001</v>
      </c>
      <c r="L1556" s="10">
        <v>1</v>
      </c>
      <c r="M1556" s="10">
        <v>2</v>
      </c>
    </row>
    <row r="1557" spans="1:13">
      <c r="A1557" s="8">
        <v>43355</v>
      </c>
      <c r="B1557" s="9">
        <v>0.57361111111111118</v>
      </c>
      <c r="C1557" s="10" t="str">
        <f>"FES1162646929"</f>
        <v>FES1162646929</v>
      </c>
      <c r="D1557" s="10" t="s">
        <v>19</v>
      </c>
      <c r="E1557" s="10" t="s">
        <v>357</v>
      </c>
      <c r="F1557" s="10" t="str">
        <f>"2170651585 "</f>
        <v xml:space="preserve">2170651585 </v>
      </c>
      <c r="G1557" s="10" t="str">
        <f t="shared" si="39"/>
        <v>ON1</v>
      </c>
      <c r="H1557" s="10" t="s">
        <v>21</v>
      </c>
      <c r="I1557" s="10" t="s">
        <v>283</v>
      </c>
      <c r="J1557" s="10" t="str">
        <f>""</f>
        <v/>
      </c>
      <c r="K1557" s="10" t="str">
        <f>"PFES1162646929_0001"</f>
        <v>PFES1162646929_0001</v>
      </c>
      <c r="L1557" s="10">
        <v>1</v>
      </c>
      <c r="M1557" s="10">
        <v>3</v>
      </c>
    </row>
    <row r="1558" spans="1:13">
      <c r="A1558" s="8">
        <v>43355</v>
      </c>
      <c r="B1558" s="9">
        <v>0.57222222222222219</v>
      </c>
      <c r="C1558" s="10" t="str">
        <f>"FES1162646789"</f>
        <v>FES1162646789</v>
      </c>
      <c r="D1558" s="10" t="s">
        <v>19</v>
      </c>
      <c r="E1558" s="10" t="s">
        <v>818</v>
      </c>
      <c r="F1558" s="10" t="str">
        <f>"2170651441 "</f>
        <v xml:space="preserve">2170651441 </v>
      </c>
      <c r="G1558" s="10" t="str">
        <f t="shared" si="39"/>
        <v>ON1</v>
      </c>
      <c r="H1558" s="10" t="s">
        <v>21</v>
      </c>
      <c r="I1558" s="10" t="s">
        <v>250</v>
      </c>
      <c r="J1558" s="10" t="str">
        <f>""</f>
        <v/>
      </c>
      <c r="K1558" s="10" t="str">
        <f>"PFES1162646789_0001"</f>
        <v>PFES1162646789_0001</v>
      </c>
      <c r="L1558" s="10">
        <v>1</v>
      </c>
      <c r="M1558" s="10">
        <v>9</v>
      </c>
    </row>
    <row r="1559" spans="1:13">
      <c r="A1559" s="8">
        <v>43355</v>
      </c>
      <c r="B1559" s="9">
        <v>0.57152777777777775</v>
      </c>
      <c r="C1559" s="10" t="str">
        <f>"FES1162646751"</f>
        <v>FES1162646751</v>
      </c>
      <c r="D1559" s="10" t="s">
        <v>19</v>
      </c>
      <c r="E1559" s="10" t="s">
        <v>226</v>
      </c>
      <c r="F1559" s="10" t="str">
        <f>"2170651233 "</f>
        <v xml:space="preserve">2170651233 </v>
      </c>
      <c r="G1559" s="10" t="str">
        <f t="shared" si="39"/>
        <v>ON1</v>
      </c>
      <c r="H1559" s="10" t="s">
        <v>21</v>
      </c>
      <c r="I1559" s="10" t="s">
        <v>227</v>
      </c>
      <c r="J1559" s="10" t="str">
        <f>""</f>
        <v/>
      </c>
      <c r="K1559" s="10" t="str">
        <f>"PFES1162646751_0001"</f>
        <v>PFES1162646751_0001</v>
      </c>
      <c r="L1559" s="10">
        <v>1</v>
      </c>
      <c r="M1559" s="10">
        <v>1</v>
      </c>
    </row>
    <row r="1560" spans="1:13">
      <c r="A1560" s="8">
        <v>43355</v>
      </c>
      <c r="B1560" s="9">
        <v>0.5708333333333333</v>
      </c>
      <c r="C1560" s="10" t="str">
        <f>"FES1162646766"</f>
        <v>FES1162646766</v>
      </c>
      <c r="D1560" s="10" t="s">
        <v>19</v>
      </c>
      <c r="E1560" s="10" t="s">
        <v>104</v>
      </c>
      <c r="F1560" s="10" t="str">
        <f>"2170649900 "</f>
        <v xml:space="preserve">2170649900 </v>
      </c>
      <c r="G1560" s="10" t="str">
        <f t="shared" si="39"/>
        <v>ON1</v>
      </c>
      <c r="H1560" s="10" t="s">
        <v>21</v>
      </c>
      <c r="I1560" s="10" t="s">
        <v>105</v>
      </c>
      <c r="J1560" s="10" t="str">
        <f>""</f>
        <v/>
      </c>
      <c r="K1560" s="10" t="str">
        <f>"PFES1162646766_0001"</f>
        <v>PFES1162646766_0001</v>
      </c>
      <c r="L1560" s="10">
        <v>1</v>
      </c>
      <c r="M1560" s="10">
        <v>1</v>
      </c>
    </row>
    <row r="1561" spans="1:13">
      <c r="A1561" s="8">
        <v>43355</v>
      </c>
      <c r="B1561" s="9">
        <v>0.57013888888888886</v>
      </c>
      <c r="C1561" s="10" t="str">
        <f>"FES1162646860"</f>
        <v>FES1162646860</v>
      </c>
      <c r="D1561" s="10" t="s">
        <v>19</v>
      </c>
      <c r="E1561" s="10" t="s">
        <v>37</v>
      </c>
      <c r="F1561" s="10" t="str">
        <f>"2170651518 "</f>
        <v xml:space="preserve">2170651518 </v>
      </c>
      <c r="G1561" s="10" t="str">
        <f t="shared" si="39"/>
        <v>ON1</v>
      </c>
      <c r="H1561" s="10" t="s">
        <v>21</v>
      </c>
      <c r="I1561" s="10" t="s">
        <v>26</v>
      </c>
      <c r="J1561" s="10" t="str">
        <f>""</f>
        <v/>
      </c>
      <c r="K1561" s="10" t="str">
        <f>"PFES1162646860_0001"</f>
        <v>PFES1162646860_0001</v>
      </c>
      <c r="L1561" s="10">
        <v>1</v>
      </c>
      <c r="M1561" s="10">
        <v>1</v>
      </c>
    </row>
    <row r="1562" spans="1:13">
      <c r="A1562" s="8">
        <v>43355</v>
      </c>
      <c r="B1562" s="9">
        <v>0.57013888888888886</v>
      </c>
      <c r="C1562" s="10" t="str">
        <f>"FES1162646758"</f>
        <v>FES1162646758</v>
      </c>
      <c r="D1562" s="10" t="s">
        <v>19</v>
      </c>
      <c r="E1562" s="10" t="s">
        <v>305</v>
      </c>
      <c r="F1562" s="10" t="str">
        <f>"2170648105 "</f>
        <v xml:space="preserve">2170648105 </v>
      </c>
      <c r="G1562" s="10" t="str">
        <f t="shared" si="39"/>
        <v>ON1</v>
      </c>
      <c r="H1562" s="10" t="s">
        <v>21</v>
      </c>
      <c r="I1562" s="10" t="s">
        <v>306</v>
      </c>
      <c r="J1562" s="10" t="str">
        <f>""</f>
        <v/>
      </c>
      <c r="K1562" s="10" t="str">
        <f>"PFES1162646758_0001"</f>
        <v>PFES1162646758_0001</v>
      </c>
      <c r="L1562" s="10">
        <v>1</v>
      </c>
      <c r="M1562" s="10">
        <v>1</v>
      </c>
    </row>
    <row r="1563" spans="1:13">
      <c r="A1563" s="8">
        <v>43355</v>
      </c>
      <c r="B1563" s="9">
        <v>0.56944444444444442</v>
      </c>
      <c r="C1563" s="10" t="str">
        <f>"FES1162646843"</f>
        <v>FES1162646843</v>
      </c>
      <c r="D1563" s="10" t="s">
        <v>19</v>
      </c>
      <c r="E1563" s="10" t="s">
        <v>464</v>
      </c>
      <c r="F1563" s="10" t="str">
        <f>"2170651497 "</f>
        <v xml:space="preserve">2170651497 </v>
      </c>
      <c r="G1563" s="10" t="str">
        <f t="shared" si="39"/>
        <v>ON1</v>
      </c>
      <c r="H1563" s="10" t="s">
        <v>21</v>
      </c>
      <c r="I1563" s="10" t="s">
        <v>171</v>
      </c>
      <c r="J1563" s="10" t="str">
        <f>""</f>
        <v/>
      </c>
      <c r="K1563" s="10" t="str">
        <f>"PFES1162646843_0001"</f>
        <v>PFES1162646843_0001</v>
      </c>
      <c r="L1563" s="10">
        <v>1</v>
      </c>
      <c r="M1563" s="10">
        <v>1</v>
      </c>
    </row>
    <row r="1564" spans="1:13">
      <c r="A1564" s="8">
        <v>43355</v>
      </c>
      <c r="B1564" s="9">
        <v>0.56874999999999998</v>
      </c>
      <c r="C1564" s="10" t="str">
        <f>"FES1162646812"</f>
        <v>FES1162646812</v>
      </c>
      <c r="D1564" s="10" t="s">
        <v>19</v>
      </c>
      <c r="E1564" s="10" t="s">
        <v>819</v>
      </c>
      <c r="F1564" s="10" t="str">
        <f>"2170651471 "</f>
        <v xml:space="preserve">2170651471 </v>
      </c>
      <c r="G1564" s="10" t="str">
        <f t="shared" si="39"/>
        <v>ON1</v>
      </c>
      <c r="H1564" s="10" t="s">
        <v>21</v>
      </c>
      <c r="I1564" s="10" t="s">
        <v>625</v>
      </c>
      <c r="J1564" s="10" t="str">
        <f>""</f>
        <v/>
      </c>
      <c r="K1564" s="10" t="str">
        <f>"PFES1162646812_0001"</f>
        <v>PFES1162646812_0001</v>
      </c>
      <c r="L1564" s="10">
        <v>1</v>
      </c>
      <c r="M1564" s="10">
        <v>1</v>
      </c>
    </row>
    <row r="1565" spans="1:13">
      <c r="A1565" s="8">
        <v>43355</v>
      </c>
      <c r="B1565" s="9">
        <v>0.56874999999999998</v>
      </c>
      <c r="C1565" s="10" t="str">
        <f>"FES1162646788"</f>
        <v>FES1162646788</v>
      </c>
      <c r="D1565" s="10" t="s">
        <v>19</v>
      </c>
      <c r="E1565" s="10" t="s">
        <v>261</v>
      </c>
      <c r="F1565" s="10" t="str">
        <f>"21706514440 "</f>
        <v xml:space="preserve">21706514440 </v>
      </c>
      <c r="G1565" s="10" t="str">
        <f t="shared" si="39"/>
        <v>ON1</v>
      </c>
      <c r="H1565" s="10" t="s">
        <v>21</v>
      </c>
      <c r="I1565" s="10" t="s">
        <v>171</v>
      </c>
      <c r="J1565" s="10" t="str">
        <f>""</f>
        <v/>
      </c>
      <c r="K1565" s="10" t="str">
        <f>"PFES1162646788_0001"</f>
        <v>PFES1162646788_0001</v>
      </c>
      <c r="L1565" s="10">
        <v>1</v>
      </c>
      <c r="M1565" s="10">
        <v>1</v>
      </c>
    </row>
    <row r="1566" spans="1:13">
      <c r="A1566" s="8">
        <v>43355</v>
      </c>
      <c r="B1566" s="9">
        <v>0.56805555555555554</v>
      </c>
      <c r="C1566" s="10" t="str">
        <f>"FES1162646859"</f>
        <v>FES1162646859</v>
      </c>
      <c r="D1566" s="10" t="s">
        <v>19</v>
      </c>
      <c r="E1566" s="10" t="s">
        <v>404</v>
      </c>
      <c r="F1566" s="10" t="str">
        <f>"2170651517 "</f>
        <v xml:space="preserve">2170651517 </v>
      </c>
      <c r="G1566" s="10" t="str">
        <f t="shared" si="39"/>
        <v>ON1</v>
      </c>
      <c r="H1566" s="10" t="s">
        <v>21</v>
      </c>
      <c r="I1566" s="10" t="s">
        <v>405</v>
      </c>
      <c r="J1566" s="10" t="str">
        <f>""</f>
        <v/>
      </c>
      <c r="K1566" s="10" t="str">
        <f>"PFES1162646859_0001"</f>
        <v>PFES1162646859_0001</v>
      </c>
      <c r="L1566" s="10">
        <v>1</v>
      </c>
      <c r="M1566" s="10">
        <v>1</v>
      </c>
    </row>
    <row r="1567" spans="1:13">
      <c r="A1567" s="8">
        <v>43355</v>
      </c>
      <c r="B1567" s="9">
        <v>0.56805555555555554</v>
      </c>
      <c r="C1567" s="10" t="str">
        <f>"FES1162646829"</f>
        <v>FES1162646829</v>
      </c>
      <c r="D1567" s="10" t="s">
        <v>19</v>
      </c>
      <c r="E1567" s="10" t="s">
        <v>103</v>
      </c>
      <c r="F1567" s="10" t="str">
        <f>"2170651479 "</f>
        <v xml:space="preserve">2170651479 </v>
      </c>
      <c r="G1567" s="10" t="str">
        <f t="shared" si="39"/>
        <v>ON1</v>
      </c>
      <c r="H1567" s="10" t="s">
        <v>21</v>
      </c>
      <c r="I1567" s="10" t="s">
        <v>189</v>
      </c>
      <c r="J1567" s="10" t="str">
        <f>""</f>
        <v/>
      </c>
      <c r="K1567" s="10" t="str">
        <f>"PFES1162646829_0001"</f>
        <v>PFES1162646829_0001</v>
      </c>
      <c r="L1567" s="10">
        <v>1</v>
      </c>
      <c r="M1567" s="10">
        <v>1</v>
      </c>
    </row>
    <row r="1568" spans="1:13">
      <c r="A1568" s="8">
        <v>43355</v>
      </c>
      <c r="B1568" s="9">
        <v>0.56805555555555554</v>
      </c>
      <c r="C1568" s="10" t="str">
        <f>"FES1162646816"</f>
        <v>FES1162646816</v>
      </c>
      <c r="D1568" s="10" t="s">
        <v>19</v>
      </c>
      <c r="E1568" s="10" t="s">
        <v>820</v>
      </c>
      <c r="F1568" s="10" t="str">
        <f>"2170650053 "</f>
        <v xml:space="preserve">2170650053 </v>
      </c>
      <c r="G1568" s="10" t="str">
        <f t="shared" si="39"/>
        <v>ON1</v>
      </c>
      <c r="H1568" s="10" t="s">
        <v>21</v>
      </c>
      <c r="I1568" s="10" t="s">
        <v>128</v>
      </c>
      <c r="J1568" s="10" t="str">
        <f>""</f>
        <v/>
      </c>
      <c r="K1568" s="10" t="str">
        <f>"PFES1162646816_0001"</f>
        <v>PFES1162646816_0001</v>
      </c>
      <c r="L1568" s="10">
        <v>1</v>
      </c>
      <c r="M1568" s="10">
        <v>1</v>
      </c>
    </row>
    <row r="1569" spans="1:13">
      <c r="A1569" s="8">
        <v>43355</v>
      </c>
      <c r="B1569" s="9">
        <v>0.56736111111111109</v>
      </c>
      <c r="C1569" s="10" t="str">
        <f>"FES1162646910"</f>
        <v>FES1162646910</v>
      </c>
      <c r="D1569" s="10" t="s">
        <v>19</v>
      </c>
      <c r="E1569" s="10" t="s">
        <v>123</v>
      </c>
      <c r="F1569" s="10" t="str">
        <f>"2170650148 "</f>
        <v xml:space="preserve">2170650148 </v>
      </c>
      <c r="G1569" s="10" t="str">
        <f t="shared" si="39"/>
        <v>ON1</v>
      </c>
      <c r="H1569" s="10" t="s">
        <v>21</v>
      </c>
      <c r="I1569" s="10" t="s">
        <v>124</v>
      </c>
      <c r="J1569" s="10" t="str">
        <f>""</f>
        <v/>
      </c>
      <c r="K1569" s="10" t="str">
        <f>"PFES1162646910_0001"</f>
        <v>PFES1162646910_0001</v>
      </c>
      <c r="L1569" s="10">
        <v>1</v>
      </c>
      <c r="M1569" s="10">
        <v>5</v>
      </c>
    </row>
    <row r="1570" spans="1:13">
      <c r="A1570" s="8">
        <v>43355</v>
      </c>
      <c r="B1570" s="9">
        <v>0.54305555555555551</v>
      </c>
      <c r="C1570" s="10" t="str">
        <f>"FES1162646867"</f>
        <v>FES1162646867</v>
      </c>
      <c r="D1570" s="10" t="s">
        <v>19</v>
      </c>
      <c r="E1570" s="10" t="s">
        <v>69</v>
      </c>
      <c r="F1570" s="10" t="str">
        <f>"2170651523 "</f>
        <v xml:space="preserve">2170651523 </v>
      </c>
      <c r="G1570" s="10" t="str">
        <f t="shared" si="39"/>
        <v>ON1</v>
      </c>
      <c r="H1570" s="10" t="s">
        <v>21</v>
      </c>
      <c r="I1570" s="10" t="s">
        <v>68</v>
      </c>
      <c r="J1570" s="10" t="str">
        <f>""</f>
        <v/>
      </c>
      <c r="K1570" s="10" t="str">
        <f>"PFES1162646867_0001"</f>
        <v>PFES1162646867_0001</v>
      </c>
      <c r="L1570" s="10">
        <v>1</v>
      </c>
      <c r="M1570" s="10">
        <v>8</v>
      </c>
    </row>
    <row r="1571" spans="1:13">
      <c r="A1571" s="8">
        <v>43355</v>
      </c>
      <c r="B1571" s="9">
        <v>0.53749999999999998</v>
      </c>
      <c r="C1571" s="10" t="str">
        <f>"FES1162646750"</f>
        <v>FES1162646750</v>
      </c>
      <c r="D1571" s="10" t="s">
        <v>19</v>
      </c>
      <c r="E1571" s="10" t="s">
        <v>359</v>
      </c>
      <c r="F1571" s="10" t="str">
        <f>"2170650202 "</f>
        <v xml:space="preserve">2170650202 </v>
      </c>
      <c r="G1571" s="10" t="str">
        <f t="shared" si="39"/>
        <v>ON1</v>
      </c>
      <c r="H1571" s="10" t="s">
        <v>21</v>
      </c>
      <c r="I1571" s="10" t="s">
        <v>87</v>
      </c>
      <c r="J1571" s="10" t="str">
        <f>""</f>
        <v/>
      </c>
      <c r="K1571" s="10" t="str">
        <f>"PFES1162646750_0001"</f>
        <v>PFES1162646750_0001</v>
      </c>
      <c r="L1571" s="10">
        <v>1</v>
      </c>
      <c r="M1571" s="10">
        <v>1</v>
      </c>
    </row>
    <row r="1572" spans="1:13">
      <c r="A1572" s="8">
        <v>43355</v>
      </c>
      <c r="B1572" s="9">
        <v>0.53749999999999998</v>
      </c>
      <c r="C1572" s="10" t="str">
        <f>"FES1162646810"</f>
        <v>FES1162646810</v>
      </c>
      <c r="D1572" s="10" t="s">
        <v>19</v>
      </c>
      <c r="E1572" s="10" t="s">
        <v>232</v>
      </c>
      <c r="F1572" s="10" t="str">
        <f>"2170651470 "</f>
        <v xml:space="preserve">2170651470 </v>
      </c>
      <c r="G1572" s="10" t="str">
        <f t="shared" si="39"/>
        <v>ON1</v>
      </c>
      <c r="H1572" s="10" t="s">
        <v>21</v>
      </c>
      <c r="I1572" s="10" t="s">
        <v>233</v>
      </c>
      <c r="J1572" s="10" t="str">
        <f>""</f>
        <v/>
      </c>
      <c r="K1572" s="10" t="str">
        <f>"PFES1162646810_0001"</f>
        <v>PFES1162646810_0001</v>
      </c>
      <c r="L1572" s="10">
        <v>1</v>
      </c>
      <c r="M1572" s="10">
        <v>1</v>
      </c>
    </row>
    <row r="1573" spans="1:13">
      <c r="A1573" s="8">
        <v>43355</v>
      </c>
      <c r="B1573" s="9">
        <v>0.53749999999999998</v>
      </c>
      <c r="C1573" s="10" t="str">
        <f>"FES1162646890"</f>
        <v>FES1162646890</v>
      </c>
      <c r="D1573" s="10" t="s">
        <v>19</v>
      </c>
      <c r="E1573" s="10" t="s">
        <v>712</v>
      </c>
      <c r="F1573" s="10" t="str">
        <f>"2170649524 "</f>
        <v xml:space="preserve">2170649524 </v>
      </c>
      <c r="G1573" s="10" t="str">
        <f t="shared" si="39"/>
        <v>ON1</v>
      </c>
      <c r="H1573" s="10" t="s">
        <v>21</v>
      </c>
      <c r="I1573" s="10" t="s">
        <v>283</v>
      </c>
      <c r="J1573" s="10" t="str">
        <f>""</f>
        <v/>
      </c>
      <c r="K1573" s="10" t="str">
        <f>"PFES1162646890_0001"</f>
        <v>PFES1162646890_0001</v>
      </c>
      <c r="L1573" s="10">
        <v>1</v>
      </c>
      <c r="M1573" s="10">
        <v>12</v>
      </c>
    </row>
    <row r="1574" spans="1:13">
      <c r="A1574" s="8">
        <v>43355</v>
      </c>
      <c r="B1574" s="9">
        <v>0.53611111111111109</v>
      </c>
      <c r="C1574" s="10" t="str">
        <f>"FES1162646759"</f>
        <v>FES1162646759</v>
      </c>
      <c r="D1574" s="10" t="s">
        <v>19</v>
      </c>
      <c r="E1574" s="10" t="s">
        <v>134</v>
      </c>
      <c r="F1574" s="10" t="str">
        <f>"2170648427 "</f>
        <v xml:space="preserve">2170648427 </v>
      </c>
      <c r="G1574" s="10" t="str">
        <f t="shared" si="39"/>
        <v>ON1</v>
      </c>
      <c r="H1574" s="10" t="s">
        <v>21</v>
      </c>
      <c r="I1574" s="10" t="s">
        <v>135</v>
      </c>
      <c r="J1574" s="10" t="str">
        <f>""</f>
        <v/>
      </c>
      <c r="K1574" s="10" t="str">
        <f>"PFES1162646759_0001"</f>
        <v>PFES1162646759_0001</v>
      </c>
      <c r="L1574" s="10">
        <v>1</v>
      </c>
      <c r="M1574" s="10">
        <v>6</v>
      </c>
    </row>
    <row r="1575" spans="1:13">
      <c r="A1575" s="8">
        <v>43355</v>
      </c>
      <c r="B1575" s="9">
        <v>0.53611111111111109</v>
      </c>
      <c r="C1575" s="10" t="str">
        <f>"FES1162646841"</f>
        <v>FES1162646841</v>
      </c>
      <c r="D1575" s="10" t="s">
        <v>19</v>
      </c>
      <c r="E1575" s="10" t="s">
        <v>332</v>
      </c>
      <c r="F1575" s="10" t="str">
        <f>"2170651494 "</f>
        <v xml:space="preserve">2170651494 </v>
      </c>
      <c r="G1575" s="10" t="str">
        <f t="shared" si="39"/>
        <v>ON1</v>
      </c>
      <c r="H1575" s="10" t="s">
        <v>21</v>
      </c>
      <c r="I1575" s="10" t="s">
        <v>333</v>
      </c>
      <c r="J1575" s="10" t="str">
        <f>""</f>
        <v/>
      </c>
      <c r="K1575" s="10" t="str">
        <f>"PFES1162646841_0001"</f>
        <v>PFES1162646841_0001</v>
      </c>
      <c r="L1575" s="10">
        <v>1</v>
      </c>
      <c r="M1575" s="10">
        <v>1</v>
      </c>
    </row>
    <row r="1576" spans="1:13">
      <c r="A1576" s="8">
        <v>43355</v>
      </c>
      <c r="B1576" s="9">
        <v>0.53611111111111109</v>
      </c>
      <c r="C1576" s="10" t="str">
        <f>"FES1162646846"</f>
        <v>FES1162646846</v>
      </c>
      <c r="D1576" s="10" t="s">
        <v>19</v>
      </c>
      <c r="E1576" s="10" t="s">
        <v>141</v>
      </c>
      <c r="F1576" s="10" t="str">
        <f>"2170651502 "</f>
        <v xml:space="preserve">2170651502 </v>
      </c>
      <c r="G1576" s="10" t="str">
        <f t="shared" si="39"/>
        <v>ON1</v>
      </c>
      <c r="H1576" s="10" t="s">
        <v>21</v>
      </c>
      <c r="I1576" s="10" t="s">
        <v>91</v>
      </c>
      <c r="J1576" s="10" t="str">
        <f>""</f>
        <v/>
      </c>
      <c r="K1576" s="10" t="str">
        <f>"PFES1162646846_0001"</f>
        <v>PFES1162646846_0001</v>
      </c>
      <c r="L1576" s="10">
        <v>1</v>
      </c>
      <c r="M1576" s="10">
        <v>1</v>
      </c>
    </row>
    <row r="1577" spans="1:13">
      <c r="A1577" s="8">
        <v>43355</v>
      </c>
      <c r="B1577" s="9">
        <v>0.53611111111111109</v>
      </c>
      <c r="C1577" s="10" t="str">
        <f>"FES1162646799"</f>
        <v>FES1162646799</v>
      </c>
      <c r="D1577" s="10" t="s">
        <v>19</v>
      </c>
      <c r="E1577" s="10" t="s">
        <v>667</v>
      </c>
      <c r="F1577" s="10" t="str">
        <f>"2170651417 "</f>
        <v xml:space="preserve">2170651417 </v>
      </c>
      <c r="G1577" s="10" t="str">
        <f t="shared" si="39"/>
        <v>ON1</v>
      </c>
      <c r="H1577" s="10" t="s">
        <v>21</v>
      </c>
      <c r="I1577" s="10" t="s">
        <v>30</v>
      </c>
      <c r="J1577" s="10" t="str">
        <f>""</f>
        <v/>
      </c>
      <c r="K1577" s="10" t="str">
        <f>"PFES1162646799_0001"</f>
        <v>PFES1162646799_0001</v>
      </c>
      <c r="L1577" s="10">
        <v>1</v>
      </c>
      <c r="M1577" s="10">
        <v>1</v>
      </c>
    </row>
    <row r="1578" spans="1:13">
      <c r="A1578" s="8">
        <v>43355</v>
      </c>
      <c r="B1578" s="9">
        <v>0.53541666666666665</v>
      </c>
      <c r="C1578" s="10" t="str">
        <f>"FES1162646838"</f>
        <v>FES1162646838</v>
      </c>
      <c r="D1578" s="10" t="s">
        <v>19</v>
      </c>
      <c r="E1578" s="10" t="s">
        <v>84</v>
      </c>
      <c r="F1578" s="10" t="str">
        <f>"2170651301 "</f>
        <v xml:space="preserve">2170651301 </v>
      </c>
      <c r="G1578" s="10" t="str">
        <f t="shared" si="39"/>
        <v>ON1</v>
      </c>
      <c r="H1578" s="10" t="s">
        <v>21</v>
      </c>
      <c r="I1578" s="10" t="s">
        <v>85</v>
      </c>
      <c r="J1578" s="10" t="str">
        <f>""</f>
        <v/>
      </c>
      <c r="K1578" s="10" t="str">
        <f>"PFES1162646838_0001"</f>
        <v>PFES1162646838_0001</v>
      </c>
      <c r="L1578" s="10">
        <v>1</v>
      </c>
      <c r="M1578" s="10">
        <v>1</v>
      </c>
    </row>
    <row r="1579" spans="1:13">
      <c r="A1579" s="8">
        <v>43355</v>
      </c>
      <c r="B1579" s="9">
        <v>0.53541666666666665</v>
      </c>
      <c r="C1579" s="10" t="str">
        <f>"FES1162646830"</f>
        <v>FES1162646830</v>
      </c>
      <c r="D1579" s="10" t="s">
        <v>19</v>
      </c>
      <c r="E1579" s="10" t="s">
        <v>41</v>
      </c>
      <c r="F1579" s="10" t="str">
        <f>"2170651481 "</f>
        <v xml:space="preserve">2170651481 </v>
      </c>
      <c r="G1579" s="10" t="str">
        <f t="shared" si="39"/>
        <v>ON1</v>
      </c>
      <c r="H1579" s="10" t="s">
        <v>21</v>
      </c>
      <c r="I1579" s="10" t="s">
        <v>42</v>
      </c>
      <c r="J1579" s="10" t="str">
        <f>""</f>
        <v/>
      </c>
      <c r="K1579" s="10" t="str">
        <f>"PFES1162646830_0001"</f>
        <v>PFES1162646830_0001</v>
      </c>
      <c r="L1579" s="10">
        <v>1</v>
      </c>
      <c r="M1579" s="10">
        <v>1</v>
      </c>
    </row>
    <row r="1580" spans="1:13">
      <c r="A1580" s="8">
        <v>43355</v>
      </c>
      <c r="B1580" s="9">
        <v>0.53541666666666665</v>
      </c>
      <c r="C1580" s="10" t="str">
        <f>"FES1162646783"</f>
        <v>FES1162646783</v>
      </c>
      <c r="D1580" s="10" t="s">
        <v>19</v>
      </c>
      <c r="E1580" s="10" t="s">
        <v>821</v>
      </c>
      <c r="F1580" s="10" t="str">
        <f>"2170651432 "</f>
        <v xml:space="preserve">2170651432 </v>
      </c>
      <c r="G1580" s="10" t="str">
        <f t="shared" si="39"/>
        <v>ON1</v>
      </c>
      <c r="H1580" s="10" t="s">
        <v>21</v>
      </c>
      <c r="I1580" s="10" t="s">
        <v>822</v>
      </c>
      <c r="J1580" s="10" t="str">
        <f>""</f>
        <v/>
      </c>
      <c r="K1580" s="10" t="str">
        <f>"PFES1162646783_0001"</f>
        <v>PFES1162646783_0001</v>
      </c>
      <c r="L1580" s="10">
        <v>1</v>
      </c>
      <c r="M1580" s="10">
        <v>1</v>
      </c>
    </row>
    <row r="1581" spans="1:13">
      <c r="A1581" s="8">
        <v>43355</v>
      </c>
      <c r="B1581" s="9">
        <v>0.53472222222222221</v>
      </c>
      <c r="C1581" s="10" t="str">
        <f>"FES1162646823"</f>
        <v>FES1162646823</v>
      </c>
      <c r="D1581" s="10" t="s">
        <v>19</v>
      </c>
      <c r="E1581" s="10" t="s">
        <v>336</v>
      </c>
      <c r="F1581" s="10" t="str">
        <f>"2170651100 "</f>
        <v xml:space="preserve">2170651100 </v>
      </c>
      <c r="G1581" s="10" t="str">
        <f t="shared" si="39"/>
        <v>ON1</v>
      </c>
      <c r="H1581" s="10" t="s">
        <v>21</v>
      </c>
      <c r="I1581" s="10" t="s">
        <v>117</v>
      </c>
      <c r="J1581" s="10" t="str">
        <f>""</f>
        <v/>
      </c>
      <c r="K1581" s="10" t="str">
        <f>"PFES1162646823_0001"</f>
        <v>PFES1162646823_0001</v>
      </c>
      <c r="L1581" s="10">
        <v>1</v>
      </c>
      <c r="M1581" s="10">
        <v>1</v>
      </c>
    </row>
    <row r="1582" spans="1:13">
      <c r="A1582" s="8">
        <v>43355</v>
      </c>
      <c r="B1582" s="9">
        <v>0.53472222222222221</v>
      </c>
      <c r="C1582" s="10" t="str">
        <f>"FES1162646820"</f>
        <v>FES1162646820</v>
      </c>
      <c r="D1582" s="10" t="s">
        <v>19</v>
      </c>
      <c r="E1582" s="10" t="s">
        <v>232</v>
      </c>
      <c r="F1582" s="10" t="str">
        <f>"2170650924 "</f>
        <v xml:space="preserve">2170650924 </v>
      </c>
      <c r="G1582" s="10" t="str">
        <f t="shared" si="39"/>
        <v>ON1</v>
      </c>
      <c r="H1582" s="10" t="s">
        <v>21</v>
      </c>
      <c r="I1582" s="10" t="s">
        <v>233</v>
      </c>
      <c r="J1582" s="10" t="str">
        <f>""</f>
        <v/>
      </c>
      <c r="K1582" s="10" t="str">
        <f>"PFES1162646820_0001"</f>
        <v>PFES1162646820_0001</v>
      </c>
      <c r="L1582" s="10">
        <v>1</v>
      </c>
      <c r="M1582" s="10">
        <v>2</v>
      </c>
    </row>
    <row r="1583" spans="1:13">
      <c r="A1583" s="8">
        <v>43355</v>
      </c>
      <c r="B1583" s="9">
        <v>0.53472222222222221</v>
      </c>
      <c r="C1583" s="10" t="str">
        <f>"FES1162646768"</f>
        <v>FES1162646768</v>
      </c>
      <c r="D1583" s="10" t="s">
        <v>19</v>
      </c>
      <c r="E1583" s="10" t="s">
        <v>58</v>
      </c>
      <c r="F1583" s="10" t="str">
        <f>"21706549952 "</f>
        <v xml:space="preserve">21706549952 </v>
      </c>
      <c r="G1583" s="10" t="str">
        <f t="shared" si="39"/>
        <v>ON1</v>
      </c>
      <c r="H1583" s="10" t="s">
        <v>21</v>
      </c>
      <c r="I1583" s="10" t="s">
        <v>30</v>
      </c>
      <c r="J1583" s="10" t="str">
        <f>""</f>
        <v/>
      </c>
      <c r="K1583" s="10" t="str">
        <f>"PFES1162646768_0001"</f>
        <v>PFES1162646768_0001</v>
      </c>
      <c r="L1583" s="10">
        <v>1</v>
      </c>
      <c r="M1583" s="10">
        <v>1</v>
      </c>
    </row>
    <row r="1584" spans="1:13">
      <c r="A1584" s="8">
        <v>43355</v>
      </c>
      <c r="B1584" s="9">
        <v>0.53472222222222221</v>
      </c>
      <c r="C1584" s="10" t="str">
        <f>"FES1162646802"</f>
        <v>FES1162646802</v>
      </c>
      <c r="D1584" s="10" t="s">
        <v>19</v>
      </c>
      <c r="E1584" s="10" t="s">
        <v>58</v>
      </c>
      <c r="F1584" s="10" t="str">
        <f>"2170651461 "</f>
        <v xml:space="preserve">2170651461 </v>
      </c>
      <c r="G1584" s="10" t="str">
        <f t="shared" si="39"/>
        <v>ON1</v>
      </c>
      <c r="H1584" s="10" t="s">
        <v>21</v>
      </c>
      <c r="I1584" s="10" t="s">
        <v>30</v>
      </c>
      <c r="J1584" s="10" t="str">
        <f>""</f>
        <v/>
      </c>
      <c r="K1584" s="10" t="str">
        <f>"PFES1162646802_0001"</f>
        <v>PFES1162646802_0001</v>
      </c>
      <c r="L1584" s="10">
        <v>1</v>
      </c>
      <c r="M1584" s="10">
        <v>1</v>
      </c>
    </row>
    <row r="1585" spans="1:13">
      <c r="A1585" s="8">
        <v>43355</v>
      </c>
      <c r="B1585" s="9">
        <v>0.53472222222222221</v>
      </c>
      <c r="C1585" s="10" t="str">
        <f>"FES1162646853"</f>
        <v>FES1162646853</v>
      </c>
      <c r="D1585" s="10" t="s">
        <v>19</v>
      </c>
      <c r="E1585" s="10" t="s">
        <v>136</v>
      </c>
      <c r="F1585" s="10" t="str">
        <f>"2170651511 "</f>
        <v xml:space="preserve">2170651511 </v>
      </c>
      <c r="G1585" s="10" t="str">
        <f t="shared" si="39"/>
        <v>ON1</v>
      </c>
      <c r="H1585" s="10" t="s">
        <v>21</v>
      </c>
      <c r="I1585" s="10" t="s">
        <v>24</v>
      </c>
      <c r="J1585" s="10" t="str">
        <f>""</f>
        <v/>
      </c>
      <c r="K1585" s="10" t="str">
        <f>"PFES1162646853_0001"</f>
        <v>PFES1162646853_0001</v>
      </c>
      <c r="L1585" s="10">
        <v>1</v>
      </c>
      <c r="M1585" s="10">
        <v>1</v>
      </c>
    </row>
    <row r="1586" spans="1:13">
      <c r="A1586" s="8">
        <v>43355</v>
      </c>
      <c r="B1586" s="9">
        <v>0.53402777777777777</v>
      </c>
      <c r="C1586" s="10" t="str">
        <f>"FES1162646807"</f>
        <v>FES1162646807</v>
      </c>
      <c r="D1586" s="10" t="s">
        <v>19</v>
      </c>
      <c r="E1586" s="10" t="s">
        <v>823</v>
      </c>
      <c r="F1586" s="10" t="str">
        <f>"2170651467 "</f>
        <v xml:space="preserve">2170651467 </v>
      </c>
      <c r="G1586" s="10" t="str">
        <f t="shared" si="39"/>
        <v>ON1</v>
      </c>
      <c r="H1586" s="10" t="s">
        <v>21</v>
      </c>
      <c r="I1586" s="10" t="s">
        <v>68</v>
      </c>
      <c r="J1586" s="10" t="str">
        <f>""</f>
        <v/>
      </c>
      <c r="K1586" s="10" t="str">
        <f>"PFES1162646807_0001"</f>
        <v>PFES1162646807_0001</v>
      </c>
      <c r="L1586" s="10">
        <v>1</v>
      </c>
      <c r="M1586" s="10">
        <v>2</v>
      </c>
    </row>
    <row r="1587" spans="1:13">
      <c r="A1587" s="8">
        <v>43355</v>
      </c>
      <c r="B1587" s="9">
        <v>0.53402777777777777</v>
      </c>
      <c r="C1587" s="10" t="str">
        <f>"FES1162646798"</f>
        <v>FES1162646798</v>
      </c>
      <c r="D1587" s="10" t="s">
        <v>19</v>
      </c>
      <c r="E1587" s="10" t="s">
        <v>824</v>
      </c>
      <c r="F1587" s="10" t="str">
        <f>"2170651414 "</f>
        <v xml:space="preserve">2170651414 </v>
      </c>
      <c r="G1587" s="10" t="str">
        <f t="shared" si="39"/>
        <v>ON1</v>
      </c>
      <c r="H1587" s="10" t="s">
        <v>21</v>
      </c>
      <c r="I1587" s="10" t="s">
        <v>83</v>
      </c>
      <c r="J1587" s="10" t="str">
        <f>""</f>
        <v/>
      </c>
      <c r="K1587" s="10" t="str">
        <f>"PFES1162646798_0001"</f>
        <v>PFES1162646798_0001</v>
      </c>
      <c r="L1587" s="10">
        <v>1</v>
      </c>
      <c r="M1587" s="10">
        <v>1</v>
      </c>
    </row>
    <row r="1588" spans="1:13">
      <c r="A1588" s="8">
        <v>43355</v>
      </c>
      <c r="B1588" s="9">
        <v>0.53402777777777777</v>
      </c>
      <c r="C1588" s="10" t="str">
        <f>"FES1162646826"</f>
        <v>FES1162646826</v>
      </c>
      <c r="D1588" s="10" t="s">
        <v>19</v>
      </c>
      <c r="E1588" s="10" t="s">
        <v>662</v>
      </c>
      <c r="F1588" s="10" t="str">
        <f>"2170651240 "</f>
        <v xml:space="preserve">2170651240 </v>
      </c>
      <c r="G1588" s="10" t="str">
        <f t="shared" si="39"/>
        <v>ON1</v>
      </c>
      <c r="H1588" s="10" t="s">
        <v>21</v>
      </c>
      <c r="I1588" s="10" t="s">
        <v>508</v>
      </c>
      <c r="J1588" s="10" t="str">
        <f>""</f>
        <v/>
      </c>
      <c r="K1588" s="10" t="str">
        <f>"PFES1162646826_0001"</f>
        <v>PFES1162646826_0001</v>
      </c>
      <c r="L1588" s="10">
        <v>1</v>
      </c>
      <c r="M1588" s="10">
        <v>1</v>
      </c>
    </row>
    <row r="1589" spans="1:13">
      <c r="A1589" s="8">
        <v>43355</v>
      </c>
      <c r="B1589" s="9">
        <v>0.53333333333333333</v>
      </c>
      <c r="C1589" s="10" t="str">
        <f>"FES1162646871"</f>
        <v>FES1162646871</v>
      </c>
      <c r="D1589" s="10" t="s">
        <v>19</v>
      </c>
      <c r="E1589" s="10" t="s">
        <v>281</v>
      </c>
      <c r="F1589" s="10" t="str">
        <f>"2170651532 "</f>
        <v xml:space="preserve">2170651532 </v>
      </c>
      <c r="G1589" s="10" t="str">
        <f t="shared" si="39"/>
        <v>ON1</v>
      </c>
      <c r="H1589" s="10" t="s">
        <v>21</v>
      </c>
      <c r="I1589" s="10" t="s">
        <v>282</v>
      </c>
      <c r="J1589" s="10" t="str">
        <f>""</f>
        <v/>
      </c>
      <c r="K1589" s="10" t="str">
        <f>"PFES1162646871_0001"</f>
        <v>PFES1162646871_0001</v>
      </c>
      <c r="L1589" s="10">
        <v>1</v>
      </c>
      <c r="M1589" s="10">
        <v>1</v>
      </c>
    </row>
    <row r="1590" spans="1:13">
      <c r="A1590" s="8">
        <v>43355</v>
      </c>
      <c r="B1590" s="9">
        <v>0.53333333333333333</v>
      </c>
      <c r="C1590" s="10" t="str">
        <f>"FES1162646770"</f>
        <v>FES1162646770</v>
      </c>
      <c r="D1590" s="10" t="s">
        <v>19</v>
      </c>
      <c r="E1590" s="10" t="s">
        <v>424</v>
      </c>
      <c r="F1590" s="10" t="str">
        <f>"2170650366 "</f>
        <v xml:space="preserve">2170650366 </v>
      </c>
      <c r="G1590" s="10" t="str">
        <f t="shared" si="39"/>
        <v>ON1</v>
      </c>
      <c r="H1590" s="10" t="s">
        <v>21</v>
      </c>
      <c r="I1590" s="10" t="s">
        <v>97</v>
      </c>
      <c r="J1590" s="10" t="str">
        <f>""</f>
        <v/>
      </c>
      <c r="K1590" s="10" t="str">
        <f>"PFES1162646770_0001"</f>
        <v>PFES1162646770_0001</v>
      </c>
      <c r="L1590" s="10">
        <v>1</v>
      </c>
      <c r="M1590" s="10">
        <v>3</v>
      </c>
    </row>
    <row r="1591" spans="1:13">
      <c r="A1591" s="8">
        <v>43355</v>
      </c>
      <c r="B1591" s="9">
        <v>0.53333333333333333</v>
      </c>
      <c r="C1591" s="10" t="str">
        <f>"FES1162646825"</f>
        <v>FES1162646825</v>
      </c>
      <c r="D1591" s="10" t="s">
        <v>19</v>
      </c>
      <c r="E1591" s="10" t="s">
        <v>526</v>
      </c>
      <c r="F1591" s="10" t="str">
        <f>"2170651225 "</f>
        <v xml:space="preserve">2170651225 </v>
      </c>
      <c r="G1591" s="10" t="str">
        <f t="shared" si="39"/>
        <v>ON1</v>
      </c>
      <c r="H1591" s="10" t="s">
        <v>21</v>
      </c>
      <c r="I1591" s="10" t="s">
        <v>36</v>
      </c>
      <c r="J1591" s="10" t="str">
        <f>""</f>
        <v/>
      </c>
      <c r="K1591" s="10" t="str">
        <f>"PFES1162646825_0001"</f>
        <v>PFES1162646825_0001</v>
      </c>
      <c r="L1591" s="10">
        <v>1</v>
      </c>
      <c r="M1591" s="10">
        <v>1</v>
      </c>
    </row>
    <row r="1592" spans="1:13">
      <c r="A1592" s="8">
        <v>43355</v>
      </c>
      <c r="B1592" s="9">
        <v>0.53333333333333333</v>
      </c>
      <c r="C1592" s="10" t="str">
        <f>"FES1162646849"</f>
        <v>FES1162646849</v>
      </c>
      <c r="D1592" s="10" t="s">
        <v>19</v>
      </c>
      <c r="E1592" s="10" t="s">
        <v>141</v>
      </c>
      <c r="F1592" s="10" t="str">
        <f>"2170651505 "</f>
        <v xml:space="preserve">2170651505 </v>
      </c>
      <c r="G1592" s="10" t="str">
        <f t="shared" si="39"/>
        <v>ON1</v>
      </c>
      <c r="H1592" s="10" t="s">
        <v>21</v>
      </c>
      <c r="I1592" s="10" t="s">
        <v>91</v>
      </c>
      <c r="J1592" s="10" t="str">
        <f>""</f>
        <v/>
      </c>
      <c r="K1592" s="10" t="str">
        <f>"PFES1162646849_0001"</f>
        <v>PFES1162646849_0001</v>
      </c>
      <c r="L1592" s="10">
        <v>1</v>
      </c>
      <c r="M1592" s="10">
        <v>1</v>
      </c>
    </row>
    <row r="1593" spans="1:13">
      <c r="A1593" s="8">
        <v>43355</v>
      </c>
      <c r="B1593" s="9">
        <v>0.53263888888888888</v>
      </c>
      <c r="C1593" s="10" t="str">
        <f>"FES1162646863"</f>
        <v>FES1162646863</v>
      </c>
      <c r="D1593" s="10" t="s">
        <v>19</v>
      </c>
      <c r="E1593" s="10" t="s">
        <v>298</v>
      </c>
      <c r="F1593" s="10" t="str">
        <f>"2170651516 "</f>
        <v xml:space="preserve">2170651516 </v>
      </c>
      <c r="G1593" s="10" t="str">
        <f t="shared" ref="G1593:G1631" si="40">"ON1"</f>
        <v>ON1</v>
      </c>
      <c r="H1593" s="10" t="s">
        <v>21</v>
      </c>
      <c r="I1593" s="10" t="s">
        <v>118</v>
      </c>
      <c r="J1593" s="10" t="str">
        <f>""</f>
        <v/>
      </c>
      <c r="K1593" s="10" t="str">
        <f>"PFES1162646863_0001"</f>
        <v>PFES1162646863_0001</v>
      </c>
      <c r="L1593" s="10">
        <v>1</v>
      </c>
      <c r="M1593" s="10">
        <v>1</v>
      </c>
    </row>
    <row r="1594" spans="1:13">
      <c r="A1594" s="8">
        <v>43355</v>
      </c>
      <c r="B1594" s="9">
        <v>0.53263888888888888</v>
      </c>
      <c r="C1594" s="10" t="str">
        <f>"FES1162646786"</f>
        <v>FES1162646786</v>
      </c>
      <c r="D1594" s="10" t="s">
        <v>19</v>
      </c>
      <c r="E1594" s="10" t="s">
        <v>84</v>
      </c>
      <c r="F1594" s="10" t="str">
        <f>"2170651437 "</f>
        <v xml:space="preserve">2170651437 </v>
      </c>
      <c r="G1594" s="10" t="str">
        <f t="shared" si="40"/>
        <v>ON1</v>
      </c>
      <c r="H1594" s="10" t="s">
        <v>21</v>
      </c>
      <c r="I1594" s="10" t="s">
        <v>85</v>
      </c>
      <c r="J1594" s="10" t="str">
        <f>""</f>
        <v/>
      </c>
      <c r="K1594" s="10" t="str">
        <f>"PFES1162646786_0001"</f>
        <v>PFES1162646786_0001</v>
      </c>
      <c r="L1594" s="10">
        <v>1</v>
      </c>
      <c r="M1594" s="10">
        <v>7</v>
      </c>
    </row>
    <row r="1595" spans="1:13">
      <c r="A1595" s="8">
        <v>43355</v>
      </c>
      <c r="B1595" s="9">
        <v>0.53263888888888888</v>
      </c>
      <c r="C1595" s="10" t="str">
        <f>"FES1162646854"</f>
        <v>FES1162646854</v>
      </c>
      <c r="D1595" s="10" t="s">
        <v>19</v>
      </c>
      <c r="E1595" s="10" t="s">
        <v>137</v>
      </c>
      <c r="F1595" s="10" t="str">
        <f>"2170651512 "</f>
        <v xml:space="preserve">2170651512 </v>
      </c>
      <c r="G1595" s="10" t="str">
        <f t="shared" si="40"/>
        <v>ON1</v>
      </c>
      <c r="H1595" s="10" t="s">
        <v>21</v>
      </c>
      <c r="I1595" s="10" t="s">
        <v>138</v>
      </c>
      <c r="J1595" s="10" t="str">
        <f>""</f>
        <v/>
      </c>
      <c r="K1595" s="10" t="str">
        <f>"PFES1162646854_0001"</f>
        <v>PFES1162646854_0001</v>
      </c>
      <c r="L1595" s="10">
        <v>1</v>
      </c>
      <c r="M1595" s="10">
        <v>1</v>
      </c>
    </row>
    <row r="1596" spans="1:13">
      <c r="A1596" s="8">
        <v>43355</v>
      </c>
      <c r="B1596" s="9">
        <v>0.53194444444444444</v>
      </c>
      <c r="C1596" s="10" t="str">
        <f>"FES1162646818"</f>
        <v>FES1162646818</v>
      </c>
      <c r="D1596" s="10" t="s">
        <v>19</v>
      </c>
      <c r="E1596" s="10" t="s">
        <v>422</v>
      </c>
      <c r="F1596" s="10" t="str">
        <f>"2170649837 "</f>
        <v xml:space="preserve">2170649837 </v>
      </c>
      <c r="G1596" s="10" t="str">
        <f t="shared" si="40"/>
        <v>ON1</v>
      </c>
      <c r="H1596" s="10" t="s">
        <v>21</v>
      </c>
      <c r="I1596" s="10" t="s">
        <v>42</v>
      </c>
      <c r="J1596" s="10" t="str">
        <f>""</f>
        <v/>
      </c>
      <c r="K1596" s="10" t="str">
        <f>"PFES1162646818_0001"</f>
        <v>PFES1162646818_0001</v>
      </c>
      <c r="L1596" s="10">
        <v>1</v>
      </c>
      <c r="M1596" s="10">
        <v>1</v>
      </c>
    </row>
    <row r="1597" spans="1:13">
      <c r="A1597" s="8">
        <v>43355</v>
      </c>
      <c r="B1597" s="9">
        <v>0.53194444444444444</v>
      </c>
      <c r="C1597" s="10" t="str">
        <f>"FES1162646815"</f>
        <v>FES1162646815</v>
      </c>
      <c r="D1597" s="10" t="s">
        <v>19</v>
      </c>
      <c r="E1597" s="10" t="s">
        <v>434</v>
      </c>
      <c r="F1597" s="10" t="str">
        <f>"217063237 "</f>
        <v xml:space="preserve">217063237 </v>
      </c>
      <c r="G1597" s="10" t="str">
        <f t="shared" si="40"/>
        <v>ON1</v>
      </c>
      <c r="H1597" s="10" t="s">
        <v>21</v>
      </c>
      <c r="I1597" s="10" t="s">
        <v>30</v>
      </c>
      <c r="J1597" s="10" t="str">
        <f>""</f>
        <v/>
      </c>
      <c r="K1597" s="10" t="str">
        <f>"PFES1162646815_0001"</f>
        <v>PFES1162646815_0001</v>
      </c>
      <c r="L1597" s="10">
        <v>1</v>
      </c>
      <c r="M1597" s="10">
        <v>1</v>
      </c>
    </row>
    <row r="1598" spans="1:13">
      <c r="A1598" s="8">
        <v>43355</v>
      </c>
      <c r="B1598" s="9">
        <v>0.53194444444444444</v>
      </c>
      <c r="C1598" s="10" t="str">
        <f>"FES1162646781"</f>
        <v>FES1162646781</v>
      </c>
      <c r="D1598" s="10" t="s">
        <v>19</v>
      </c>
      <c r="E1598" s="10" t="s">
        <v>141</v>
      </c>
      <c r="F1598" s="10" t="str">
        <f>"21706541426 "</f>
        <v xml:space="preserve">21706541426 </v>
      </c>
      <c r="G1598" s="10" t="str">
        <f t="shared" si="40"/>
        <v>ON1</v>
      </c>
      <c r="H1598" s="10" t="s">
        <v>21</v>
      </c>
      <c r="I1598" s="10" t="s">
        <v>91</v>
      </c>
      <c r="J1598" s="10" t="str">
        <f>""</f>
        <v/>
      </c>
      <c r="K1598" s="10" t="str">
        <f>"PFES1162646781_0001"</f>
        <v>PFES1162646781_0001</v>
      </c>
      <c r="L1598" s="10">
        <v>1</v>
      </c>
      <c r="M1598" s="10">
        <v>1</v>
      </c>
    </row>
    <row r="1599" spans="1:13">
      <c r="A1599" s="8">
        <v>43355</v>
      </c>
      <c r="B1599" s="9">
        <v>0.53125</v>
      </c>
      <c r="C1599" s="10" t="str">
        <f>"FES1162646858"</f>
        <v>FES1162646858</v>
      </c>
      <c r="D1599" s="10" t="s">
        <v>19</v>
      </c>
      <c r="E1599" s="10" t="s">
        <v>69</v>
      </c>
      <c r="F1599" s="10" t="str">
        <f>"2170651515 "</f>
        <v xml:space="preserve">2170651515 </v>
      </c>
      <c r="G1599" s="10" t="str">
        <f t="shared" si="40"/>
        <v>ON1</v>
      </c>
      <c r="H1599" s="10" t="s">
        <v>21</v>
      </c>
      <c r="I1599" s="10" t="s">
        <v>68</v>
      </c>
      <c r="J1599" s="10" t="str">
        <f>""</f>
        <v/>
      </c>
      <c r="K1599" s="10" t="str">
        <f>"PFES1162646858_0001"</f>
        <v>PFES1162646858_0001</v>
      </c>
      <c r="L1599" s="10">
        <v>1</v>
      </c>
      <c r="M1599" s="10">
        <v>2</v>
      </c>
    </row>
    <row r="1600" spans="1:13">
      <c r="A1600" s="8">
        <v>43355</v>
      </c>
      <c r="B1600" s="9">
        <v>0.53125</v>
      </c>
      <c r="C1600" s="10" t="str">
        <f>"FES1162646848"</f>
        <v>FES1162646848</v>
      </c>
      <c r="D1600" s="10" t="s">
        <v>19</v>
      </c>
      <c r="E1600" s="10" t="s">
        <v>20</v>
      </c>
      <c r="F1600" s="10" t="str">
        <f>"2170651504 "</f>
        <v xml:space="preserve">2170651504 </v>
      </c>
      <c r="G1600" s="10" t="str">
        <f t="shared" si="40"/>
        <v>ON1</v>
      </c>
      <c r="H1600" s="10" t="s">
        <v>21</v>
      </c>
      <c r="I1600" s="10" t="s">
        <v>22</v>
      </c>
      <c r="J1600" s="10" t="str">
        <f>""</f>
        <v/>
      </c>
      <c r="K1600" s="10" t="str">
        <f>"PFES1162646848_0001"</f>
        <v>PFES1162646848_0001</v>
      </c>
      <c r="L1600" s="10">
        <v>1</v>
      </c>
      <c r="M1600" s="10">
        <v>1</v>
      </c>
    </row>
    <row r="1601" spans="1:13">
      <c r="A1601" s="8">
        <v>43355</v>
      </c>
      <c r="B1601" s="9">
        <v>0.53125</v>
      </c>
      <c r="C1601" s="10" t="str">
        <f>"FES1162646777"</f>
        <v>FES1162646777</v>
      </c>
      <c r="D1601" s="10" t="s">
        <v>19</v>
      </c>
      <c r="E1601" s="10" t="s">
        <v>332</v>
      </c>
      <c r="F1601" s="10" t="str">
        <f>"2170651067 "</f>
        <v xml:space="preserve">2170651067 </v>
      </c>
      <c r="G1601" s="10" t="str">
        <f t="shared" si="40"/>
        <v>ON1</v>
      </c>
      <c r="H1601" s="10" t="s">
        <v>21</v>
      </c>
      <c r="I1601" s="10" t="s">
        <v>333</v>
      </c>
      <c r="J1601" s="10" t="str">
        <f>""</f>
        <v/>
      </c>
      <c r="K1601" s="10" t="str">
        <f>"PFES1162646777_0001"</f>
        <v>PFES1162646777_0001</v>
      </c>
      <c r="L1601" s="10">
        <v>1</v>
      </c>
      <c r="M1601" s="10">
        <v>1</v>
      </c>
    </row>
    <row r="1602" spans="1:13">
      <c r="A1602" s="8">
        <v>43355</v>
      </c>
      <c r="B1602" s="9">
        <v>0.53055555555555556</v>
      </c>
      <c r="C1602" s="10" t="str">
        <f>"FES1162646837"</f>
        <v>FES1162646837</v>
      </c>
      <c r="D1602" s="10" t="s">
        <v>19</v>
      </c>
      <c r="E1602" s="10" t="s">
        <v>361</v>
      </c>
      <c r="F1602" s="10" t="str">
        <f>"2170650704 "</f>
        <v xml:space="preserve">2170650704 </v>
      </c>
      <c r="G1602" s="10" t="str">
        <f t="shared" si="40"/>
        <v>ON1</v>
      </c>
      <c r="H1602" s="10" t="s">
        <v>21</v>
      </c>
      <c r="I1602" s="10" t="s">
        <v>107</v>
      </c>
      <c r="J1602" s="10" t="str">
        <f>""</f>
        <v/>
      </c>
      <c r="K1602" s="10" t="str">
        <f>"PFES1162646837_0001"</f>
        <v>PFES1162646837_0001</v>
      </c>
      <c r="L1602" s="10">
        <v>1</v>
      </c>
      <c r="M1602" s="10">
        <v>1</v>
      </c>
    </row>
    <row r="1603" spans="1:13">
      <c r="A1603" s="8">
        <v>43355</v>
      </c>
      <c r="B1603" s="9">
        <v>0.53055555555555556</v>
      </c>
      <c r="C1603" s="10" t="str">
        <f>"FES1162646845"</f>
        <v>FES1162646845</v>
      </c>
      <c r="D1603" s="10" t="s">
        <v>19</v>
      </c>
      <c r="E1603" s="10" t="s">
        <v>825</v>
      </c>
      <c r="F1603" s="10" t="str">
        <f>"2170651501 "</f>
        <v xml:space="preserve">2170651501 </v>
      </c>
      <c r="G1603" s="10" t="str">
        <f t="shared" si="40"/>
        <v>ON1</v>
      </c>
      <c r="H1603" s="10" t="s">
        <v>21</v>
      </c>
      <c r="I1603" s="10" t="s">
        <v>826</v>
      </c>
      <c r="J1603" s="10" t="str">
        <f>""</f>
        <v/>
      </c>
      <c r="K1603" s="10" t="str">
        <f>"PFES1162646845_0001"</f>
        <v>PFES1162646845_0001</v>
      </c>
      <c r="L1603" s="10">
        <v>1</v>
      </c>
      <c r="M1603" s="10">
        <v>1</v>
      </c>
    </row>
    <row r="1604" spans="1:13">
      <c r="A1604" s="8">
        <v>43355</v>
      </c>
      <c r="B1604" s="9">
        <v>0.53055555555555556</v>
      </c>
      <c r="C1604" s="10" t="str">
        <f>"FES1162646914"</f>
        <v>FES1162646914</v>
      </c>
      <c r="D1604" s="10" t="s">
        <v>19</v>
      </c>
      <c r="E1604" s="10" t="s">
        <v>445</v>
      </c>
      <c r="F1604" s="10" t="str">
        <f>"2170651571 "</f>
        <v xml:space="preserve">2170651571 </v>
      </c>
      <c r="G1604" s="10" t="str">
        <f t="shared" si="40"/>
        <v>ON1</v>
      </c>
      <c r="H1604" s="10" t="s">
        <v>21</v>
      </c>
      <c r="I1604" s="10" t="s">
        <v>206</v>
      </c>
      <c r="J1604" s="10" t="str">
        <f>""</f>
        <v/>
      </c>
      <c r="K1604" s="10" t="str">
        <f>"PFES1162646914_0001"</f>
        <v>PFES1162646914_0001</v>
      </c>
      <c r="L1604" s="10">
        <v>1</v>
      </c>
      <c r="M1604" s="10">
        <v>1</v>
      </c>
    </row>
    <row r="1605" spans="1:13">
      <c r="A1605" s="8">
        <v>43355</v>
      </c>
      <c r="B1605" s="9">
        <v>0.52847222222222223</v>
      </c>
      <c r="C1605" s="10" t="str">
        <f>"FES1162646831"</f>
        <v>FES1162646831</v>
      </c>
      <c r="D1605" s="10" t="s">
        <v>19</v>
      </c>
      <c r="E1605" s="10" t="s">
        <v>395</v>
      </c>
      <c r="F1605" s="10" t="str">
        <f>"2170651484 "</f>
        <v xml:space="preserve">2170651484 </v>
      </c>
      <c r="G1605" s="10" t="str">
        <f t="shared" si="40"/>
        <v>ON1</v>
      </c>
      <c r="H1605" s="10" t="s">
        <v>21</v>
      </c>
      <c r="I1605" s="10" t="s">
        <v>396</v>
      </c>
      <c r="J1605" s="10" t="str">
        <f>""</f>
        <v/>
      </c>
      <c r="K1605" s="10" t="str">
        <f>"PFES1162646831_0001"</f>
        <v>PFES1162646831_0001</v>
      </c>
      <c r="L1605" s="10">
        <v>1</v>
      </c>
      <c r="M1605" s="10">
        <v>3</v>
      </c>
    </row>
    <row r="1606" spans="1:13">
      <c r="A1606" s="8">
        <v>43355</v>
      </c>
      <c r="B1606" s="9">
        <v>0.52777777777777779</v>
      </c>
      <c r="C1606" s="10" t="str">
        <f>"FES1162646851"</f>
        <v>FES1162646851</v>
      </c>
      <c r="D1606" s="10" t="s">
        <v>19</v>
      </c>
      <c r="E1606" s="10" t="s">
        <v>39</v>
      </c>
      <c r="F1606" s="10" t="str">
        <f>"2170651506 "</f>
        <v xml:space="preserve">2170651506 </v>
      </c>
      <c r="G1606" s="10" t="str">
        <f t="shared" si="40"/>
        <v>ON1</v>
      </c>
      <c r="H1606" s="10" t="s">
        <v>21</v>
      </c>
      <c r="I1606" s="10" t="s">
        <v>40</v>
      </c>
      <c r="J1606" s="10" t="str">
        <f>""</f>
        <v/>
      </c>
      <c r="K1606" s="10" t="str">
        <f>"PFES1162646851_0001"</f>
        <v>PFES1162646851_0001</v>
      </c>
      <c r="L1606" s="10">
        <v>1</v>
      </c>
      <c r="M1606" s="10">
        <v>2</v>
      </c>
    </row>
    <row r="1607" spans="1:13">
      <c r="A1607" s="8">
        <v>43355</v>
      </c>
      <c r="B1607" s="9">
        <v>0.52708333333333335</v>
      </c>
      <c r="C1607" s="10" t="str">
        <f>"FES1162646903"</f>
        <v>FES1162646903</v>
      </c>
      <c r="D1607" s="10" t="s">
        <v>19</v>
      </c>
      <c r="E1607" s="10" t="s">
        <v>174</v>
      </c>
      <c r="F1607" s="10" t="str">
        <f>"2170644647 "</f>
        <v xml:space="preserve">2170644647 </v>
      </c>
      <c r="G1607" s="10" t="str">
        <f t="shared" si="40"/>
        <v>ON1</v>
      </c>
      <c r="H1607" s="10" t="s">
        <v>21</v>
      </c>
      <c r="I1607" s="10" t="s">
        <v>175</v>
      </c>
      <c r="J1607" s="10" t="str">
        <f>""</f>
        <v/>
      </c>
      <c r="K1607" s="10" t="str">
        <f>"PFES1162646903_0001"</f>
        <v>PFES1162646903_0001</v>
      </c>
      <c r="L1607" s="10">
        <v>1</v>
      </c>
      <c r="M1607" s="10">
        <v>9</v>
      </c>
    </row>
    <row r="1608" spans="1:13">
      <c r="A1608" s="8">
        <v>43355</v>
      </c>
      <c r="B1608" s="9">
        <v>0.52569444444444446</v>
      </c>
      <c r="C1608" s="10" t="str">
        <f>"FES1162646887"</f>
        <v>FES1162646887</v>
      </c>
      <c r="D1608" s="10" t="s">
        <v>19</v>
      </c>
      <c r="E1608" s="10" t="s">
        <v>301</v>
      </c>
      <c r="F1608" s="10" t="str">
        <f>"2170647386 "</f>
        <v xml:space="preserve">2170647386 </v>
      </c>
      <c r="G1608" s="10" t="str">
        <f t="shared" si="40"/>
        <v>ON1</v>
      </c>
      <c r="H1608" s="10" t="s">
        <v>21</v>
      </c>
      <c r="I1608" s="10" t="s">
        <v>309</v>
      </c>
      <c r="J1608" s="10" t="str">
        <f>""</f>
        <v/>
      </c>
      <c r="K1608" s="10" t="str">
        <f>"PFES1162646887_0001"</f>
        <v>PFES1162646887_0001</v>
      </c>
      <c r="L1608" s="10">
        <v>1</v>
      </c>
      <c r="M1608" s="10">
        <v>4</v>
      </c>
    </row>
    <row r="1609" spans="1:13">
      <c r="A1609" s="8">
        <v>43355</v>
      </c>
      <c r="B1609" s="9">
        <v>0.52500000000000002</v>
      </c>
      <c r="C1609" s="10" t="str">
        <f>"FES1162646737"</f>
        <v>FES1162646737</v>
      </c>
      <c r="D1609" s="10" t="s">
        <v>19</v>
      </c>
      <c r="E1609" s="10" t="s">
        <v>103</v>
      </c>
      <c r="F1609" s="10" t="str">
        <f>"2170651039 "</f>
        <v xml:space="preserve">2170651039 </v>
      </c>
      <c r="G1609" s="10" t="str">
        <f t="shared" si="40"/>
        <v>ON1</v>
      </c>
      <c r="H1609" s="10" t="s">
        <v>21</v>
      </c>
      <c r="I1609" s="10" t="s">
        <v>433</v>
      </c>
      <c r="J1609" s="10" t="str">
        <f>""</f>
        <v/>
      </c>
      <c r="K1609" s="10" t="str">
        <f>"PFES1162646737_0001"</f>
        <v>PFES1162646737_0001</v>
      </c>
      <c r="L1609" s="10">
        <v>1</v>
      </c>
      <c r="M1609" s="10">
        <v>17</v>
      </c>
    </row>
    <row r="1610" spans="1:13">
      <c r="A1610" s="8">
        <v>43355</v>
      </c>
      <c r="B1610" s="9">
        <v>0.52430555555555558</v>
      </c>
      <c r="C1610" s="10" t="str">
        <f>"FES1162646888"</f>
        <v>FES1162646888</v>
      </c>
      <c r="D1610" s="10" t="s">
        <v>19</v>
      </c>
      <c r="E1610" s="10" t="s">
        <v>174</v>
      </c>
      <c r="F1610" s="10" t="str">
        <f>"2170648431 "</f>
        <v xml:space="preserve">2170648431 </v>
      </c>
      <c r="G1610" s="10" t="str">
        <f t="shared" si="40"/>
        <v>ON1</v>
      </c>
      <c r="H1610" s="10" t="s">
        <v>21</v>
      </c>
      <c r="I1610" s="10" t="s">
        <v>175</v>
      </c>
      <c r="J1610" s="10" t="str">
        <f>""</f>
        <v/>
      </c>
      <c r="K1610" s="10" t="str">
        <f>"PFES1162646888_0001"</f>
        <v>PFES1162646888_0001</v>
      </c>
      <c r="L1610" s="10">
        <v>1</v>
      </c>
      <c r="M1610" s="10">
        <v>9</v>
      </c>
    </row>
    <row r="1611" spans="1:13">
      <c r="A1611" s="8">
        <v>43355</v>
      </c>
      <c r="B1611" s="9">
        <v>0.52361111111111114</v>
      </c>
      <c r="C1611" s="10" t="str">
        <f>"FES1162646839"</f>
        <v>FES1162646839</v>
      </c>
      <c r="D1611" s="10" t="s">
        <v>19</v>
      </c>
      <c r="E1611" s="10" t="s">
        <v>827</v>
      </c>
      <c r="F1611" s="10" t="str">
        <f>"2170651303 "</f>
        <v xml:space="preserve">2170651303 </v>
      </c>
      <c r="G1611" s="10" t="str">
        <f t="shared" si="40"/>
        <v>ON1</v>
      </c>
      <c r="H1611" s="10" t="s">
        <v>21</v>
      </c>
      <c r="I1611" s="10" t="s">
        <v>828</v>
      </c>
      <c r="J1611" s="10" t="str">
        <f>""</f>
        <v/>
      </c>
      <c r="K1611" s="10" t="str">
        <f>"PFES1162646839_0001"</f>
        <v>PFES1162646839_0001</v>
      </c>
      <c r="L1611" s="10">
        <v>1</v>
      </c>
      <c r="M1611" s="10">
        <v>2</v>
      </c>
    </row>
    <row r="1612" spans="1:13">
      <c r="A1612" s="8">
        <v>43355</v>
      </c>
      <c r="B1612" s="9">
        <v>0.52361111111111114</v>
      </c>
      <c r="C1612" s="10" t="str">
        <f>"FES1162646772"</f>
        <v>FES1162646772</v>
      </c>
      <c r="D1612" s="10" t="s">
        <v>19</v>
      </c>
      <c r="E1612" s="10" t="s">
        <v>67</v>
      </c>
      <c r="F1612" s="10" t="str">
        <f>"2170650481 "</f>
        <v xml:space="preserve">2170650481 </v>
      </c>
      <c r="G1612" s="10" t="str">
        <f t="shared" si="40"/>
        <v>ON1</v>
      </c>
      <c r="H1612" s="10" t="s">
        <v>21</v>
      </c>
      <c r="I1612" s="10" t="s">
        <v>68</v>
      </c>
      <c r="J1612" s="10" t="str">
        <f>""</f>
        <v/>
      </c>
      <c r="K1612" s="10" t="str">
        <f>"PFES1162646772_0001"</f>
        <v>PFES1162646772_0001</v>
      </c>
      <c r="L1612" s="10">
        <v>1</v>
      </c>
      <c r="M1612" s="10">
        <v>1</v>
      </c>
    </row>
    <row r="1613" spans="1:13">
      <c r="A1613" s="8">
        <v>43355</v>
      </c>
      <c r="B1613" s="9">
        <v>0.5229166666666667</v>
      </c>
      <c r="C1613" s="10" t="str">
        <f>"FES1162646760"</f>
        <v>FES1162646760</v>
      </c>
      <c r="D1613" s="10" t="s">
        <v>19</v>
      </c>
      <c r="E1613" s="10" t="s">
        <v>65</v>
      </c>
      <c r="F1613" s="10" t="str">
        <f>"2170648432 "</f>
        <v xml:space="preserve">2170648432 </v>
      </c>
      <c r="G1613" s="10" t="str">
        <f t="shared" si="40"/>
        <v>ON1</v>
      </c>
      <c r="H1613" s="10" t="s">
        <v>21</v>
      </c>
      <c r="I1613" s="10" t="s">
        <v>66</v>
      </c>
      <c r="J1613" s="10" t="str">
        <f>""</f>
        <v/>
      </c>
      <c r="K1613" s="10" t="str">
        <f>"PFES1162646760_0001"</f>
        <v>PFES1162646760_0001</v>
      </c>
      <c r="L1613" s="10">
        <v>1</v>
      </c>
      <c r="M1613" s="10">
        <v>1</v>
      </c>
    </row>
    <row r="1614" spans="1:13">
      <c r="A1614" s="8">
        <v>43355</v>
      </c>
      <c r="B1614" s="9">
        <v>0.5229166666666667</v>
      </c>
      <c r="C1614" s="10" t="str">
        <f>"FES1162646782"</f>
        <v>FES1162646782</v>
      </c>
      <c r="D1614" s="10" t="s">
        <v>19</v>
      </c>
      <c r="E1614" s="10" t="s">
        <v>41</v>
      </c>
      <c r="F1614" s="10" t="str">
        <f>"2170651428 "</f>
        <v xml:space="preserve">2170651428 </v>
      </c>
      <c r="G1614" s="10" t="str">
        <f t="shared" si="40"/>
        <v>ON1</v>
      </c>
      <c r="H1614" s="10" t="s">
        <v>21</v>
      </c>
      <c r="I1614" s="10" t="s">
        <v>42</v>
      </c>
      <c r="J1614" s="10" t="str">
        <f>""</f>
        <v/>
      </c>
      <c r="K1614" s="10" t="str">
        <f>"PFES1162646782_0001"</f>
        <v>PFES1162646782_0001</v>
      </c>
      <c r="L1614" s="10">
        <v>1</v>
      </c>
      <c r="M1614" s="10">
        <v>1</v>
      </c>
    </row>
    <row r="1615" spans="1:13">
      <c r="A1615" s="8">
        <v>43355</v>
      </c>
      <c r="B1615" s="9">
        <v>0.5229166666666667</v>
      </c>
      <c r="C1615" s="10" t="str">
        <f>"FES1162646767"</f>
        <v>FES1162646767</v>
      </c>
      <c r="D1615" s="10" t="s">
        <v>19</v>
      </c>
      <c r="E1615" s="10" t="s">
        <v>65</v>
      </c>
      <c r="F1615" s="10" t="str">
        <f>"2170649928 "</f>
        <v xml:space="preserve">2170649928 </v>
      </c>
      <c r="G1615" s="10" t="str">
        <f t="shared" si="40"/>
        <v>ON1</v>
      </c>
      <c r="H1615" s="10" t="s">
        <v>21</v>
      </c>
      <c r="I1615" s="10" t="s">
        <v>66</v>
      </c>
      <c r="J1615" s="10" t="str">
        <f>""</f>
        <v/>
      </c>
      <c r="K1615" s="10" t="str">
        <f>"PFES1162646767_0001"</f>
        <v>PFES1162646767_0001</v>
      </c>
      <c r="L1615" s="10">
        <v>1</v>
      </c>
      <c r="M1615" s="10">
        <v>1</v>
      </c>
    </row>
    <row r="1616" spans="1:13">
      <c r="A1616" s="8">
        <v>43355</v>
      </c>
      <c r="B1616" s="9">
        <v>0.52222222222222225</v>
      </c>
      <c r="C1616" s="10" t="str">
        <f>"FES1162646752"</f>
        <v>FES1162646752</v>
      </c>
      <c r="D1616" s="10" t="s">
        <v>19</v>
      </c>
      <c r="E1616" s="10" t="s">
        <v>41</v>
      </c>
      <c r="F1616" s="10" t="str">
        <f>"2170651215 "</f>
        <v xml:space="preserve">2170651215 </v>
      </c>
      <c r="G1616" s="10" t="str">
        <f t="shared" si="40"/>
        <v>ON1</v>
      </c>
      <c r="H1616" s="10" t="s">
        <v>21</v>
      </c>
      <c r="I1616" s="10" t="s">
        <v>42</v>
      </c>
      <c r="J1616" s="10" t="str">
        <f>""</f>
        <v/>
      </c>
      <c r="K1616" s="10" t="str">
        <f>"PFES1162646752_0001"</f>
        <v>PFES1162646752_0001</v>
      </c>
      <c r="L1616" s="10">
        <v>1</v>
      </c>
      <c r="M1616" s="10">
        <v>1</v>
      </c>
    </row>
    <row r="1617" spans="1:13">
      <c r="A1617" s="8">
        <v>43355</v>
      </c>
      <c r="B1617" s="9">
        <v>0.52222222222222225</v>
      </c>
      <c r="C1617" s="10" t="str">
        <f>"FES1162646773"</f>
        <v>FES1162646773</v>
      </c>
      <c r="D1617" s="10" t="s">
        <v>19</v>
      </c>
      <c r="E1617" s="10" t="s">
        <v>84</v>
      </c>
      <c r="F1617" s="10" t="str">
        <f>"2170650794 "</f>
        <v xml:space="preserve">2170650794 </v>
      </c>
      <c r="G1617" s="10" t="str">
        <f t="shared" si="40"/>
        <v>ON1</v>
      </c>
      <c r="H1617" s="10" t="s">
        <v>21</v>
      </c>
      <c r="I1617" s="10" t="s">
        <v>85</v>
      </c>
      <c r="J1617" s="10" t="str">
        <f>""</f>
        <v/>
      </c>
      <c r="K1617" s="10" t="str">
        <f>"PFES1162646773_0001"</f>
        <v>PFES1162646773_0001</v>
      </c>
      <c r="L1617" s="10">
        <v>1</v>
      </c>
      <c r="M1617" s="10">
        <v>2</v>
      </c>
    </row>
    <row r="1618" spans="1:13">
      <c r="A1618" s="8">
        <v>43355</v>
      </c>
      <c r="B1618" s="9">
        <v>0.52222222222222225</v>
      </c>
      <c r="C1618" s="10" t="str">
        <f>"FES1162646780"</f>
        <v>FES1162646780</v>
      </c>
      <c r="D1618" s="10" t="s">
        <v>19</v>
      </c>
      <c r="E1618" s="10" t="s">
        <v>41</v>
      </c>
      <c r="F1618" s="10" t="str">
        <f>"2170651425 "</f>
        <v xml:space="preserve">2170651425 </v>
      </c>
      <c r="G1618" s="10" t="str">
        <f t="shared" si="40"/>
        <v>ON1</v>
      </c>
      <c r="H1618" s="10" t="s">
        <v>21</v>
      </c>
      <c r="I1618" s="10" t="s">
        <v>42</v>
      </c>
      <c r="J1618" s="10" t="str">
        <f>""</f>
        <v/>
      </c>
      <c r="K1618" s="10" t="str">
        <f>"PFES1162646780_0001"</f>
        <v>PFES1162646780_0001</v>
      </c>
      <c r="L1618" s="10">
        <v>1</v>
      </c>
      <c r="M1618" s="10">
        <v>1</v>
      </c>
    </row>
    <row r="1619" spans="1:13">
      <c r="A1619" s="8">
        <v>43355</v>
      </c>
      <c r="B1619" s="9">
        <v>0.52152777777777781</v>
      </c>
      <c r="C1619" s="10" t="str">
        <f>"FES1162646790"</f>
        <v>FES1162646790</v>
      </c>
      <c r="D1619" s="10" t="s">
        <v>19</v>
      </c>
      <c r="E1619" s="10" t="s">
        <v>223</v>
      </c>
      <c r="F1619" s="10" t="str">
        <f>"2170651444 "</f>
        <v xml:space="preserve">2170651444 </v>
      </c>
      <c r="G1619" s="10" t="str">
        <f t="shared" si="40"/>
        <v>ON1</v>
      </c>
      <c r="H1619" s="10" t="s">
        <v>21</v>
      </c>
      <c r="I1619" s="10" t="s">
        <v>211</v>
      </c>
      <c r="J1619" s="10" t="str">
        <f>""</f>
        <v/>
      </c>
      <c r="K1619" s="10" t="str">
        <f>"PFES1162646790_0001"</f>
        <v>PFES1162646790_0001</v>
      </c>
      <c r="L1619" s="10">
        <v>1</v>
      </c>
      <c r="M1619" s="10">
        <v>1</v>
      </c>
    </row>
    <row r="1620" spans="1:13">
      <c r="A1620" s="8">
        <v>43355</v>
      </c>
      <c r="B1620" s="9">
        <v>0.52152777777777781</v>
      </c>
      <c r="C1620" s="10" t="str">
        <f>"FES1162646819"</f>
        <v>FES1162646819</v>
      </c>
      <c r="D1620" s="10" t="s">
        <v>19</v>
      </c>
      <c r="E1620" s="10" t="s">
        <v>232</v>
      </c>
      <c r="F1620" s="10" t="str">
        <f>"2170650910 "</f>
        <v xml:space="preserve">2170650910 </v>
      </c>
      <c r="G1620" s="10" t="str">
        <f t="shared" si="40"/>
        <v>ON1</v>
      </c>
      <c r="H1620" s="10" t="s">
        <v>21</v>
      </c>
      <c r="I1620" s="10" t="s">
        <v>233</v>
      </c>
      <c r="J1620" s="10" t="str">
        <f>""</f>
        <v/>
      </c>
      <c r="K1620" s="10" t="str">
        <f>"PFES1162646819_0001"</f>
        <v>PFES1162646819_0001</v>
      </c>
      <c r="L1620" s="10">
        <v>1</v>
      </c>
      <c r="M1620" s="10">
        <v>1</v>
      </c>
    </row>
    <row r="1621" spans="1:13">
      <c r="A1621" s="8">
        <v>43355</v>
      </c>
      <c r="B1621" s="9">
        <v>0.52152777777777781</v>
      </c>
      <c r="C1621" s="10" t="str">
        <f>"FES1162646824"</f>
        <v>FES1162646824</v>
      </c>
      <c r="D1621" s="10" t="s">
        <v>19</v>
      </c>
      <c r="E1621" s="10" t="s">
        <v>359</v>
      </c>
      <c r="F1621" s="10" t="str">
        <f>"2170651166 "</f>
        <v xml:space="preserve">2170651166 </v>
      </c>
      <c r="G1621" s="10" t="str">
        <f t="shared" si="40"/>
        <v>ON1</v>
      </c>
      <c r="H1621" s="10" t="s">
        <v>21</v>
      </c>
      <c r="I1621" s="10" t="s">
        <v>87</v>
      </c>
      <c r="J1621" s="10" t="str">
        <f>""</f>
        <v/>
      </c>
      <c r="K1621" s="10" t="str">
        <f>"PFES1162646824_0001"</f>
        <v>PFES1162646824_0001</v>
      </c>
      <c r="L1621" s="10">
        <v>1</v>
      </c>
      <c r="M1621" s="10">
        <v>1</v>
      </c>
    </row>
    <row r="1622" spans="1:13">
      <c r="A1622" s="8">
        <v>43355</v>
      </c>
      <c r="B1622" s="9">
        <v>0.52083333333333337</v>
      </c>
      <c r="C1622" s="10" t="str">
        <f>"FES1162646821"</f>
        <v>FES1162646821</v>
      </c>
      <c r="D1622" s="10" t="s">
        <v>19</v>
      </c>
      <c r="E1622" s="10" t="s">
        <v>232</v>
      </c>
      <c r="F1622" s="10" t="str">
        <f>"2170650927 "</f>
        <v xml:space="preserve">2170650927 </v>
      </c>
      <c r="G1622" s="10" t="str">
        <f t="shared" si="40"/>
        <v>ON1</v>
      </c>
      <c r="H1622" s="10" t="s">
        <v>21</v>
      </c>
      <c r="I1622" s="10" t="s">
        <v>233</v>
      </c>
      <c r="J1622" s="10" t="str">
        <f>""</f>
        <v/>
      </c>
      <c r="K1622" s="10" t="str">
        <f>"PFES1162646821_0001"</f>
        <v>PFES1162646821_0001</v>
      </c>
      <c r="L1622" s="10">
        <v>1</v>
      </c>
      <c r="M1622" s="10">
        <v>1</v>
      </c>
    </row>
    <row r="1623" spans="1:13">
      <c r="A1623" s="8">
        <v>43355</v>
      </c>
      <c r="B1623" s="9">
        <v>0.52083333333333337</v>
      </c>
      <c r="C1623" s="10" t="str">
        <f>"FES1162646822"</f>
        <v>FES1162646822</v>
      </c>
      <c r="D1623" s="10" t="s">
        <v>19</v>
      </c>
      <c r="E1623" s="10" t="s">
        <v>232</v>
      </c>
      <c r="F1623" s="10" t="str">
        <f>"2170651044 "</f>
        <v xml:space="preserve">2170651044 </v>
      </c>
      <c r="G1623" s="10" t="str">
        <f t="shared" si="40"/>
        <v>ON1</v>
      </c>
      <c r="H1623" s="10" t="s">
        <v>21</v>
      </c>
      <c r="I1623" s="10" t="s">
        <v>233</v>
      </c>
      <c r="J1623" s="10" t="str">
        <f>""</f>
        <v/>
      </c>
      <c r="K1623" s="10" t="str">
        <f>"PFES1162646822_0001"</f>
        <v>PFES1162646822_0001</v>
      </c>
      <c r="L1623" s="10">
        <v>1</v>
      </c>
      <c r="M1623" s="10">
        <v>2</v>
      </c>
    </row>
    <row r="1624" spans="1:13">
      <c r="A1624" s="8">
        <v>43355</v>
      </c>
      <c r="B1624" s="9">
        <v>0.52083333333333337</v>
      </c>
      <c r="C1624" s="10" t="str">
        <f>"FES1162646741"</f>
        <v>FES1162646741</v>
      </c>
      <c r="D1624" s="10" t="s">
        <v>19</v>
      </c>
      <c r="E1624" s="10" t="s">
        <v>701</v>
      </c>
      <c r="F1624" s="10" t="str">
        <f>"2170651413 "</f>
        <v xml:space="preserve">2170651413 </v>
      </c>
      <c r="G1624" s="10" t="str">
        <f t="shared" si="40"/>
        <v>ON1</v>
      </c>
      <c r="H1624" s="10" t="s">
        <v>21</v>
      </c>
      <c r="I1624" s="10" t="s">
        <v>126</v>
      </c>
      <c r="J1624" s="10" t="str">
        <f>""</f>
        <v/>
      </c>
      <c r="K1624" s="10" t="str">
        <f>"PFES1162646741_0001"</f>
        <v>PFES1162646741_0001</v>
      </c>
      <c r="L1624" s="10">
        <v>1</v>
      </c>
      <c r="M1624" s="10">
        <v>1</v>
      </c>
    </row>
    <row r="1625" spans="1:13">
      <c r="A1625" s="8">
        <v>43355</v>
      </c>
      <c r="B1625" s="9">
        <v>0.52083333333333337</v>
      </c>
      <c r="C1625" s="10" t="str">
        <f>"FES1162646778"</f>
        <v>FES1162646778</v>
      </c>
      <c r="D1625" s="10" t="s">
        <v>19</v>
      </c>
      <c r="E1625" s="10" t="s">
        <v>829</v>
      </c>
      <c r="F1625" s="10" t="str">
        <f>"2170651423 "</f>
        <v xml:space="preserve">2170651423 </v>
      </c>
      <c r="G1625" s="10" t="str">
        <f t="shared" si="40"/>
        <v>ON1</v>
      </c>
      <c r="H1625" s="10" t="s">
        <v>21</v>
      </c>
      <c r="I1625" s="10" t="s">
        <v>24</v>
      </c>
      <c r="J1625" s="10" t="str">
        <f>""</f>
        <v/>
      </c>
      <c r="K1625" s="10" t="str">
        <f>"PFES1162646778_0001"</f>
        <v>PFES1162646778_0001</v>
      </c>
      <c r="L1625" s="10">
        <v>1</v>
      </c>
      <c r="M1625" s="10">
        <v>1</v>
      </c>
    </row>
    <row r="1626" spans="1:13">
      <c r="A1626" s="8">
        <v>43355</v>
      </c>
      <c r="B1626" s="9">
        <v>0.52013888888888882</v>
      </c>
      <c r="C1626" s="10" t="str">
        <f>"FES1162646769"</f>
        <v>FES1162646769</v>
      </c>
      <c r="D1626" s="10" t="s">
        <v>19</v>
      </c>
      <c r="E1626" s="10" t="s">
        <v>103</v>
      </c>
      <c r="F1626" s="10" t="str">
        <f>"2170650200 "</f>
        <v xml:space="preserve">2170650200 </v>
      </c>
      <c r="G1626" s="10" t="str">
        <f t="shared" si="40"/>
        <v>ON1</v>
      </c>
      <c r="H1626" s="10" t="s">
        <v>21</v>
      </c>
      <c r="I1626" s="10" t="s">
        <v>379</v>
      </c>
      <c r="J1626" s="10" t="str">
        <f>""</f>
        <v/>
      </c>
      <c r="K1626" s="10" t="str">
        <f>"PFES1162646769_0001"</f>
        <v>PFES1162646769_0001</v>
      </c>
      <c r="L1626" s="10">
        <v>1</v>
      </c>
      <c r="M1626" s="10">
        <v>1</v>
      </c>
    </row>
    <row r="1627" spans="1:13">
      <c r="A1627" s="8">
        <v>43355</v>
      </c>
      <c r="B1627" s="9">
        <v>0.52013888888888882</v>
      </c>
      <c r="C1627" s="10" t="str">
        <f>"FES1162646808"</f>
        <v>FES1162646808</v>
      </c>
      <c r="D1627" s="10" t="s">
        <v>19</v>
      </c>
      <c r="E1627" s="10" t="s">
        <v>232</v>
      </c>
      <c r="F1627" s="10" t="str">
        <f>"2170651468 "</f>
        <v xml:space="preserve">2170651468 </v>
      </c>
      <c r="G1627" s="10" t="str">
        <f t="shared" si="40"/>
        <v>ON1</v>
      </c>
      <c r="H1627" s="10" t="s">
        <v>21</v>
      </c>
      <c r="I1627" s="10" t="s">
        <v>233</v>
      </c>
      <c r="J1627" s="10" t="str">
        <f>""</f>
        <v/>
      </c>
      <c r="K1627" s="10" t="str">
        <f>"PFES1162646808_0001"</f>
        <v>PFES1162646808_0001</v>
      </c>
      <c r="L1627" s="10">
        <v>1</v>
      </c>
      <c r="M1627" s="10">
        <v>1</v>
      </c>
    </row>
    <row r="1628" spans="1:13">
      <c r="A1628" s="8">
        <v>43355</v>
      </c>
      <c r="B1628" s="9">
        <v>0.52013888888888882</v>
      </c>
      <c r="C1628" s="10" t="str">
        <f>"FES1162646785"</f>
        <v>FES1162646785</v>
      </c>
      <c r="D1628" s="10" t="s">
        <v>19</v>
      </c>
      <c r="E1628" s="10" t="s">
        <v>830</v>
      </c>
      <c r="F1628" s="10" t="str">
        <f>"2170651436 "</f>
        <v xml:space="preserve">2170651436 </v>
      </c>
      <c r="G1628" s="10" t="str">
        <f t="shared" si="40"/>
        <v>ON1</v>
      </c>
      <c r="H1628" s="10" t="s">
        <v>21</v>
      </c>
      <c r="I1628" s="10" t="s">
        <v>97</v>
      </c>
      <c r="J1628" s="10" t="str">
        <f>""</f>
        <v/>
      </c>
      <c r="K1628" s="10" t="str">
        <f>"PFES1162646785_0001"</f>
        <v>PFES1162646785_0001</v>
      </c>
      <c r="L1628" s="10">
        <v>1</v>
      </c>
      <c r="M1628" s="10">
        <v>1</v>
      </c>
    </row>
    <row r="1629" spans="1:13">
      <c r="A1629" s="8">
        <v>43355</v>
      </c>
      <c r="B1629" s="9">
        <v>0.51944444444444449</v>
      </c>
      <c r="C1629" s="10" t="str">
        <f>"FES1162646793"</f>
        <v>FES1162646793</v>
      </c>
      <c r="D1629" s="10" t="s">
        <v>19</v>
      </c>
      <c r="E1629" s="10" t="s">
        <v>339</v>
      </c>
      <c r="F1629" s="10" t="str">
        <f>"2170651450 "</f>
        <v xml:space="preserve">2170651450 </v>
      </c>
      <c r="G1629" s="10" t="str">
        <f t="shared" si="40"/>
        <v>ON1</v>
      </c>
      <c r="H1629" s="10" t="s">
        <v>21</v>
      </c>
      <c r="I1629" s="10" t="s">
        <v>340</v>
      </c>
      <c r="J1629" s="10" t="str">
        <f>""</f>
        <v/>
      </c>
      <c r="K1629" s="10" t="str">
        <f>"PFES1162646793_0001"</f>
        <v>PFES1162646793_0001</v>
      </c>
      <c r="L1629" s="10">
        <v>1</v>
      </c>
      <c r="M1629" s="10">
        <v>1</v>
      </c>
    </row>
    <row r="1630" spans="1:13">
      <c r="A1630" s="8">
        <v>43355</v>
      </c>
      <c r="B1630" s="9">
        <v>0.51944444444444449</v>
      </c>
      <c r="C1630" s="10" t="str">
        <f>"FES1162646803"</f>
        <v>FES1162646803</v>
      </c>
      <c r="D1630" s="10" t="s">
        <v>19</v>
      </c>
      <c r="E1630" s="10" t="s">
        <v>173</v>
      </c>
      <c r="F1630" s="10" t="str">
        <f>"2170651462 "</f>
        <v xml:space="preserve">2170651462 </v>
      </c>
      <c r="G1630" s="10" t="str">
        <f t="shared" si="40"/>
        <v>ON1</v>
      </c>
      <c r="H1630" s="10" t="s">
        <v>21</v>
      </c>
      <c r="I1630" s="10" t="s">
        <v>53</v>
      </c>
      <c r="J1630" s="10" t="str">
        <f>""</f>
        <v/>
      </c>
      <c r="K1630" s="10" t="str">
        <f>"PFES1162646803_0001"</f>
        <v>PFES1162646803_0001</v>
      </c>
      <c r="L1630" s="10">
        <v>1</v>
      </c>
      <c r="M1630" s="10">
        <v>1</v>
      </c>
    </row>
    <row r="1631" spans="1:13">
      <c r="A1631" s="8">
        <v>43355</v>
      </c>
      <c r="B1631" s="9">
        <v>0.5180555555555556</v>
      </c>
      <c r="C1631" s="10" t="str">
        <f>"FES1162646791"</f>
        <v>FES1162646791</v>
      </c>
      <c r="D1631" s="10" t="s">
        <v>19</v>
      </c>
      <c r="E1631" s="10" t="s">
        <v>808</v>
      </c>
      <c r="F1631" s="10" t="str">
        <f>"2170651445 "</f>
        <v xml:space="preserve">2170651445 </v>
      </c>
      <c r="G1631" s="10" t="str">
        <f t="shared" si="40"/>
        <v>ON1</v>
      </c>
      <c r="H1631" s="10" t="s">
        <v>21</v>
      </c>
      <c r="I1631" s="10" t="s">
        <v>696</v>
      </c>
      <c r="J1631" s="10" t="str">
        <f>""</f>
        <v/>
      </c>
      <c r="K1631" s="10" t="str">
        <f>"PFES1162646791_0001"</f>
        <v>PFES1162646791_0001</v>
      </c>
      <c r="L1631" s="10">
        <v>1</v>
      </c>
      <c r="M1631" s="10">
        <v>1</v>
      </c>
    </row>
    <row r="1632" spans="1:13">
      <c r="A1632" s="8">
        <v>43355</v>
      </c>
      <c r="B1632" s="9">
        <v>0.40277777777777773</v>
      </c>
      <c r="C1632" s="10" t="str">
        <f>"FES1162646794"</f>
        <v>FES1162646794</v>
      </c>
      <c r="D1632" s="10" t="s">
        <v>19</v>
      </c>
      <c r="E1632" s="10" t="s">
        <v>281</v>
      </c>
      <c r="F1632" s="10" t="str">
        <f>"2170651451 "</f>
        <v xml:space="preserve">2170651451 </v>
      </c>
      <c r="G1632" s="10" t="str">
        <f>"DBC"</f>
        <v>DBC</v>
      </c>
      <c r="H1632" s="10" t="s">
        <v>21</v>
      </c>
      <c r="I1632" s="10" t="s">
        <v>282</v>
      </c>
      <c r="J1632" s="10" t="str">
        <f>""</f>
        <v/>
      </c>
      <c r="K1632" s="10" t="str">
        <f>"PFES1162646794_0001"</f>
        <v>PFES1162646794_0001</v>
      </c>
      <c r="L1632" s="10">
        <v>2</v>
      </c>
      <c r="M1632" s="10">
        <v>35</v>
      </c>
    </row>
    <row r="1633" spans="1:13">
      <c r="A1633" s="8">
        <v>43355</v>
      </c>
      <c r="B1633" s="9">
        <v>0.40138888888888885</v>
      </c>
      <c r="C1633" s="10" t="str">
        <f>"FES1162646756"</f>
        <v>FES1162646756</v>
      </c>
      <c r="D1633" s="10" t="s">
        <v>19</v>
      </c>
      <c r="E1633" s="10" t="s">
        <v>174</v>
      </c>
      <c r="F1633" s="10" t="str">
        <f>"2170646697 "</f>
        <v xml:space="preserve">2170646697 </v>
      </c>
      <c r="G1633" s="10" t="str">
        <f>"ON1"</f>
        <v>ON1</v>
      </c>
      <c r="H1633" s="10" t="s">
        <v>21</v>
      </c>
      <c r="I1633" s="10" t="s">
        <v>175</v>
      </c>
      <c r="J1633" s="10" t="str">
        <f>""</f>
        <v/>
      </c>
      <c r="K1633" s="10" t="str">
        <f>"PFES1162646756_0001"</f>
        <v>PFES1162646756_0001</v>
      </c>
      <c r="L1633" s="10">
        <v>1</v>
      </c>
      <c r="M1633" s="10">
        <v>4</v>
      </c>
    </row>
    <row r="1634" spans="1:13">
      <c r="A1634" s="8">
        <v>43355</v>
      </c>
      <c r="B1634" s="9">
        <v>0.39999999999999997</v>
      </c>
      <c r="C1634" s="10" t="str">
        <f>"FES1162646754"</f>
        <v>FES1162646754</v>
      </c>
      <c r="D1634" s="10" t="s">
        <v>19</v>
      </c>
      <c r="E1634" s="10" t="s">
        <v>445</v>
      </c>
      <c r="F1634" s="10" t="str">
        <f>"2170651222 "</f>
        <v xml:space="preserve">2170651222 </v>
      </c>
      <c r="G1634" s="10" t="str">
        <f>"ON1"</f>
        <v>ON1</v>
      </c>
      <c r="H1634" s="10" t="s">
        <v>21</v>
      </c>
      <c r="I1634" s="10" t="s">
        <v>206</v>
      </c>
      <c r="J1634" s="10" t="str">
        <f>""</f>
        <v/>
      </c>
      <c r="K1634" s="10" t="str">
        <f>"PFES1162646754_0001"</f>
        <v>PFES1162646754_0001</v>
      </c>
      <c r="L1634" s="10">
        <v>1</v>
      </c>
      <c r="M1634" s="10">
        <v>3</v>
      </c>
    </row>
    <row r="1635" spans="1:13">
      <c r="A1635" s="8">
        <v>43355</v>
      </c>
      <c r="B1635" s="9">
        <v>0.3972222222222222</v>
      </c>
      <c r="C1635" s="10" t="str">
        <f>"FES1162646755"</f>
        <v>FES1162646755</v>
      </c>
      <c r="D1635" s="10" t="s">
        <v>19</v>
      </c>
      <c r="E1635" s="10" t="s">
        <v>357</v>
      </c>
      <c r="F1635" s="10" t="str">
        <f>"2170651107 "</f>
        <v xml:space="preserve">2170651107 </v>
      </c>
      <c r="G1635" s="10" t="str">
        <f>"ON1"</f>
        <v>ON1</v>
      </c>
      <c r="H1635" s="10" t="s">
        <v>21</v>
      </c>
      <c r="I1635" s="10" t="s">
        <v>283</v>
      </c>
      <c r="J1635" s="10" t="str">
        <f>""</f>
        <v/>
      </c>
      <c r="K1635" s="10" t="str">
        <f>"PFES1162646755_0001"</f>
        <v>PFES1162646755_0001</v>
      </c>
      <c r="L1635" s="10">
        <v>1</v>
      </c>
      <c r="M1635" s="10">
        <v>1</v>
      </c>
    </row>
    <row r="1636" spans="1:13">
      <c r="A1636" s="8">
        <v>43356</v>
      </c>
      <c r="B1636" s="9">
        <v>0.69097222222222221</v>
      </c>
      <c r="C1636" s="10" t="str">
        <f>"FES1162647096"</f>
        <v>FES1162647096</v>
      </c>
      <c r="D1636" s="10" t="s">
        <v>19</v>
      </c>
      <c r="E1636" s="10" t="s">
        <v>447</v>
      </c>
      <c r="F1636" s="10" t="str">
        <f>"2170648747 "</f>
        <v xml:space="preserve">2170648747 </v>
      </c>
      <c r="G1636" s="10" t="str">
        <f>"DBC"</f>
        <v>DBC</v>
      </c>
      <c r="H1636" s="10" t="s">
        <v>21</v>
      </c>
      <c r="I1636" s="10" t="s">
        <v>448</v>
      </c>
      <c r="J1636" s="10" t="str">
        <f>""</f>
        <v/>
      </c>
      <c r="K1636" s="10" t="str">
        <f>"PFES1162647096_0001"</f>
        <v>PFES1162647096_0001</v>
      </c>
      <c r="L1636" s="10">
        <v>2</v>
      </c>
      <c r="M1636" s="10">
        <v>30</v>
      </c>
    </row>
    <row r="1637" spans="1:13">
      <c r="A1637" s="8">
        <v>43356</v>
      </c>
      <c r="B1637" s="9">
        <v>0.68888888888888899</v>
      </c>
      <c r="C1637" s="10" t="str">
        <f>"FES1162647110"</f>
        <v>FES1162647110</v>
      </c>
      <c r="D1637" s="10" t="s">
        <v>19</v>
      </c>
      <c r="E1637" s="10" t="s">
        <v>253</v>
      </c>
      <c r="F1637" s="10" t="str">
        <f>"2170650745 "</f>
        <v xml:space="preserve">2170650745 </v>
      </c>
      <c r="G1637" s="10" t="str">
        <f>"ON1"</f>
        <v>ON1</v>
      </c>
      <c r="H1637" s="10" t="s">
        <v>21</v>
      </c>
      <c r="I1637" s="10" t="s">
        <v>254</v>
      </c>
      <c r="J1637" s="10" t="str">
        <f>""</f>
        <v/>
      </c>
      <c r="K1637" s="10" t="str">
        <f>"PFES1162647110_0001"</f>
        <v>PFES1162647110_0001</v>
      </c>
      <c r="L1637" s="10">
        <v>1</v>
      </c>
      <c r="M1637" s="10">
        <v>6</v>
      </c>
    </row>
    <row r="1638" spans="1:13">
      <c r="A1638" s="8">
        <v>43356</v>
      </c>
      <c r="B1638" s="9">
        <v>0.68819444444444444</v>
      </c>
      <c r="C1638" s="10" t="str">
        <f>"FES1162647244"</f>
        <v>FES1162647244</v>
      </c>
      <c r="D1638" s="10" t="s">
        <v>19</v>
      </c>
      <c r="E1638" s="10" t="s">
        <v>831</v>
      </c>
      <c r="F1638" s="10" t="str">
        <f>"2170651318 "</f>
        <v xml:space="preserve">2170651318 </v>
      </c>
      <c r="G1638" s="10" t="str">
        <f>"ON1"</f>
        <v>ON1</v>
      </c>
      <c r="H1638" s="10" t="s">
        <v>21</v>
      </c>
      <c r="I1638" s="10" t="s">
        <v>105</v>
      </c>
      <c r="J1638" s="10" t="str">
        <f>""</f>
        <v/>
      </c>
      <c r="K1638" s="10" t="str">
        <f>"PFES1162647244_0001"</f>
        <v>PFES1162647244_0001</v>
      </c>
      <c r="L1638" s="10">
        <v>1</v>
      </c>
      <c r="M1638" s="10">
        <v>4</v>
      </c>
    </row>
    <row r="1639" spans="1:13">
      <c r="A1639" s="8">
        <v>43356</v>
      </c>
      <c r="B1639" s="9">
        <v>0.68819444444444444</v>
      </c>
      <c r="C1639" s="10" t="str">
        <f>"FES1162647324"</f>
        <v>FES1162647324</v>
      </c>
      <c r="D1639" s="10" t="s">
        <v>19</v>
      </c>
      <c r="E1639" s="10" t="s">
        <v>832</v>
      </c>
      <c r="F1639" s="10" t="str">
        <f>"2170651880 "</f>
        <v xml:space="preserve">2170651880 </v>
      </c>
      <c r="G1639" s="10" t="str">
        <f>"DBC"</f>
        <v>DBC</v>
      </c>
      <c r="H1639" s="10" t="s">
        <v>21</v>
      </c>
      <c r="I1639" s="10" t="s">
        <v>252</v>
      </c>
      <c r="J1639" s="10" t="str">
        <f>""</f>
        <v/>
      </c>
      <c r="K1639" s="10" t="str">
        <f>"PFES1162647324_0001"</f>
        <v>PFES1162647324_0001</v>
      </c>
      <c r="L1639" s="10">
        <v>1</v>
      </c>
      <c r="M1639" s="10">
        <v>20</v>
      </c>
    </row>
    <row r="1640" spans="1:13">
      <c r="A1640" s="8">
        <v>43356</v>
      </c>
      <c r="B1640" s="9">
        <v>0.68819444444444444</v>
      </c>
      <c r="C1640" s="10" t="str">
        <f>"FES1162647264"</f>
        <v>FES1162647264</v>
      </c>
      <c r="D1640" s="10" t="s">
        <v>19</v>
      </c>
      <c r="E1640" s="10" t="s">
        <v>71</v>
      </c>
      <c r="F1640" s="10" t="str">
        <f>"2170651798 "</f>
        <v xml:space="preserve">2170651798 </v>
      </c>
      <c r="G1640" s="10" t="str">
        <f t="shared" ref="G1640:G1646" si="41">"ON1"</f>
        <v>ON1</v>
      </c>
      <c r="H1640" s="10" t="s">
        <v>21</v>
      </c>
      <c r="I1640" s="10" t="s">
        <v>72</v>
      </c>
      <c r="J1640" s="10" t="str">
        <f>""</f>
        <v/>
      </c>
      <c r="K1640" s="10" t="str">
        <f>"PFES1162647264_0001"</f>
        <v>PFES1162647264_0001</v>
      </c>
      <c r="L1640" s="10">
        <v>1</v>
      </c>
      <c r="M1640" s="10">
        <v>5</v>
      </c>
    </row>
    <row r="1641" spans="1:13">
      <c r="A1641" s="8">
        <v>43356</v>
      </c>
      <c r="B1641" s="9">
        <v>0.6875</v>
      </c>
      <c r="C1641" s="10" t="str">
        <f>"FES1162647228"</f>
        <v>FES1162647228</v>
      </c>
      <c r="D1641" s="10" t="s">
        <v>19</v>
      </c>
      <c r="E1641" s="10" t="s">
        <v>63</v>
      </c>
      <c r="F1641" s="10" t="str">
        <f>"2170651609 "</f>
        <v xml:space="preserve">2170651609 </v>
      </c>
      <c r="G1641" s="10" t="str">
        <f t="shared" si="41"/>
        <v>ON1</v>
      </c>
      <c r="H1641" s="10" t="s">
        <v>21</v>
      </c>
      <c r="I1641" s="10" t="s">
        <v>64</v>
      </c>
      <c r="J1641" s="10" t="str">
        <f>""</f>
        <v/>
      </c>
      <c r="K1641" s="10" t="str">
        <f>"PFES1162647228_0001"</f>
        <v>PFES1162647228_0001</v>
      </c>
      <c r="L1641" s="10">
        <v>1</v>
      </c>
      <c r="M1641" s="10">
        <v>7</v>
      </c>
    </row>
    <row r="1642" spans="1:13">
      <c r="A1642" s="8">
        <v>43356</v>
      </c>
      <c r="B1642" s="9">
        <v>0.6875</v>
      </c>
      <c r="C1642" s="10" t="str">
        <f>"FES1162647335"</f>
        <v>FES1162647335</v>
      </c>
      <c r="D1642" s="10" t="s">
        <v>19</v>
      </c>
      <c r="E1642" s="10" t="s">
        <v>142</v>
      </c>
      <c r="F1642" s="10" t="str">
        <f>"2170651854 "</f>
        <v xml:space="preserve">2170651854 </v>
      </c>
      <c r="G1642" s="10" t="str">
        <f t="shared" si="41"/>
        <v>ON1</v>
      </c>
      <c r="H1642" s="10" t="s">
        <v>21</v>
      </c>
      <c r="I1642" s="10" t="s">
        <v>143</v>
      </c>
      <c r="J1642" s="10" t="str">
        <f>""</f>
        <v/>
      </c>
      <c r="K1642" s="10" t="str">
        <f>"PFES1162647335_0001"</f>
        <v>PFES1162647335_0001</v>
      </c>
      <c r="L1642" s="10">
        <v>1</v>
      </c>
      <c r="M1642" s="10">
        <v>4</v>
      </c>
    </row>
    <row r="1643" spans="1:13">
      <c r="A1643" s="8">
        <v>43356</v>
      </c>
      <c r="B1643" s="9">
        <v>0.68680555555555556</v>
      </c>
      <c r="C1643" s="10" t="str">
        <f>"FES1162647035"</f>
        <v>FES1162647035</v>
      </c>
      <c r="D1643" s="10" t="s">
        <v>19</v>
      </c>
      <c r="E1643" s="10" t="s">
        <v>253</v>
      </c>
      <c r="F1643" s="10" t="str">
        <f>"217065009 "</f>
        <v xml:space="preserve">217065009 </v>
      </c>
      <c r="G1643" s="10" t="str">
        <f t="shared" si="41"/>
        <v>ON1</v>
      </c>
      <c r="H1643" s="10" t="s">
        <v>21</v>
      </c>
      <c r="I1643" s="10" t="s">
        <v>254</v>
      </c>
      <c r="J1643" s="10" t="str">
        <f>""</f>
        <v/>
      </c>
      <c r="K1643" s="10" t="str">
        <f>"PFES1162647035_0001"</f>
        <v>PFES1162647035_0001</v>
      </c>
      <c r="L1643" s="10">
        <v>1</v>
      </c>
      <c r="M1643" s="10">
        <v>1</v>
      </c>
    </row>
    <row r="1644" spans="1:13">
      <c r="A1644" s="8">
        <v>43356</v>
      </c>
      <c r="B1644" s="9">
        <v>0.68541666666666667</v>
      </c>
      <c r="C1644" s="10" t="str">
        <f>"FES1162647330"</f>
        <v>FES1162647330</v>
      </c>
      <c r="D1644" s="10" t="s">
        <v>19</v>
      </c>
      <c r="E1644" s="10" t="s">
        <v>357</v>
      </c>
      <c r="F1644" s="10" t="str">
        <f>"21700651713 "</f>
        <v xml:space="preserve">21700651713 </v>
      </c>
      <c r="G1644" s="10" t="str">
        <f t="shared" si="41"/>
        <v>ON1</v>
      </c>
      <c r="H1644" s="10" t="s">
        <v>21</v>
      </c>
      <c r="I1644" s="10" t="s">
        <v>283</v>
      </c>
      <c r="J1644" s="10" t="str">
        <f>""</f>
        <v/>
      </c>
      <c r="K1644" s="10" t="str">
        <f>"PFES1162647330_0001"</f>
        <v>PFES1162647330_0001</v>
      </c>
      <c r="L1644" s="10">
        <v>1</v>
      </c>
      <c r="M1644" s="10">
        <v>3</v>
      </c>
    </row>
    <row r="1645" spans="1:13">
      <c r="A1645" s="8">
        <v>43356</v>
      </c>
      <c r="B1645" s="9">
        <v>0.68472222222222223</v>
      </c>
      <c r="C1645" s="10" t="str">
        <f>"FES1162647102"</f>
        <v>FES1162647102</v>
      </c>
      <c r="D1645" s="10" t="s">
        <v>19</v>
      </c>
      <c r="E1645" s="10" t="s">
        <v>39</v>
      </c>
      <c r="F1645" s="10" t="str">
        <f>"2170651677 "</f>
        <v xml:space="preserve">2170651677 </v>
      </c>
      <c r="G1645" s="10" t="str">
        <f t="shared" si="41"/>
        <v>ON1</v>
      </c>
      <c r="H1645" s="10" t="s">
        <v>21</v>
      </c>
      <c r="I1645" s="10" t="s">
        <v>40</v>
      </c>
      <c r="J1645" s="10" t="str">
        <f>""</f>
        <v/>
      </c>
      <c r="K1645" s="10" t="str">
        <f>"PFES1162647102_0001"</f>
        <v>PFES1162647102_0001</v>
      </c>
      <c r="L1645" s="10">
        <v>1</v>
      </c>
      <c r="M1645" s="10">
        <v>1</v>
      </c>
    </row>
    <row r="1646" spans="1:13">
      <c r="A1646" s="8">
        <v>43356</v>
      </c>
      <c r="B1646" s="9">
        <v>0.68472222222222223</v>
      </c>
      <c r="C1646" s="10" t="str">
        <f>"FES1162647336"</f>
        <v>FES1162647336</v>
      </c>
      <c r="D1646" s="10" t="s">
        <v>19</v>
      </c>
      <c r="E1646" s="10" t="s">
        <v>833</v>
      </c>
      <c r="F1646" s="10" t="str">
        <f>"2170651901 "</f>
        <v xml:space="preserve">2170651901 </v>
      </c>
      <c r="G1646" s="10" t="str">
        <f t="shared" si="41"/>
        <v>ON1</v>
      </c>
      <c r="H1646" s="10" t="s">
        <v>21</v>
      </c>
      <c r="I1646" s="10" t="s">
        <v>124</v>
      </c>
      <c r="J1646" s="10" t="str">
        <f>""</f>
        <v/>
      </c>
      <c r="K1646" s="10" t="str">
        <f>"PFES1162647336_0001"</f>
        <v>PFES1162647336_0001</v>
      </c>
      <c r="L1646" s="10">
        <v>1</v>
      </c>
      <c r="M1646" s="10">
        <v>1</v>
      </c>
    </row>
    <row r="1647" spans="1:13">
      <c r="A1647" s="8">
        <v>43356</v>
      </c>
      <c r="B1647" s="9">
        <v>0.68472222222222223</v>
      </c>
      <c r="C1647" s="10" t="str">
        <f>"FES1162646618"</f>
        <v>FES1162646618</v>
      </c>
      <c r="D1647" s="10" t="s">
        <v>19</v>
      </c>
      <c r="E1647" s="10" t="s">
        <v>69</v>
      </c>
      <c r="F1647" s="10" t="str">
        <f>"2170651280 "</f>
        <v xml:space="preserve">2170651280 </v>
      </c>
      <c r="G1647" s="10" t="str">
        <f>"DBC"</f>
        <v>DBC</v>
      </c>
      <c r="H1647" s="10" t="s">
        <v>21</v>
      </c>
      <c r="I1647" s="10" t="s">
        <v>68</v>
      </c>
      <c r="J1647" s="10" t="str">
        <f>"FRAGILE OIL"</f>
        <v>FRAGILE OIL</v>
      </c>
      <c r="K1647" s="10" t="str">
        <f>"PFES1162646618_0001"</f>
        <v>PFES1162646618_0001</v>
      </c>
      <c r="L1647" s="10">
        <v>1</v>
      </c>
      <c r="M1647" s="10">
        <v>19</v>
      </c>
    </row>
    <row r="1648" spans="1:13">
      <c r="A1648" s="8">
        <v>43356</v>
      </c>
      <c r="B1648" s="9">
        <v>0.68402777777777779</v>
      </c>
      <c r="C1648" s="10" t="str">
        <f>"FES1162647307"</f>
        <v>FES1162647307</v>
      </c>
      <c r="D1648" s="10" t="s">
        <v>19</v>
      </c>
      <c r="E1648" s="10" t="s">
        <v>45</v>
      </c>
      <c r="F1648" s="10" t="str">
        <f>"2170651856 "</f>
        <v xml:space="preserve">2170651856 </v>
      </c>
      <c r="G1648" s="10" t="str">
        <f t="shared" ref="G1648:G1711" si="42">"ON1"</f>
        <v>ON1</v>
      </c>
      <c r="H1648" s="10" t="s">
        <v>21</v>
      </c>
      <c r="I1648" s="10" t="s">
        <v>46</v>
      </c>
      <c r="J1648" s="10" t="str">
        <f>""</f>
        <v/>
      </c>
      <c r="K1648" s="10" t="str">
        <f>"PFES1162647307_0001"</f>
        <v>PFES1162647307_0001</v>
      </c>
      <c r="L1648" s="10">
        <v>1</v>
      </c>
      <c r="M1648" s="10">
        <v>1</v>
      </c>
    </row>
    <row r="1649" spans="1:13">
      <c r="A1649" s="8">
        <v>43356</v>
      </c>
      <c r="B1649" s="9">
        <v>0.68333333333333324</v>
      </c>
      <c r="C1649" s="10" t="str">
        <f>"FES1162647272"</f>
        <v>FES1162647272</v>
      </c>
      <c r="D1649" s="10" t="s">
        <v>19</v>
      </c>
      <c r="E1649" s="10" t="s">
        <v>834</v>
      </c>
      <c r="F1649" s="10" t="str">
        <f>"2170651788 "</f>
        <v xml:space="preserve">2170651788 </v>
      </c>
      <c r="G1649" s="10" t="str">
        <f t="shared" si="42"/>
        <v>ON1</v>
      </c>
      <c r="H1649" s="10" t="s">
        <v>21</v>
      </c>
      <c r="I1649" s="10" t="s">
        <v>835</v>
      </c>
      <c r="J1649" s="10" t="str">
        <f>""</f>
        <v/>
      </c>
      <c r="K1649" s="10" t="str">
        <f>"PFES1162647272_0001"</f>
        <v>PFES1162647272_0001</v>
      </c>
      <c r="L1649" s="10">
        <v>1</v>
      </c>
      <c r="M1649" s="10">
        <v>3</v>
      </c>
    </row>
    <row r="1650" spans="1:13">
      <c r="A1650" s="8">
        <v>43356</v>
      </c>
      <c r="B1650" s="9">
        <v>0.68263888888888891</v>
      </c>
      <c r="C1650" s="10" t="str">
        <f>"FES1162647291"</f>
        <v>FES1162647291</v>
      </c>
      <c r="D1650" s="10" t="s">
        <v>19</v>
      </c>
      <c r="E1650" s="10" t="s">
        <v>125</v>
      </c>
      <c r="F1650" s="10" t="str">
        <f>"2170651838 "</f>
        <v xml:space="preserve">2170651838 </v>
      </c>
      <c r="G1650" s="10" t="str">
        <f t="shared" si="42"/>
        <v>ON1</v>
      </c>
      <c r="H1650" s="10" t="s">
        <v>21</v>
      </c>
      <c r="I1650" s="10" t="s">
        <v>126</v>
      </c>
      <c r="J1650" s="10" t="str">
        <f>""</f>
        <v/>
      </c>
      <c r="K1650" s="10" t="str">
        <f>"PFES1162647291_0001"</f>
        <v>PFES1162647291_0001</v>
      </c>
      <c r="L1650" s="10">
        <v>1</v>
      </c>
      <c r="M1650" s="10">
        <v>1</v>
      </c>
    </row>
    <row r="1651" spans="1:13">
      <c r="A1651" s="8">
        <v>43356</v>
      </c>
      <c r="B1651" s="9">
        <v>0.68194444444444446</v>
      </c>
      <c r="C1651" s="10" t="str">
        <f>"FES1162647260"</f>
        <v>FES1162647260</v>
      </c>
      <c r="D1651" s="10" t="s">
        <v>19</v>
      </c>
      <c r="E1651" s="10" t="s">
        <v>760</v>
      </c>
      <c r="F1651" s="10" t="str">
        <f>"2170649551 "</f>
        <v xml:space="preserve">2170649551 </v>
      </c>
      <c r="G1651" s="10" t="str">
        <f t="shared" si="42"/>
        <v>ON1</v>
      </c>
      <c r="H1651" s="10" t="s">
        <v>21</v>
      </c>
      <c r="I1651" s="10" t="s">
        <v>246</v>
      </c>
      <c r="J1651" s="10" t="str">
        <f>""</f>
        <v/>
      </c>
      <c r="K1651" s="10" t="str">
        <f>"PFES1162647260_0001"</f>
        <v>PFES1162647260_0001</v>
      </c>
      <c r="L1651" s="10">
        <v>1</v>
      </c>
      <c r="M1651" s="10">
        <v>1</v>
      </c>
    </row>
    <row r="1652" spans="1:13">
      <c r="A1652" s="8">
        <v>43356</v>
      </c>
      <c r="B1652" s="9">
        <v>0.6791666666666667</v>
      </c>
      <c r="C1652" s="10" t="str">
        <f>"FES1162647326"</f>
        <v>FES1162647326</v>
      </c>
      <c r="D1652" s="10" t="s">
        <v>19</v>
      </c>
      <c r="E1652" s="10" t="s">
        <v>836</v>
      </c>
      <c r="F1652" s="10" t="str">
        <f>"2170651883 "</f>
        <v xml:space="preserve">2170651883 </v>
      </c>
      <c r="G1652" s="10" t="str">
        <f t="shared" si="42"/>
        <v>ON1</v>
      </c>
      <c r="H1652" s="10" t="s">
        <v>21</v>
      </c>
      <c r="I1652" s="10" t="s">
        <v>837</v>
      </c>
      <c r="J1652" s="10" t="str">
        <f>""</f>
        <v/>
      </c>
      <c r="K1652" s="10" t="str">
        <f>"PFES1162647326_0001"</f>
        <v>PFES1162647326_0001</v>
      </c>
      <c r="L1652" s="10">
        <v>1</v>
      </c>
      <c r="M1652" s="10">
        <v>1</v>
      </c>
    </row>
    <row r="1653" spans="1:13">
      <c r="A1653" s="8">
        <v>43356</v>
      </c>
      <c r="B1653" s="9">
        <v>0.67847222222222225</v>
      </c>
      <c r="C1653" s="10" t="str">
        <f>"FES1162647292"</f>
        <v>FES1162647292</v>
      </c>
      <c r="D1653" s="10" t="s">
        <v>19</v>
      </c>
      <c r="E1653" s="10" t="s">
        <v>307</v>
      </c>
      <c r="F1653" s="10" t="str">
        <f>"2170651839 "</f>
        <v xml:space="preserve">2170651839 </v>
      </c>
      <c r="G1653" s="10" t="str">
        <f t="shared" si="42"/>
        <v>ON1</v>
      </c>
      <c r="H1653" s="10" t="s">
        <v>21</v>
      </c>
      <c r="I1653" s="10" t="s">
        <v>308</v>
      </c>
      <c r="J1653" s="10" t="str">
        <f>""</f>
        <v/>
      </c>
      <c r="K1653" s="10" t="str">
        <f>"PFES1162647292_0001"</f>
        <v>PFES1162647292_0001</v>
      </c>
      <c r="L1653" s="10">
        <v>1</v>
      </c>
      <c r="M1653" s="10">
        <v>1</v>
      </c>
    </row>
    <row r="1654" spans="1:13">
      <c r="A1654" s="8">
        <v>43356</v>
      </c>
      <c r="B1654" s="9">
        <v>0.67847222222222225</v>
      </c>
      <c r="C1654" s="10" t="str">
        <f>"FES1162647279"</f>
        <v>FES1162647279</v>
      </c>
      <c r="D1654" s="10" t="s">
        <v>19</v>
      </c>
      <c r="E1654" s="10" t="s">
        <v>793</v>
      </c>
      <c r="F1654" s="10" t="str">
        <f>"2170651828 "</f>
        <v xml:space="preserve">2170651828 </v>
      </c>
      <c r="G1654" s="10" t="str">
        <f t="shared" si="42"/>
        <v>ON1</v>
      </c>
      <c r="H1654" s="10" t="s">
        <v>21</v>
      </c>
      <c r="I1654" s="10" t="s">
        <v>150</v>
      </c>
      <c r="J1654" s="10" t="str">
        <f>""</f>
        <v/>
      </c>
      <c r="K1654" s="10" t="str">
        <f>"PFES1162647279_0001"</f>
        <v>PFES1162647279_0001</v>
      </c>
      <c r="L1654" s="10">
        <v>1</v>
      </c>
      <c r="M1654" s="10">
        <v>1</v>
      </c>
    </row>
    <row r="1655" spans="1:13">
      <c r="A1655" s="8">
        <v>43356</v>
      </c>
      <c r="B1655" s="9">
        <v>0.67847222222222225</v>
      </c>
      <c r="C1655" s="10" t="str">
        <f>"FES1162647265"</f>
        <v>FES1162647265</v>
      </c>
      <c r="D1655" s="10" t="s">
        <v>19</v>
      </c>
      <c r="E1655" s="10" t="s">
        <v>698</v>
      </c>
      <c r="F1655" s="10" t="str">
        <f>"2170651812 "</f>
        <v xml:space="preserve">2170651812 </v>
      </c>
      <c r="G1655" s="10" t="str">
        <f t="shared" si="42"/>
        <v>ON1</v>
      </c>
      <c r="H1655" s="10" t="s">
        <v>21</v>
      </c>
      <c r="I1655" s="10" t="s">
        <v>126</v>
      </c>
      <c r="J1655" s="10" t="str">
        <f>""</f>
        <v/>
      </c>
      <c r="K1655" s="10" t="str">
        <f>"PFES1162647265_0001"</f>
        <v>PFES1162647265_0001</v>
      </c>
      <c r="L1655" s="10">
        <v>1</v>
      </c>
      <c r="M1655" s="10">
        <v>1</v>
      </c>
    </row>
    <row r="1656" spans="1:13">
      <c r="A1656" s="8">
        <v>43356</v>
      </c>
      <c r="B1656" s="9">
        <v>0.6777777777777777</v>
      </c>
      <c r="C1656" s="10" t="str">
        <f>"FES1162647286"</f>
        <v>FES1162647286</v>
      </c>
      <c r="D1656" s="10" t="s">
        <v>19</v>
      </c>
      <c r="E1656" s="10" t="s">
        <v>220</v>
      </c>
      <c r="F1656" s="10" t="str">
        <f>"2170651817 "</f>
        <v xml:space="preserve">2170651817 </v>
      </c>
      <c r="G1656" s="10" t="str">
        <f t="shared" si="42"/>
        <v>ON1</v>
      </c>
      <c r="H1656" s="10" t="s">
        <v>21</v>
      </c>
      <c r="I1656" s="10" t="s">
        <v>126</v>
      </c>
      <c r="J1656" s="10" t="str">
        <f>""</f>
        <v/>
      </c>
      <c r="K1656" s="10" t="str">
        <f>"PFES1162647286_0001"</f>
        <v>PFES1162647286_0001</v>
      </c>
      <c r="L1656" s="10">
        <v>1</v>
      </c>
      <c r="M1656" s="10">
        <v>1</v>
      </c>
    </row>
    <row r="1657" spans="1:13">
      <c r="A1657" s="8">
        <v>43356</v>
      </c>
      <c r="B1657" s="9">
        <v>0.6777777777777777</v>
      </c>
      <c r="C1657" s="10" t="str">
        <f>"FES1162647241"</f>
        <v>FES1162647241</v>
      </c>
      <c r="D1657" s="10" t="s">
        <v>19</v>
      </c>
      <c r="E1657" s="10" t="s">
        <v>440</v>
      </c>
      <c r="F1657" s="10" t="str">
        <f>"2170651783 "</f>
        <v xml:space="preserve">2170651783 </v>
      </c>
      <c r="G1657" s="10" t="str">
        <f t="shared" si="42"/>
        <v>ON1</v>
      </c>
      <c r="H1657" s="10" t="s">
        <v>21</v>
      </c>
      <c r="I1657" s="10" t="s">
        <v>76</v>
      </c>
      <c r="J1657" s="10" t="str">
        <f>""</f>
        <v/>
      </c>
      <c r="K1657" s="10" t="str">
        <f>"PFES1162647241_0001"</f>
        <v>PFES1162647241_0001</v>
      </c>
      <c r="L1657" s="10">
        <v>1</v>
      </c>
      <c r="M1657" s="10">
        <v>1</v>
      </c>
    </row>
    <row r="1658" spans="1:13">
      <c r="A1658" s="8">
        <v>43356</v>
      </c>
      <c r="B1658" s="9">
        <v>0.67708333333333337</v>
      </c>
      <c r="C1658" s="10" t="str">
        <f>"FES1162647235"</f>
        <v>FES1162647235</v>
      </c>
      <c r="D1658" s="10" t="s">
        <v>19</v>
      </c>
      <c r="E1658" s="10" t="s">
        <v>668</v>
      </c>
      <c r="F1658" s="10" t="str">
        <f>"2170651765 "</f>
        <v xml:space="preserve">2170651765 </v>
      </c>
      <c r="G1658" s="10" t="str">
        <f t="shared" si="42"/>
        <v>ON1</v>
      </c>
      <c r="H1658" s="10" t="s">
        <v>21</v>
      </c>
      <c r="I1658" s="10" t="s">
        <v>57</v>
      </c>
      <c r="J1658" s="10" t="str">
        <f>""</f>
        <v/>
      </c>
      <c r="K1658" s="10" t="str">
        <f>"PFES1162647235_0001"</f>
        <v>PFES1162647235_0001</v>
      </c>
      <c r="L1658" s="10">
        <v>1</v>
      </c>
      <c r="M1658" s="10">
        <v>1</v>
      </c>
    </row>
    <row r="1659" spans="1:13">
      <c r="A1659" s="8">
        <v>43356</v>
      </c>
      <c r="B1659" s="9">
        <v>0.67638888888888893</v>
      </c>
      <c r="C1659" s="10" t="str">
        <f>"FES1162647314"</f>
        <v>FES1162647314</v>
      </c>
      <c r="D1659" s="10" t="s">
        <v>19</v>
      </c>
      <c r="E1659" s="10" t="s">
        <v>820</v>
      </c>
      <c r="F1659" s="10" t="str">
        <f>"2170651870 "</f>
        <v xml:space="preserve">2170651870 </v>
      </c>
      <c r="G1659" s="10" t="str">
        <f t="shared" si="42"/>
        <v>ON1</v>
      </c>
      <c r="H1659" s="10" t="s">
        <v>21</v>
      </c>
      <c r="I1659" s="10" t="s">
        <v>128</v>
      </c>
      <c r="J1659" s="10" t="str">
        <f>""</f>
        <v/>
      </c>
      <c r="K1659" s="10" t="str">
        <f>"PFES1162647314_0001"</f>
        <v>PFES1162647314_0001</v>
      </c>
      <c r="L1659" s="10">
        <v>1</v>
      </c>
      <c r="M1659" s="10">
        <v>1</v>
      </c>
    </row>
    <row r="1660" spans="1:13">
      <c r="A1660" s="8">
        <v>43356</v>
      </c>
      <c r="B1660" s="9">
        <v>0.67569444444444438</v>
      </c>
      <c r="C1660" s="10" t="str">
        <f>"FES1162647242"</f>
        <v>FES1162647242</v>
      </c>
      <c r="D1660" s="10" t="s">
        <v>19</v>
      </c>
      <c r="E1660" s="10" t="s">
        <v>838</v>
      </c>
      <c r="F1660" s="10" t="str">
        <f>"2170645947 "</f>
        <v xml:space="preserve">2170645947 </v>
      </c>
      <c r="G1660" s="10" t="str">
        <f t="shared" si="42"/>
        <v>ON1</v>
      </c>
      <c r="H1660" s="10" t="s">
        <v>21</v>
      </c>
      <c r="I1660" s="10" t="s">
        <v>330</v>
      </c>
      <c r="J1660" s="10" t="str">
        <f>""</f>
        <v/>
      </c>
      <c r="K1660" s="10" t="str">
        <f>"PFES1162647242_0001"</f>
        <v>PFES1162647242_0001</v>
      </c>
      <c r="L1660" s="10">
        <v>1</v>
      </c>
      <c r="M1660" s="10">
        <v>3</v>
      </c>
    </row>
    <row r="1661" spans="1:13">
      <c r="A1661" s="8">
        <v>43356</v>
      </c>
      <c r="B1661" s="9">
        <v>0.67361111111111116</v>
      </c>
      <c r="C1661" s="10" t="str">
        <f>"FES1162647263"</f>
        <v>FES1162647263</v>
      </c>
      <c r="D1661" s="10" t="s">
        <v>19</v>
      </c>
      <c r="E1661" s="10" t="s">
        <v>216</v>
      </c>
      <c r="F1661" s="10" t="str">
        <f>"2170651808 "</f>
        <v xml:space="preserve">2170651808 </v>
      </c>
      <c r="G1661" s="10" t="str">
        <f t="shared" si="42"/>
        <v>ON1</v>
      </c>
      <c r="H1661" s="10" t="s">
        <v>21</v>
      </c>
      <c r="I1661" s="10" t="s">
        <v>217</v>
      </c>
      <c r="J1661" s="10" t="str">
        <f>""</f>
        <v/>
      </c>
      <c r="K1661" s="10" t="str">
        <f>"PFES1162647263_0001"</f>
        <v>PFES1162647263_0001</v>
      </c>
      <c r="L1661" s="10">
        <v>1</v>
      </c>
      <c r="M1661" s="10">
        <v>3</v>
      </c>
    </row>
    <row r="1662" spans="1:13">
      <c r="A1662" s="8">
        <v>43356</v>
      </c>
      <c r="B1662" s="9">
        <v>0.67291666666666661</v>
      </c>
      <c r="C1662" s="10" t="str">
        <f>"FES1162647216"</f>
        <v>FES1162647216</v>
      </c>
      <c r="D1662" s="10" t="s">
        <v>19</v>
      </c>
      <c r="E1662" s="10" t="s">
        <v>839</v>
      </c>
      <c r="F1662" s="10" t="str">
        <f>"2170651742 "</f>
        <v xml:space="preserve">2170651742 </v>
      </c>
      <c r="G1662" s="10" t="str">
        <f t="shared" si="42"/>
        <v>ON1</v>
      </c>
      <c r="H1662" s="10" t="s">
        <v>21</v>
      </c>
      <c r="I1662" s="10" t="s">
        <v>840</v>
      </c>
      <c r="J1662" s="10" t="str">
        <f>""</f>
        <v/>
      </c>
      <c r="K1662" s="10" t="str">
        <f>"PFES1162647216_0001"</f>
        <v>PFES1162647216_0001</v>
      </c>
      <c r="L1662" s="10">
        <v>1</v>
      </c>
      <c r="M1662" s="10">
        <v>1</v>
      </c>
    </row>
    <row r="1663" spans="1:13">
      <c r="A1663" s="8">
        <v>43356</v>
      </c>
      <c r="B1663" s="9">
        <v>0.67222222222222217</v>
      </c>
      <c r="C1663" s="10" t="str">
        <f>"FES1162647227"</f>
        <v>FES1162647227</v>
      </c>
      <c r="D1663" s="10" t="s">
        <v>19</v>
      </c>
      <c r="E1663" s="10" t="s">
        <v>251</v>
      </c>
      <c r="F1663" s="10" t="str">
        <f>"2170651554 "</f>
        <v xml:space="preserve">2170651554 </v>
      </c>
      <c r="G1663" s="10" t="str">
        <f t="shared" si="42"/>
        <v>ON1</v>
      </c>
      <c r="H1663" s="10" t="s">
        <v>21</v>
      </c>
      <c r="I1663" s="10" t="s">
        <v>252</v>
      </c>
      <c r="J1663" s="10" t="str">
        <f>""</f>
        <v/>
      </c>
      <c r="K1663" s="10" t="str">
        <f>"PFES1162647227_0001"</f>
        <v>PFES1162647227_0001</v>
      </c>
      <c r="L1663" s="10">
        <v>1</v>
      </c>
      <c r="M1663" s="10">
        <v>3</v>
      </c>
    </row>
    <row r="1664" spans="1:13">
      <c r="A1664" s="8">
        <v>43356</v>
      </c>
      <c r="B1664" s="9">
        <v>0.67083333333333339</v>
      </c>
      <c r="C1664" s="10" t="str">
        <f>"FES1162647248"</f>
        <v>FES1162647248</v>
      </c>
      <c r="D1664" s="10" t="s">
        <v>19</v>
      </c>
      <c r="E1664" s="10" t="s">
        <v>812</v>
      </c>
      <c r="F1664" s="10" t="str">
        <f>"2170651543 "</f>
        <v xml:space="preserve">2170651543 </v>
      </c>
      <c r="G1664" s="10" t="str">
        <f t="shared" si="42"/>
        <v>ON1</v>
      </c>
      <c r="H1664" s="10" t="s">
        <v>21</v>
      </c>
      <c r="I1664" s="10" t="s">
        <v>353</v>
      </c>
      <c r="J1664" s="10" t="str">
        <f>""</f>
        <v/>
      </c>
      <c r="K1664" s="10" t="str">
        <f>"PFES1162647248_0001"</f>
        <v>PFES1162647248_0001</v>
      </c>
      <c r="L1664" s="10">
        <v>1</v>
      </c>
      <c r="M1664" s="10">
        <v>5</v>
      </c>
    </row>
    <row r="1665" spans="1:13">
      <c r="A1665" s="8">
        <v>43356</v>
      </c>
      <c r="B1665" s="9">
        <v>0.66875000000000007</v>
      </c>
      <c r="C1665" s="10" t="str">
        <f>"FES1162647195"</f>
        <v>FES1162647195</v>
      </c>
      <c r="D1665" s="10" t="s">
        <v>19</v>
      </c>
      <c r="E1665" s="10" t="s">
        <v>359</v>
      </c>
      <c r="F1665" s="10" t="str">
        <f>"21706494638 "</f>
        <v xml:space="preserve">21706494638 </v>
      </c>
      <c r="G1665" s="10" t="str">
        <f t="shared" si="42"/>
        <v>ON1</v>
      </c>
      <c r="H1665" s="10" t="s">
        <v>21</v>
      </c>
      <c r="I1665" s="10" t="s">
        <v>87</v>
      </c>
      <c r="J1665" s="10" t="str">
        <f>""</f>
        <v/>
      </c>
      <c r="K1665" s="10" t="str">
        <f>"PFES1162647195_0001"</f>
        <v>PFES1162647195_0001</v>
      </c>
      <c r="L1665" s="10">
        <v>1</v>
      </c>
      <c r="M1665" s="10">
        <v>1</v>
      </c>
    </row>
    <row r="1666" spans="1:13">
      <c r="A1666" s="8">
        <v>43356</v>
      </c>
      <c r="B1666" s="9">
        <v>0.66805555555555562</v>
      </c>
      <c r="C1666" s="10" t="str">
        <f>"FES1162647007"</f>
        <v>FES1162647007</v>
      </c>
      <c r="D1666" s="10" t="s">
        <v>19</v>
      </c>
      <c r="E1666" s="10" t="s">
        <v>20</v>
      </c>
      <c r="F1666" s="10" t="str">
        <f>"2170649768 "</f>
        <v xml:space="preserve">2170649768 </v>
      </c>
      <c r="G1666" s="10" t="str">
        <f t="shared" si="42"/>
        <v>ON1</v>
      </c>
      <c r="H1666" s="10" t="s">
        <v>21</v>
      </c>
      <c r="I1666" s="10" t="s">
        <v>22</v>
      </c>
      <c r="J1666" s="10" t="str">
        <f>""</f>
        <v/>
      </c>
      <c r="K1666" s="10" t="str">
        <f>"PFES1162647007_0001"</f>
        <v>PFES1162647007_0001</v>
      </c>
      <c r="L1666" s="10">
        <v>1</v>
      </c>
      <c r="M1666" s="10">
        <v>1</v>
      </c>
    </row>
    <row r="1667" spans="1:13">
      <c r="A1667" s="8">
        <v>43356</v>
      </c>
      <c r="B1667" s="9">
        <v>0.66736111111111107</v>
      </c>
      <c r="C1667" s="10" t="str">
        <f>"FES1162647200"</f>
        <v>FES1162647200</v>
      </c>
      <c r="D1667" s="10" t="s">
        <v>19</v>
      </c>
      <c r="E1667" s="10" t="s">
        <v>101</v>
      </c>
      <c r="F1667" s="10" t="str">
        <f>"2170649687 "</f>
        <v xml:space="preserve">2170649687 </v>
      </c>
      <c r="G1667" s="10" t="str">
        <f t="shared" si="42"/>
        <v>ON1</v>
      </c>
      <c r="H1667" s="10" t="s">
        <v>21</v>
      </c>
      <c r="I1667" s="10" t="s">
        <v>102</v>
      </c>
      <c r="J1667" s="10" t="str">
        <f>""</f>
        <v/>
      </c>
      <c r="K1667" s="10" t="str">
        <f>"PFES1162647200_0001"</f>
        <v>PFES1162647200_0001</v>
      </c>
      <c r="L1667" s="10">
        <v>1</v>
      </c>
      <c r="M1667" s="10">
        <v>1</v>
      </c>
    </row>
    <row r="1668" spans="1:13">
      <c r="A1668" s="8">
        <v>43356</v>
      </c>
      <c r="B1668" s="9">
        <v>0.66736111111111107</v>
      </c>
      <c r="C1668" s="10" t="str">
        <f>"FES1162647230"</f>
        <v>FES1162647230</v>
      </c>
      <c r="D1668" s="10" t="s">
        <v>19</v>
      </c>
      <c r="E1668" s="10" t="s">
        <v>841</v>
      </c>
      <c r="F1668" s="10" t="str">
        <f>"2170642730 "</f>
        <v xml:space="preserve">2170642730 </v>
      </c>
      <c r="G1668" s="10" t="str">
        <f t="shared" si="42"/>
        <v>ON1</v>
      </c>
      <c r="H1668" s="10" t="s">
        <v>21</v>
      </c>
      <c r="I1668" s="10" t="s">
        <v>641</v>
      </c>
      <c r="J1668" s="10" t="str">
        <f>""</f>
        <v/>
      </c>
      <c r="K1668" s="10" t="str">
        <f>"PFES1162647230_0001"</f>
        <v>PFES1162647230_0001</v>
      </c>
      <c r="L1668" s="10">
        <v>1</v>
      </c>
      <c r="M1668" s="10">
        <v>1</v>
      </c>
    </row>
    <row r="1669" spans="1:13">
      <c r="A1669" s="8">
        <v>43356</v>
      </c>
      <c r="B1669" s="9">
        <v>0.66736111111111107</v>
      </c>
      <c r="C1669" s="10" t="str">
        <f>"FES1162647240"</f>
        <v>FES1162647240</v>
      </c>
      <c r="D1669" s="10" t="s">
        <v>19</v>
      </c>
      <c r="E1669" s="10" t="s">
        <v>842</v>
      </c>
      <c r="F1669" s="10" t="str">
        <f>"2170651779 "</f>
        <v xml:space="preserve">2170651779 </v>
      </c>
      <c r="G1669" s="10" t="str">
        <f t="shared" si="42"/>
        <v>ON1</v>
      </c>
      <c r="H1669" s="10" t="s">
        <v>21</v>
      </c>
      <c r="I1669" s="10" t="s">
        <v>789</v>
      </c>
      <c r="J1669" s="10" t="str">
        <f>""</f>
        <v/>
      </c>
      <c r="K1669" s="10" t="str">
        <f>"PFES1162647240_0001"</f>
        <v>PFES1162647240_0001</v>
      </c>
      <c r="L1669" s="10">
        <v>1</v>
      </c>
      <c r="M1669" s="10">
        <v>4</v>
      </c>
    </row>
    <row r="1670" spans="1:13">
      <c r="A1670" s="8">
        <v>43356</v>
      </c>
      <c r="B1670" s="9">
        <v>0.66736111111111107</v>
      </c>
      <c r="C1670" s="10" t="str">
        <f>"FES1162647293"</f>
        <v>FES1162647293</v>
      </c>
      <c r="D1670" s="10" t="s">
        <v>19</v>
      </c>
      <c r="E1670" s="10" t="s">
        <v>142</v>
      </c>
      <c r="F1670" s="10" t="str">
        <f>"2170651842 "</f>
        <v xml:space="preserve">2170651842 </v>
      </c>
      <c r="G1670" s="10" t="str">
        <f t="shared" si="42"/>
        <v>ON1</v>
      </c>
      <c r="H1670" s="10" t="s">
        <v>21</v>
      </c>
      <c r="I1670" s="10" t="s">
        <v>143</v>
      </c>
      <c r="J1670" s="10" t="str">
        <f>""</f>
        <v/>
      </c>
      <c r="K1670" s="10" t="str">
        <f>"PFES1162647293_0001"</f>
        <v>PFES1162647293_0001</v>
      </c>
      <c r="L1670" s="10">
        <v>1</v>
      </c>
      <c r="M1670" s="10">
        <v>1</v>
      </c>
    </row>
    <row r="1671" spans="1:13">
      <c r="A1671" s="8">
        <v>43356</v>
      </c>
      <c r="B1671" s="9">
        <v>0.66249999999999998</v>
      </c>
      <c r="C1671" s="10" t="str">
        <f>"FES1162647310"</f>
        <v>FES1162647310</v>
      </c>
      <c r="D1671" s="10" t="s">
        <v>19</v>
      </c>
      <c r="E1671" s="10" t="s">
        <v>843</v>
      </c>
      <c r="F1671" s="10" t="str">
        <f>"2170649285 "</f>
        <v xml:space="preserve">2170649285 </v>
      </c>
      <c r="G1671" s="10" t="str">
        <f t="shared" si="42"/>
        <v>ON1</v>
      </c>
      <c r="H1671" s="10" t="s">
        <v>21</v>
      </c>
      <c r="I1671" s="10" t="s">
        <v>474</v>
      </c>
      <c r="J1671" s="10" t="str">
        <f>""</f>
        <v/>
      </c>
      <c r="K1671" s="10" t="str">
        <f>"PFES1162647310_0001"</f>
        <v>PFES1162647310_0001</v>
      </c>
      <c r="L1671" s="10">
        <v>1</v>
      </c>
      <c r="M1671" s="10">
        <v>4</v>
      </c>
    </row>
    <row r="1672" spans="1:13">
      <c r="A1672" s="8">
        <v>43356</v>
      </c>
      <c r="B1672" s="9">
        <v>0.66180555555555554</v>
      </c>
      <c r="C1672" s="10" t="str">
        <f>"FES1162647220"</f>
        <v>FES1162647220</v>
      </c>
      <c r="D1672" s="10" t="s">
        <v>19</v>
      </c>
      <c r="E1672" s="10" t="s">
        <v>447</v>
      </c>
      <c r="F1672" s="10" t="str">
        <f>"2170651750 "</f>
        <v xml:space="preserve">2170651750 </v>
      </c>
      <c r="G1672" s="10" t="str">
        <f t="shared" si="42"/>
        <v>ON1</v>
      </c>
      <c r="H1672" s="10" t="s">
        <v>21</v>
      </c>
      <c r="I1672" s="10" t="s">
        <v>448</v>
      </c>
      <c r="J1672" s="10" t="str">
        <f>""</f>
        <v/>
      </c>
      <c r="K1672" s="10" t="str">
        <f>"PFES1162647220_0001"</f>
        <v>PFES1162647220_0001</v>
      </c>
      <c r="L1672" s="10">
        <v>1</v>
      </c>
      <c r="M1672" s="10">
        <v>7</v>
      </c>
    </row>
    <row r="1673" spans="1:13">
      <c r="A1673" s="8">
        <v>43356</v>
      </c>
      <c r="B1673" s="9">
        <v>0.66041666666666665</v>
      </c>
      <c r="C1673" s="10" t="str">
        <f>"FES1162647232"</f>
        <v>FES1162647232</v>
      </c>
      <c r="D1673" s="10" t="s">
        <v>19</v>
      </c>
      <c r="E1673" s="10" t="s">
        <v>844</v>
      </c>
      <c r="F1673" s="10" t="str">
        <f>"2170651760 "</f>
        <v xml:space="preserve">2170651760 </v>
      </c>
      <c r="G1673" s="10" t="str">
        <f t="shared" si="42"/>
        <v>ON1</v>
      </c>
      <c r="H1673" s="10" t="s">
        <v>21</v>
      </c>
      <c r="I1673" s="10" t="s">
        <v>204</v>
      </c>
      <c r="J1673" s="10" t="str">
        <f>""</f>
        <v/>
      </c>
      <c r="K1673" s="10" t="str">
        <f>"PFES1162647232_0001"</f>
        <v>PFES1162647232_0001</v>
      </c>
      <c r="L1673" s="10">
        <v>1</v>
      </c>
      <c r="M1673" s="10">
        <v>2</v>
      </c>
    </row>
    <row r="1674" spans="1:13">
      <c r="A1674" s="8">
        <v>43356</v>
      </c>
      <c r="B1674" s="9">
        <v>0.65902777777777777</v>
      </c>
      <c r="C1674" s="10" t="str">
        <f>"FES1162647300"</f>
        <v>FES1162647300</v>
      </c>
      <c r="D1674" s="10" t="s">
        <v>19</v>
      </c>
      <c r="E1674" s="10" t="s">
        <v>111</v>
      </c>
      <c r="F1674" s="10" t="str">
        <f>"2170651851 "</f>
        <v xml:space="preserve">2170651851 </v>
      </c>
      <c r="G1674" s="10" t="str">
        <f t="shared" si="42"/>
        <v>ON1</v>
      </c>
      <c r="H1674" s="10" t="s">
        <v>21</v>
      </c>
      <c r="I1674" s="10" t="s">
        <v>112</v>
      </c>
      <c r="J1674" s="10" t="str">
        <f>""</f>
        <v/>
      </c>
      <c r="K1674" s="10" t="str">
        <f>"PFES1162647300_0001"</f>
        <v>PFES1162647300_0001</v>
      </c>
      <c r="L1674" s="10">
        <v>1</v>
      </c>
      <c r="M1674" s="10">
        <v>1</v>
      </c>
    </row>
    <row r="1675" spans="1:13">
      <c r="A1675" s="8">
        <v>43356</v>
      </c>
      <c r="B1675" s="9">
        <v>0.65833333333333333</v>
      </c>
      <c r="C1675" s="10" t="str">
        <f>"FES1162647238"</f>
        <v>FES1162647238</v>
      </c>
      <c r="D1675" s="10" t="s">
        <v>19</v>
      </c>
      <c r="E1675" s="10" t="s">
        <v>399</v>
      </c>
      <c r="F1675" s="10" t="str">
        <f>"2170651773 "</f>
        <v xml:space="preserve">2170651773 </v>
      </c>
      <c r="G1675" s="10" t="str">
        <f t="shared" si="42"/>
        <v>ON1</v>
      </c>
      <c r="H1675" s="10" t="s">
        <v>21</v>
      </c>
      <c r="I1675" s="10" t="s">
        <v>400</v>
      </c>
      <c r="J1675" s="10" t="str">
        <f>""</f>
        <v/>
      </c>
      <c r="K1675" s="10" t="str">
        <f>"PFES1162647238_0001"</f>
        <v>PFES1162647238_0001</v>
      </c>
      <c r="L1675" s="10">
        <v>1</v>
      </c>
      <c r="M1675" s="10">
        <v>1</v>
      </c>
    </row>
    <row r="1676" spans="1:13">
      <c r="A1676" s="8">
        <v>43356</v>
      </c>
      <c r="B1676" s="9">
        <v>0.65833333333333333</v>
      </c>
      <c r="C1676" s="10" t="str">
        <f>"FES1162647191"</f>
        <v>FES1162647191</v>
      </c>
      <c r="D1676" s="10" t="s">
        <v>19</v>
      </c>
      <c r="E1676" s="10" t="s">
        <v>734</v>
      </c>
      <c r="F1676" s="10" t="str">
        <f>"2170649459 "</f>
        <v xml:space="preserve">2170649459 </v>
      </c>
      <c r="G1676" s="10" t="str">
        <f t="shared" si="42"/>
        <v>ON1</v>
      </c>
      <c r="H1676" s="10" t="s">
        <v>21</v>
      </c>
      <c r="I1676" s="10" t="s">
        <v>400</v>
      </c>
      <c r="J1676" s="10" t="str">
        <f>""</f>
        <v/>
      </c>
      <c r="K1676" s="10" t="str">
        <f>"PFES1162647191_0001"</f>
        <v>PFES1162647191_0001</v>
      </c>
      <c r="L1676" s="10">
        <v>1</v>
      </c>
      <c r="M1676" s="10">
        <v>2</v>
      </c>
    </row>
    <row r="1677" spans="1:13">
      <c r="A1677" s="8">
        <v>43356</v>
      </c>
      <c r="B1677" s="9">
        <v>0.65833333333333333</v>
      </c>
      <c r="C1677" s="10" t="str">
        <f>"FES1162647010"</f>
        <v>FES1162647010</v>
      </c>
      <c r="D1677" s="10" t="s">
        <v>19</v>
      </c>
      <c r="E1677" s="10" t="s">
        <v>106</v>
      </c>
      <c r="F1677" s="10" t="str">
        <f>"2170649796 "</f>
        <v xml:space="preserve">2170649796 </v>
      </c>
      <c r="G1677" s="10" t="str">
        <f t="shared" si="42"/>
        <v>ON1</v>
      </c>
      <c r="H1677" s="10" t="s">
        <v>21</v>
      </c>
      <c r="I1677" s="10" t="s">
        <v>107</v>
      </c>
      <c r="J1677" s="10" t="str">
        <f>""</f>
        <v/>
      </c>
      <c r="K1677" s="10" t="str">
        <f>"PFES1162647010_0001"</f>
        <v>PFES1162647010_0001</v>
      </c>
      <c r="L1677" s="10">
        <v>1</v>
      </c>
      <c r="M1677" s="10">
        <v>1</v>
      </c>
    </row>
    <row r="1678" spans="1:13">
      <c r="A1678" s="8">
        <v>43356</v>
      </c>
      <c r="B1678" s="9">
        <v>0.65763888888888888</v>
      </c>
      <c r="C1678" s="10" t="str">
        <f>"FES1162647166"</f>
        <v>FES1162647166</v>
      </c>
      <c r="D1678" s="10" t="s">
        <v>19</v>
      </c>
      <c r="E1678" s="10" t="s">
        <v>845</v>
      </c>
      <c r="F1678" s="10" t="str">
        <f>"2170651555 "</f>
        <v xml:space="preserve">2170651555 </v>
      </c>
      <c r="G1678" s="10" t="str">
        <f t="shared" si="42"/>
        <v>ON1</v>
      </c>
      <c r="H1678" s="10" t="s">
        <v>21</v>
      </c>
      <c r="I1678" s="10" t="s">
        <v>846</v>
      </c>
      <c r="J1678" s="10" t="str">
        <f>""</f>
        <v/>
      </c>
      <c r="K1678" s="10" t="str">
        <f>"PFES1162647166_0001"</f>
        <v>PFES1162647166_0001</v>
      </c>
      <c r="L1678" s="10">
        <v>1</v>
      </c>
      <c r="M1678" s="10">
        <v>1</v>
      </c>
    </row>
    <row r="1679" spans="1:13">
      <c r="A1679" s="8">
        <v>43356</v>
      </c>
      <c r="B1679" s="9">
        <v>0.65694444444444444</v>
      </c>
      <c r="C1679" s="10" t="str">
        <f>"FES1162647167"</f>
        <v>FES1162647167</v>
      </c>
      <c r="D1679" s="10" t="s">
        <v>19</v>
      </c>
      <c r="E1679" s="10" t="s">
        <v>845</v>
      </c>
      <c r="F1679" s="10" t="str">
        <f>"2170651556 "</f>
        <v xml:space="preserve">2170651556 </v>
      </c>
      <c r="G1679" s="10" t="str">
        <f t="shared" si="42"/>
        <v>ON1</v>
      </c>
      <c r="H1679" s="10" t="s">
        <v>21</v>
      </c>
      <c r="I1679" s="10" t="s">
        <v>846</v>
      </c>
      <c r="J1679" s="10" t="str">
        <f>""</f>
        <v/>
      </c>
      <c r="K1679" s="10" t="str">
        <f>"PFES1162647167_0001"</f>
        <v>PFES1162647167_0001</v>
      </c>
      <c r="L1679" s="10">
        <v>1</v>
      </c>
      <c r="M1679" s="10">
        <v>1</v>
      </c>
    </row>
    <row r="1680" spans="1:13">
      <c r="A1680" s="8">
        <v>43356</v>
      </c>
      <c r="B1680" s="9">
        <v>0.65694444444444444</v>
      </c>
      <c r="C1680" s="10" t="str">
        <f>"FES1162647198"</f>
        <v>FES1162647198</v>
      </c>
      <c r="D1680" s="10" t="s">
        <v>19</v>
      </c>
      <c r="E1680" s="10" t="s">
        <v>847</v>
      </c>
      <c r="F1680" s="10" t="str">
        <f>"2170649668 "</f>
        <v xml:space="preserve">2170649668 </v>
      </c>
      <c r="G1680" s="10" t="str">
        <f t="shared" si="42"/>
        <v>ON1</v>
      </c>
      <c r="H1680" s="10" t="s">
        <v>21</v>
      </c>
      <c r="I1680" s="10" t="s">
        <v>95</v>
      </c>
      <c r="J1680" s="10" t="str">
        <f>""</f>
        <v/>
      </c>
      <c r="K1680" s="10" t="str">
        <f>"PFES1162647198_0001"</f>
        <v>PFES1162647198_0001</v>
      </c>
      <c r="L1680" s="10">
        <v>1</v>
      </c>
      <c r="M1680" s="10">
        <v>4</v>
      </c>
    </row>
    <row r="1681" spans="1:13">
      <c r="A1681" s="8">
        <v>43356</v>
      </c>
      <c r="B1681" s="9">
        <v>0.65694444444444444</v>
      </c>
      <c r="C1681" s="10" t="str">
        <f>"FES1162647250"</f>
        <v>FES1162647250</v>
      </c>
      <c r="D1681" s="10" t="s">
        <v>19</v>
      </c>
      <c r="E1681" s="10" t="s">
        <v>447</v>
      </c>
      <c r="F1681" s="10" t="str">
        <f>"2170651634 "</f>
        <v xml:space="preserve">2170651634 </v>
      </c>
      <c r="G1681" s="10" t="str">
        <f t="shared" si="42"/>
        <v>ON1</v>
      </c>
      <c r="H1681" s="10" t="s">
        <v>21</v>
      </c>
      <c r="I1681" s="10" t="s">
        <v>448</v>
      </c>
      <c r="J1681" s="10" t="str">
        <f>""</f>
        <v/>
      </c>
      <c r="K1681" s="10" t="str">
        <f>"PFES1162647250_0001"</f>
        <v>PFES1162647250_0001</v>
      </c>
      <c r="L1681" s="10">
        <v>1</v>
      </c>
      <c r="M1681" s="10">
        <v>1</v>
      </c>
    </row>
    <row r="1682" spans="1:13">
      <c r="A1682" s="8">
        <v>43356</v>
      </c>
      <c r="B1682" s="9">
        <v>0.65694444444444444</v>
      </c>
      <c r="C1682" s="10" t="str">
        <f>"FES1162647273"</f>
        <v>FES1162647273</v>
      </c>
      <c r="D1682" s="10" t="s">
        <v>19</v>
      </c>
      <c r="E1682" s="10" t="s">
        <v>695</v>
      </c>
      <c r="F1682" s="10" t="str">
        <f>"2170651818 "</f>
        <v xml:space="preserve">2170651818 </v>
      </c>
      <c r="G1682" s="10" t="str">
        <f t="shared" si="42"/>
        <v>ON1</v>
      </c>
      <c r="H1682" s="10" t="s">
        <v>21</v>
      </c>
      <c r="I1682" s="10" t="s">
        <v>696</v>
      </c>
      <c r="J1682" s="10" t="str">
        <f>""</f>
        <v/>
      </c>
      <c r="K1682" s="10" t="str">
        <f>"PFES1162647273_0001"</f>
        <v>PFES1162647273_0001</v>
      </c>
      <c r="L1682" s="10">
        <v>1</v>
      </c>
      <c r="M1682" s="10">
        <v>1</v>
      </c>
    </row>
    <row r="1683" spans="1:13">
      <c r="A1683" s="8">
        <v>43356</v>
      </c>
      <c r="B1683" s="9">
        <v>0.65625</v>
      </c>
      <c r="C1683" s="10" t="str">
        <f>"FES1162647251"</f>
        <v>FES1162647251</v>
      </c>
      <c r="D1683" s="10" t="s">
        <v>19</v>
      </c>
      <c r="E1683" s="10" t="s">
        <v>214</v>
      </c>
      <c r="F1683" s="10" t="str">
        <f>"2170615789 "</f>
        <v xml:space="preserve">2170615789 </v>
      </c>
      <c r="G1683" s="10" t="str">
        <f t="shared" si="42"/>
        <v>ON1</v>
      </c>
      <c r="H1683" s="10" t="s">
        <v>21</v>
      </c>
      <c r="I1683" s="10" t="s">
        <v>215</v>
      </c>
      <c r="J1683" s="10" t="str">
        <f>""</f>
        <v/>
      </c>
      <c r="K1683" s="10" t="str">
        <f>"PFES1162647251_0001"</f>
        <v>PFES1162647251_0001</v>
      </c>
      <c r="L1683" s="10">
        <v>1</v>
      </c>
      <c r="M1683" s="10">
        <v>1</v>
      </c>
    </row>
    <row r="1684" spans="1:13">
      <c r="A1684" s="8">
        <v>43356</v>
      </c>
      <c r="B1684" s="9">
        <v>0.65625</v>
      </c>
      <c r="C1684" s="10" t="str">
        <f>"FES1162647015"</f>
        <v>FES1162647015</v>
      </c>
      <c r="D1684" s="10" t="s">
        <v>19</v>
      </c>
      <c r="E1684" s="10" t="s">
        <v>447</v>
      </c>
      <c r="F1684" s="10" t="str">
        <f>"2170649845 "</f>
        <v xml:space="preserve">2170649845 </v>
      </c>
      <c r="G1684" s="10" t="str">
        <f t="shared" si="42"/>
        <v>ON1</v>
      </c>
      <c r="H1684" s="10" t="s">
        <v>21</v>
      </c>
      <c r="I1684" s="10" t="s">
        <v>448</v>
      </c>
      <c r="J1684" s="10" t="str">
        <f>""</f>
        <v/>
      </c>
      <c r="K1684" s="10" t="str">
        <f>"PFES1162647015_0001"</f>
        <v>PFES1162647015_0001</v>
      </c>
      <c r="L1684" s="10">
        <v>1</v>
      </c>
      <c r="M1684" s="10">
        <v>5</v>
      </c>
    </row>
    <row r="1685" spans="1:13">
      <c r="A1685" s="8">
        <v>43356</v>
      </c>
      <c r="B1685" s="9">
        <v>0.65138888888888891</v>
      </c>
      <c r="C1685" s="10" t="str">
        <f>"FES1162647258"</f>
        <v>FES1162647258</v>
      </c>
      <c r="D1685" s="10" t="s">
        <v>19</v>
      </c>
      <c r="E1685" s="10" t="s">
        <v>424</v>
      </c>
      <c r="F1685" s="10" t="str">
        <f>"2170651771 "</f>
        <v xml:space="preserve">2170651771 </v>
      </c>
      <c r="G1685" s="10" t="str">
        <f t="shared" si="42"/>
        <v>ON1</v>
      </c>
      <c r="H1685" s="10" t="s">
        <v>21</v>
      </c>
      <c r="I1685" s="10" t="s">
        <v>97</v>
      </c>
      <c r="J1685" s="10" t="str">
        <f>""</f>
        <v/>
      </c>
      <c r="K1685" s="10" t="str">
        <f>"PFES1162647258_0001"</f>
        <v>PFES1162647258_0001</v>
      </c>
      <c r="L1685" s="10">
        <v>1</v>
      </c>
      <c r="M1685" s="10">
        <v>1</v>
      </c>
    </row>
    <row r="1686" spans="1:13">
      <c r="A1686" s="8">
        <v>43356</v>
      </c>
      <c r="B1686" s="9">
        <v>0.65069444444444446</v>
      </c>
      <c r="C1686" s="10" t="str">
        <f>"FES1162647266"</f>
        <v>FES1162647266</v>
      </c>
      <c r="D1686" s="10" t="s">
        <v>19</v>
      </c>
      <c r="E1686" s="10" t="s">
        <v>37</v>
      </c>
      <c r="F1686" s="10" t="str">
        <f>"2170651813 "</f>
        <v xml:space="preserve">2170651813 </v>
      </c>
      <c r="G1686" s="10" t="str">
        <f t="shared" si="42"/>
        <v>ON1</v>
      </c>
      <c r="H1686" s="10" t="s">
        <v>21</v>
      </c>
      <c r="I1686" s="10" t="s">
        <v>26</v>
      </c>
      <c r="J1686" s="10" t="str">
        <f>""</f>
        <v/>
      </c>
      <c r="K1686" s="10" t="str">
        <f>"PFES1162647266_0001"</f>
        <v>PFES1162647266_0001</v>
      </c>
      <c r="L1686" s="10">
        <v>1</v>
      </c>
      <c r="M1686" s="10">
        <v>1</v>
      </c>
    </row>
    <row r="1687" spans="1:13">
      <c r="A1687" s="8">
        <v>43356</v>
      </c>
      <c r="B1687" s="9">
        <v>0.65069444444444446</v>
      </c>
      <c r="C1687" s="10" t="str">
        <f>"FES1162647079"</f>
        <v>FES1162647079</v>
      </c>
      <c r="D1687" s="10" t="s">
        <v>19</v>
      </c>
      <c r="E1687" s="10" t="s">
        <v>438</v>
      </c>
      <c r="F1687" s="10" t="str">
        <f>"2170651654 "</f>
        <v xml:space="preserve">2170651654 </v>
      </c>
      <c r="G1687" s="10" t="str">
        <f t="shared" si="42"/>
        <v>ON1</v>
      </c>
      <c r="H1687" s="10" t="s">
        <v>21</v>
      </c>
      <c r="I1687" s="10" t="s">
        <v>439</v>
      </c>
      <c r="J1687" s="10" t="str">
        <f>""</f>
        <v/>
      </c>
      <c r="K1687" s="10" t="str">
        <f>"PFES1162647079_0001"</f>
        <v>PFES1162647079_0001</v>
      </c>
      <c r="L1687" s="10">
        <v>1</v>
      </c>
      <c r="M1687" s="10">
        <v>1</v>
      </c>
    </row>
    <row r="1688" spans="1:13">
      <c r="A1688" s="8">
        <v>43356</v>
      </c>
      <c r="B1688" s="9">
        <v>0.65069444444444446</v>
      </c>
      <c r="C1688" s="10" t="str">
        <f>"FES1162647278"</f>
        <v>FES1162647278</v>
      </c>
      <c r="D1688" s="10" t="s">
        <v>19</v>
      </c>
      <c r="E1688" s="10" t="s">
        <v>531</v>
      </c>
      <c r="F1688" s="10" t="str">
        <f>"2170651827 "</f>
        <v xml:space="preserve">2170651827 </v>
      </c>
      <c r="G1688" s="10" t="str">
        <f t="shared" si="42"/>
        <v>ON1</v>
      </c>
      <c r="H1688" s="10" t="s">
        <v>21</v>
      </c>
      <c r="I1688" s="10" t="s">
        <v>532</v>
      </c>
      <c r="J1688" s="10" t="str">
        <f>""</f>
        <v/>
      </c>
      <c r="K1688" s="10" t="str">
        <f>"PFES1162647278_0001"</f>
        <v>PFES1162647278_0001</v>
      </c>
      <c r="L1688" s="10">
        <v>1</v>
      </c>
      <c r="M1688" s="10">
        <v>1</v>
      </c>
    </row>
    <row r="1689" spans="1:13">
      <c r="A1689" s="8">
        <v>43356</v>
      </c>
      <c r="B1689" s="9">
        <v>0.65</v>
      </c>
      <c r="C1689" s="10" t="str">
        <f>"FES1162647209"</f>
        <v>FES1162647209</v>
      </c>
      <c r="D1689" s="10" t="s">
        <v>19</v>
      </c>
      <c r="E1689" s="10" t="s">
        <v>542</v>
      </c>
      <c r="F1689" s="10" t="str">
        <f>"2170651729 "</f>
        <v xml:space="preserve">2170651729 </v>
      </c>
      <c r="G1689" s="10" t="str">
        <f t="shared" si="42"/>
        <v>ON1</v>
      </c>
      <c r="H1689" s="10" t="s">
        <v>21</v>
      </c>
      <c r="I1689" s="10" t="s">
        <v>543</v>
      </c>
      <c r="J1689" s="10" t="str">
        <f>""</f>
        <v/>
      </c>
      <c r="K1689" s="10" t="str">
        <f>"PFES1162647209_0001"</f>
        <v>PFES1162647209_0001</v>
      </c>
      <c r="L1689" s="10">
        <v>1</v>
      </c>
      <c r="M1689" s="10">
        <v>1</v>
      </c>
    </row>
    <row r="1690" spans="1:13">
      <c r="A1690" s="8">
        <v>43356</v>
      </c>
      <c r="B1690" s="9">
        <v>0.65</v>
      </c>
      <c r="C1690" s="10" t="str">
        <f>"FES1162647203"</f>
        <v>FES1162647203</v>
      </c>
      <c r="D1690" s="10" t="s">
        <v>19</v>
      </c>
      <c r="E1690" s="10" t="s">
        <v>750</v>
      </c>
      <c r="F1690" s="10" t="str">
        <f>"2170651134 "</f>
        <v xml:space="preserve">2170651134 </v>
      </c>
      <c r="G1690" s="10" t="str">
        <f t="shared" si="42"/>
        <v>ON1</v>
      </c>
      <c r="H1690" s="10" t="s">
        <v>21</v>
      </c>
      <c r="I1690" s="10" t="s">
        <v>34</v>
      </c>
      <c r="J1690" s="10" t="str">
        <f>""</f>
        <v/>
      </c>
      <c r="K1690" s="10" t="str">
        <f>"PFES1162647203_0001"</f>
        <v>PFES1162647203_0001</v>
      </c>
      <c r="L1690" s="10">
        <v>1</v>
      </c>
      <c r="M1690" s="10">
        <v>1</v>
      </c>
    </row>
    <row r="1691" spans="1:13">
      <c r="A1691" s="8">
        <v>43356</v>
      </c>
      <c r="B1691" s="9">
        <v>0.64930555555555558</v>
      </c>
      <c r="C1691" s="10" t="str">
        <f>"FES1162647064"</f>
        <v>FES1162647064</v>
      </c>
      <c r="D1691" s="10" t="s">
        <v>19</v>
      </c>
      <c r="E1691" s="10" t="s">
        <v>136</v>
      </c>
      <c r="F1691" s="10" t="str">
        <f>"2170651511 "</f>
        <v xml:space="preserve">2170651511 </v>
      </c>
      <c r="G1691" s="10" t="str">
        <f t="shared" si="42"/>
        <v>ON1</v>
      </c>
      <c r="H1691" s="10" t="s">
        <v>21</v>
      </c>
      <c r="I1691" s="10" t="s">
        <v>24</v>
      </c>
      <c r="J1691" s="10" t="str">
        <f>""</f>
        <v/>
      </c>
      <c r="K1691" s="10" t="str">
        <f>"PFES1162647064_0001"</f>
        <v>PFES1162647064_0001</v>
      </c>
      <c r="L1691" s="10">
        <v>1</v>
      </c>
      <c r="M1691" s="10">
        <v>1</v>
      </c>
    </row>
    <row r="1692" spans="1:13">
      <c r="A1692" s="8">
        <v>43356</v>
      </c>
      <c r="B1692" s="9">
        <v>0.64930555555555558</v>
      </c>
      <c r="C1692" s="10" t="str">
        <f>"FES1162647181"</f>
        <v>FES1162647181</v>
      </c>
      <c r="D1692" s="10" t="s">
        <v>19</v>
      </c>
      <c r="E1692" s="10" t="s">
        <v>542</v>
      </c>
      <c r="F1692" s="10" t="str">
        <f>"2170651724 "</f>
        <v xml:space="preserve">2170651724 </v>
      </c>
      <c r="G1692" s="10" t="str">
        <f t="shared" si="42"/>
        <v>ON1</v>
      </c>
      <c r="H1692" s="10" t="s">
        <v>21</v>
      </c>
      <c r="I1692" s="10" t="s">
        <v>543</v>
      </c>
      <c r="J1692" s="10" t="str">
        <f>""</f>
        <v/>
      </c>
      <c r="K1692" s="10" t="str">
        <f>"PFES1162647181_0001"</f>
        <v>PFES1162647181_0001</v>
      </c>
      <c r="L1692" s="10">
        <v>1</v>
      </c>
      <c r="M1692" s="10">
        <v>1</v>
      </c>
    </row>
    <row r="1693" spans="1:13">
      <c r="A1693" s="8">
        <v>43356</v>
      </c>
      <c r="B1693" s="9">
        <v>0.64930555555555558</v>
      </c>
      <c r="C1693" s="10" t="str">
        <f>"FES1162647151"</f>
        <v>FES1162647151</v>
      </c>
      <c r="D1693" s="10" t="s">
        <v>19</v>
      </c>
      <c r="E1693" s="10" t="s">
        <v>172</v>
      </c>
      <c r="F1693" s="10" t="str">
        <f>"2170649700 "</f>
        <v xml:space="preserve">2170649700 </v>
      </c>
      <c r="G1693" s="10" t="str">
        <f t="shared" si="42"/>
        <v>ON1</v>
      </c>
      <c r="H1693" s="10" t="s">
        <v>21</v>
      </c>
      <c r="I1693" s="10" t="s">
        <v>105</v>
      </c>
      <c r="J1693" s="10" t="str">
        <f>""</f>
        <v/>
      </c>
      <c r="K1693" s="10" t="str">
        <f>"PFES1162647151_0001"</f>
        <v>PFES1162647151_0001</v>
      </c>
      <c r="L1693" s="10">
        <v>1</v>
      </c>
      <c r="M1693" s="10">
        <v>1</v>
      </c>
    </row>
    <row r="1694" spans="1:13">
      <c r="A1694" s="8">
        <v>43356</v>
      </c>
      <c r="B1694" s="9">
        <v>0.64861111111111114</v>
      </c>
      <c r="C1694" s="10" t="str">
        <f>"FES1162647091"</f>
        <v>FES1162647091</v>
      </c>
      <c r="D1694" s="10" t="s">
        <v>19</v>
      </c>
      <c r="E1694" s="10" t="s">
        <v>50</v>
      </c>
      <c r="F1694" s="10" t="str">
        <f>"2170651603 "</f>
        <v xml:space="preserve">2170651603 </v>
      </c>
      <c r="G1694" s="10" t="str">
        <f t="shared" si="42"/>
        <v>ON1</v>
      </c>
      <c r="H1694" s="10" t="s">
        <v>21</v>
      </c>
      <c r="I1694" s="10" t="s">
        <v>51</v>
      </c>
      <c r="J1694" s="10" t="str">
        <f>""</f>
        <v/>
      </c>
      <c r="K1694" s="10" t="str">
        <f>"PFES1162647091_0001"</f>
        <v>PFES1162647091_0001</v>
      </c>
      <c r="L1694" s="10">
        <v>1</v>
      </c>
      <c r="M1694" s="10">
        <v>1</v>
      </c>
    </row>
    <row r="1695" spans="1:13">
      <c r="A1695" s="8">
        <v>43356</v>
      </c>
      <c r="B1695" s="9">
        <v>0.64861111111111114</v>
      </c>
      <c r="C1695" s="10" t="str">
        <f>"FES1162647239"</f>
        <v>FES1162647239</v>
      </c>
      <c r="D1695" s="10" t="s">
        <v>19</v>
      </c>
      <c r="E1695" s="10" t="s">
        <v>99</v>
      </c>
      <c r="F1695" s="10" t="str">
        <f>"2170651774 "</f>
        <v xml:space="preserve">2170651774 </v>
      </c>
      <c r="G1695" s="10" t="str">
        <f t="shared" si="42"/>
        <v>ON1</v>
      </c>
      <c r="H1695" s="10" t="s">
        <v>21</v>
      </c>
      <c r="I1695" s="10" t="s">
        <v>100</v>
      </c>
      <c r="J1695" s="10" t="str">
        <f>""</f>
        <v/>
      </c>
      <c r="K1695" s="10" t="str">
        <f>"PFES1162647239_0001"</f>
        <v>PFES1162647239_0001</v>
      </c>
      <c r="L1695" s="10">
        <v>1</v>
      </c>
      <c r="M1695" s="10">
        <v>1</v>
      </c>
    </row>
    <row r="1696" spans="1:13">
      <c r="A1696" s="8">
        <v>43356</v>
      </c>
      <c r="B1696" s="9">
        <v>0.6479166666666667</v>
      </c>
      <c r="C1696" s="10" t="str">
        <f>"FES1162647269"</f>
        <v>FES1162647269</v>
      </c>
      <c r="D1696" s="10" t="s">
        <v>19</v>
      </c>
      <c r="E1696" s="10" t="s">
        <v>706</v>
      </c>
      <c r="F1696" s="10" t="str">
        <f>"2170651751 "</f>
        <v xml:space="preserve">2170651751 </v>
      </c>
      <c r="G1696" s="10" t="str">
        <f t="shared" si="42"/>
        <v>ON1</v>
      </c>
      <c r="H1696" s="10" t="s">
        <v>21</v>
      </c>
      <c r="I1696" s="10" t="s">
        <v>171</v>
      </c>
      <c r="J1696" s="10" t="str">
        <f>""</f>
        <v/>
      </c>
      <c r="K1696" s="10" t="str">
        <f>"PFES1162647269_0001"</f>
        <v>PFES1162647269_0001</v>
      </c>
      <c r="L1696" s="10">
        <v>1</v>
      </c>
      <c r="M1696" s="10">
        <v>1</v>
      </c>
    </row>
    <row r="1697" spans="1:13">
      <c r="A1697" s="8">
        <v>43356</v>
      </c>
      <c r="B1697" s="9">
        <v>0.64652777777777781</v>
      </c>
      <c r="C1697" s="10" t="str">
        <f>"FES1162647214"</f>
        <v>FES1162647214</v>
      </c>
      <c r="D1697" s="10" t="s">
        <v>19</v>
      </c>
      <c r="E1697" s="10" t="s">
        <v>220</v>
      </c>
      <c r="F1697" s="10" t="str">
        <f>"2170651726 "</f>
        <v xml:space="preserve">2170651726 </v>
      </c>
      <c r="G1697" s="10" t="str">
        <f t="shared" si="42"/>
        <v>ON1</v>
      </c>
      <c r="H1697" s="10" t="s">
        <v>21</v>
      </c>
      <c r="I1697" s="10" t="s">
        <v>126</v>
      </c>
      <c r="J1697" s="10" t="str">
        <f>""</f>
        <v/>
      </c>
      <c r="K1697" s="10" t="str">
        <f>"PFES1162647214_0001"</f>
        <v>PFES1162647214_0001</v>
      </c>
      <c r="L1697" s="10">
        <v>1</v>
      </c>
      <c r="M1697" s="10">
        <v>2</v>
      </c>
    </row>
    <row r="1698" spans="1:13">
      <c r="A1698" s="8">
        <v>43356</v>
      </c>
      <c r="B1698" s="9">
        <v>0.64583333333333337</v>
      </c>
      <c r="C1698" s="10" t="str">
        <f>"FES1162647218"</f>
        <v>FES1162647218</v>
      </c>
      <c r="D1698" s="10" t="s">
        <v>19</v>
      </c>
      <c r="E1698" s="10" t="s">
        <v>565</v>
      </c>
      <c r="F1698" s="10" t="str">
        <f>"2170651745 "</f>
        <v xml:space="preserve">2170651745 </v>
      </c>
      <c r="G1698" s="10" t="str">
        <f t="shared" si="42"/>
        <v>ON1</v>
      </c>
      <c r="H1698" s="10" t="s">
        <v>21</v>
      </c>
      <c r="I1698" s="10" t="s">
        <v>566</v>
      </c>
      <c r="J1698" s="10" t="str">
        <f>""</f>
        <v/>
      </c>
      <c r="K1698" s="10" t="str">
        <f>"PFES1162647218_0001"</f>
        <v>PFES1162647218_0001</v>
      </c>
      <c r="L1698" s="10">
        <v>1</v>
      </c>
      <c r="M1698" s="10">
        <v>2</v>
      </c>
    </row>
    <row r="1699" spans="1:13">
      <c r="A1699" s="8">
        <v>43356</v>
      </c>
      <c r="B1699" s="9">
        <v>0.64444444444444449</v>
      </c>
      <c r="C1699" s="10" t="str">
        <f>"FES1162647193"</f>
        <v>FES1162647193</v>
      </c>
      <c r="D1699" s="10" t="s">
        <v>19</v>
      </c>
      <c r="E1699" s="10" t="s">
        <v>770</v>
      </c>
      <c r="F1699" s="10" t="str">
        <f>"2170649550 "</f>
        <v xml:space="preserve">2170649550 </v>
      </c>
      <c r="G1699" s="10" t="str">
        <f t="shared" si="42"/>
        <v>ON1</v>
      </c>
      <c r="H1699" s="10" t="s">
        <v>21</v>
      </c>
      <c r="I1699" s="10" t="s">
        <v>495</v>
      </c>
      <c r="J1699" s="10" t="str">
        <f>""</f>
        <v/>
      </c>
      <c r="K1699" s="10" t="str">
        <f>"PFES1162647193_0001"</f>
        <v>PFES1162647193_0001</v>
      </c>
      <c r="L1699" s="10">
        <v>1</v>
      </c>
      <c r="M1699" s="10">
        <v>2</v>
      </c>
    </row>
    <row r="1700" spans="1:13">
      <c r="A1700" s="8">
        <v>43356</v>
      </c>
      <c r="B1700" s="9">
        <v>0.64374999999999993</v>
      </c>
      <c r="C1700" s="10" t="str">
        <f>"FES1162647154"</f>
        <v>FES1162647154</v>
      </c>
      <c r="D1700" s="10" t="s">
        <v>19</v>
      </c>
      <c r="E1700" s="10" t="s">
        <v>241</v>
      </c>
      <c r="F1700" s="10" t="str">
        <f>"2170650040 "</f>
        <v xml:space="preserve">2170650040 </v>
      </c>
      <c r="G1700" s="10" t="str">
        <f t="shared" si="42"/>
        <v>ON1</v>
      </c>
      <c r="H1700" s="10" t="s">
        <v>21</v>
      </c>
      <c r="I1700" s="10" t="s">
        <v>242</v>
      </c>
      <c r="J1700" s="10" t="str">
        <f>""</f>
        <v/>
      </c>
      <c r="K1700" s="10" t="str">
        <f>"PFES1162647154_0001"</f>
        <v>PFES1162647154_0001</v>
      </c>
      <c r="L1700" s="10">
        <v>1</v>
      </c>
      <c r="M1700" s="10">
        <v>1</v>
      </c>
    </row>
    <row r="1701" spans="1:13">
      <c r="A1701" s="8">
        <v>43356</v>
      </c>
      <c r="B1701" s="9">
        <v>0.64374999999999993</v>
      </c>
      <c r="C1701" s="10" t="str">
        <f>"FES1162647128"</f>
        <v>FES1162647128</v>
      </c>
      <c r="D1701" s="10" t="s">
        <v>19</v>
      </c>
      <c r="E1701" s="10" t="s">
        <v>245</v>
      </c>
      <c r="F1701" s="10" t="str">
        <f>"2170649420 "</f>
        <v xml:space="preserve">2170649420 </v>
      </c>
      <c r="G1701" s="10" t="str">
        <f t="shared" si="42"/>
        <v>ON1</v>
      </c>
      <c r="H1701" s="10" t="s">
        <v>21</v>
      </c>
      <c r="I1701" s="10" t="s">
        <v>246</v>
      </c>
      <c r="J1701" s="10" t="str">
        <f>""</f>
        <v/>
      </c>
      <c r="K1701" s="10" t="str">
        <f>"PFES1162647128_0001"</f>
        <v>PFES1162647128_0001</v>
      </c>
      <c r="L1701" s="10">
        <v>1</v>
      </c>
      <c r="M1701" s="10">
        <v>1</v>
      </c>
    </row>
    <row r="1702" spans="1:13">
      <c r="A1702" s="8">
        <v>43356</v>
      </c>
      <c r="B1702" s="9">
        <v>0.64374999999999993</v>
      </c>
      <c r="C1702" s="10" t="str">
        <f>"FES1162647294"</f>
        <v>FES1162647294</v>
      </c>
      <c r="D1702" s="10" t="s">
        <v>19</v>
      </c>
      <c r="E1702" s="10" t="s">
        <v>27</v>
      </c>
      <c r="F1702" s="10" t="str">
        <f>"2170651843 "</f>
        <v xml:space="preserve">2170651843 </v>
      </c>
      <c r="G1702" s="10" t="str">
        <f t="shared" si="42"/>
        <v>ON1</v>
      </c>
      <c r="H1702" s="10" t="s">
        <v>21</v>
      </c>
      <c r="I1702" s="10" t="s">
        <v>28</v>
      </c>
      <c r="J1702" s="10" t="str">
        <f>""</f>
        <v/>
      </c>
      <c r="K1702" s="10" t="str">
        <f>"PFES1162647294_0001"</f>
        <v>PFES1162647294_0001</v>
      </c>
      <c r="L1702" s="10">
        <v>1</v>
      </c>
      <c r="M1702" s="10">
        <v>1</v>
      </c>
    </row>
    <row r="1703" spans="1:13">
      <c r="A1703" s="8">
        <v>43356</v>
      </c>
      <c r="B1703" s="9">
        <v>0.64374999999999993</v>
      </c>
      <c r="C1703" s="10" t="str">
        <f>"FES1162647083"</f>
        <v>FES1162647083</v>
      </c>
      <c r="D1703" s="10" t="s">
        <v>19</v>
      </c>
      <c r="E1703" s="10" t="s">
        <v>634</v>
      </c>
      <c r="F1703" s="10" t="str">
        <f>"2170651659 "</f>
        <v xml:space="preserve">2170651659 </v>
      </c>
      <c r="G1703" s="10" t="str">
        <f t="shared" si="42"/>
        <v>ON1</v>
      </c>
      <c r="H1703" s="10" t="s">
        <v>21</v>
      </c>
      <c r="I1703" s="10" t="s">
        <v>159</v>
      </c>
      <c r="J1703" s="10" t="str">
        <f>""</f>
        <v/>
      </c>
      <c r="K1703" s="10" t="str">
        <f>"PFES1162647083_0001"</f>
        <v>PFES1162647083_0001</v>
      </c>
      <c r="L1703" s="10">
        <v>1</v>
      </c>
      <c r="M1703" s="10">
        <v>3</v>
      </c>
    </row>
    <row r="1704" spans="1:13">
      <c r="A1704" s="8">
        <v>43356</v>
      </c>
      <c r="B1704" s="9">
        <v>0.6430555555555556</v>
      </c>
      <c r="C1704" s="10" t="str">
        <f>"FES1162647311"</f>
        <v>FES1162647311</v>
      </c>
      <c r="D1704" s="10" t="s">
        <v>19</v>
      </c>
      <c r="E1704" s="10" t="s">
        <v>424</v>
      </c>
      <c r="F1704" s="10" t="str">
        <f>"2170651866 "</f>
        <v xml:space="preserve">2170651866 </v>
      </c>
      <c r="G1704" s="10" t="str">
        <f t="shared" si="42"/>
        <v>ON1</v>
      </c>
      <c r="H1704" s="10" t="s">
        <v>21</v>
      </c>
      <c r="I1704" s="10" t="s">
        <v>97</v>
      </c>
      <c r="J1704" s="10" t="str">
        <f>""</f>
        <v/>
      </c>
      <c r="K1704" s="10" t="str">
        <f>"PFES1162647311_0001"</f>
        <v>PFES1162647311_0001</v>
      </c>
      <c r="L1704" s="10">
        <v>1</v>
      </c>
      <c r="M1704" s="10">
        <v>1</v>
      </c>
    </row>
    <row r="1705" spans="1:13">
      <c r="A1705" s="8">
        <v>43356</v>
      </c>
      <c r="B1705" s="9">
        <v>0.6430555555555556</v>
      </c>
      <c r="C1705" s="10" t="str">
        <f>"FES1162647317"</f>
        <v>FES1162647317</v>
      </c>
      <c r="D1705" s="10" t="s">
        <v>19</v>
      </c>
      <c r="E1705" s="10" t="s">
        <v>848</v>
      </c>
      <c r="F1705" s="10" t="str">
        <f>"2170651876 "</f>
        <v xml:space="preserve">2170651876 </v>
      </c>
      <c r="G1705" s="10" t="str">
        <f t="shared" si="42"/>
        <v>ON1</v>
      </c>
      <c r="H1705" s="10" t="s">
        <v>21</v>
      </c>
      <c r="I1705" s="10" t="s">
        <v>97</v>
      </c>
      <c r="J1705" s="10" t="str">
        <f>""</f>
        <v/>
      </c>
      <c r="K1705" s="10" t="str">
        <f>"PFES1162647317_0001"</f>
        <v>PFES1162647317_0001</v>
      </c>
      <c r="L1705" s="10">
        <v>1</v>
      </c>
      <c r="M1705" s="10">
        <v>1</v>
      </c>
    </row>
    <row r="1706" spans="1:13">
      <c r="A1706" s="8">
        <v>43356</v>
      </c>
      <c r="B1706" s="9">
        <v>0.6430555555555556</v>
      </c>
      <c r="C1706" s="10" t="str">
        <f>"FES1162647270"</f>
        <v>FES1162647270</v>
      </c>
      <c r="D1706" s="10" t="s">
        <v>19</v>
      </c>
      <c r="E1706" s="10" t="s">
        <v>404</v>
      </c>
      <c r="F1706" s="10" t="str">
        <f>"2170651763 "</f>
        <v xml:space="preserve">2170651763 </v>
      </c>
      <c r="G1706" s="10" t="str">
        <f t="shared" si="42"/>
        <v>ON1</v>
      </c>
      <c r="H1706" s="10" t="s">
        <v>21</v>
      </c>
      <c r="I1706" s="10" t="s">
        <v>405</v>
      </c>
      <c r="J1706" s="10" t="str">
        <f>""</f>
        <v/>
      </c>
      <c r="K1706" s="10" t="str">
        <f>"PFES1162647270_0001"</f>
        <v>PFES1162647270_0001</v>
      </c>
      <c r="L1706" s="10">
        <v>1</v>
      </c>
      <c r="M1706" s="10">
        <v>1</v>
      </c>
    </row>
    <row r="1707" spans="1:13">
      <c r="A1707" s="8">
        <v>43356</v>
      </c>
      <c r="B1707" s="9">
        <v>0.64236111111111105</v>
      </c>
      <c r="C1707" s="10" t="str">
        <f>"FES1162647282"</f>
        <v>FES1162647282</v>
      </c>
      <c r="D1707" s="10" t="s">
        <v>19</v>
      </c>
      <c r="E1707" s="10" t="s">
        <v>275</v>
      </c>
      <c r="F1707" s="10" t="str">
        <f>"21706518101 "</f>
        <v xml:space="preserve">21706518101 </v>
      </c>
      <c r="G1707" s="10" t="str">
        <f t="shared" si="42"/>
        <v>ON1</v>
      </c>
      <c r="H1707" s="10" t="s">
        <v>21</v>
      </c>
      <c r="I1707" s="10" t="s">
        <v>171</v>
      </c>
      <c r="J1707" s="10" t="str">
        <f>""</f>
        <v/>
      </c>
      <c r="K1707" s="10" t="str">
        <f>"PFES1162647282_0001"</f>
        <v>PFES1162647282_0001</v>
      </c>
      <c r="L1707" s="10">
        <v>1</v>
      </c>
      <c r="M1707" s="10">
        <v>1</v>
      </c>
    </row>
    <row r="1708" spans="1:13">
      <c r="A1708" s="8">
        <v>43356</v>
      </c>
      <c r="B1708" s="9">
        <v>0.64236111111111105</v>
      </c>
      <c r="C1708" s="10" t="str">
        <f>"FES1162647141"</f>
        <v>FES1162647141</v>
      </c>
      <c r="D1708" s="10" t="s">
        <v>19</v>
      </c>
      <c r="E1708" s="10" t="s">
        <v>849</v>
      </c>
      <c r="F1708" s="10" t="str">
        <f>"2170649593 "</f>
        <v xml:space="preserve">2170649593 </v>
      </c>
      <c r="G1708" s="10" t="str">
        <f t="shared" si="42"/>
        <v>ON1</v>
      </c>
      <c r="H1708" s="10" t="s">
        <v>21</v>
      </c>
      <c r="I1708" s="10" t="s">
        <v>850</v>
      </c>
      <c r="J1708" s="10" t="str">
        <f>""</f>
        <v/>
      </c>
      <c r="K1708" s="10" t="str">
        <f>"PFES1162647141_0001"</f>
        <v>PFES1162647141_0001</v>
      </c>
      <c r="L1708" s="10">
        <v>1</v>
      </c>
      <c r="M1708" s="10">
        <v>1</v>
      </c>
    </row>
    <row r="1709" spans="1:13">
      <c r="A1709" s="8">
        <v>43356</v>
      </c>
      <c r="B1709" s="9">
        <v>0.64236111111111105</v>
      </c>
      <c r="C1709" s="10" t="str">
        <f>"FES1162647219"</f>
        <v>FES1162647219</v>
      </c>
      <c r="D1709" s="10" t="s">
        <v>19</v>
      </c>
      <c r="E1709" s="10" t="s">
        <v>565</v>
      </c>
      <c r="F1709" s="10" t="str">
        <f>"2170651746 "</f>
        <v xml:space="preserve">2170651746 </v>
      </c>
      <c r="G1709" s="10" t="str">
        <f t="shared" si="42"/>
        <v>ON1</v>
      </c>
      <c r="H1709" s="10" t="s">
        <v>21</v>
      </c>
      <c r="I1709" s="10" t="s">
        <v>566</v>
      </c>
      <c r="J1709" s="10" t="str">
        <f>""</f>
        <v/>
      </c>
      <c r="K1709" s="10" t="str">
        <f>"PFES1162647219_0001"</f>
        <v>PFES1162647219_0001</v>
      </c>
      <c r="L1709" s="10">
        <v>1</v>
      </c>
      <c r="M1709" s="10">
        <v>2</v>
      </c>
    </row>
    <row r="1710" spans="1:13">
      <c r="A1710" s="8">
        <v>43356</v>
      </c>
      <c r="B1710" s="9">
        <v>0.64236111111111105</v>
      </c>
      <c r="C1710" s="10" t="str">
        <f>"FES1162647281"</f>
        <v>FES1162647281</v>
      </c>
      <c r="D1710" s="10" t="s">
        <v>19</v>
      </c>
      <c r="E1710" s="10" t="s">
        <v>851</v>
      </c>
      <c r="F1710" s="10" t="str">
        <f>"2170651608 "</f>
        <v xml:space="preserve">2170651608 </v>
      </c>
      <c r="G1710" s="10" t="str">
        <f t="shared" si="42"/>
        <v>ON1</v>
      </c>
      <c r="H1710" s="10" t="s">
        <v>21</v>
      </c>
      <c r="I1710" s="10" t="s">
        <v>554</v>
      </c>
      <c r="J1710" s="10" t="str">
        <f>""</f>
        <v/>
      </c>
      <c r="K1710" s="10" t="str">
        <f>"PFES1162647281_0001"</f>
        <v>PFES1162647281_0001</v>
      </c>
      <c r="L1710" s="10">
        <v>1</v>
      </c>
      <c r="M1710" s="10">
        <v>1</v>
      </c>
    </row>
    <row r="1711" spans="1:13">
      <c r="A1711" s="8">
        <v>43356</v>
      </c>
      <c r="B1711" s="9">
        <v>0.64166666666666672</v>
      </c>
      <c r="C1711" s="10" t="str">
        <f>"FES1162647295"</f>
        <v>FES1162647295</v>
      </c>
      <c r="D1711" s="10" t="s">
        <v>19</v>
      </c>
      <c r="E1711" s="10" t="s">
        <v>852</v>
      </c>
      <c r="F1711" s="10" t="str">
        <f>"2170651844 "</f>
        <v xml:space="preserve">2170651844 </v>
      </c>
      <c r="G1711" s="10" t="str">
        <f t="shared" si="42"/>
        <v>ON1</v>
      </c>
      <c r="H1711" s="10" t="s">
        <v>21</v>
      </c>
      <c r="I1711" s="10" t="s">
        <v>229</v>
      </c>
      <c r="J1711" s="10" t="str">
        <f>""</f>
        <v/>
      </c>
      <c r="K1711" s="10" t="str">
        <f>"PFES1162647295_0001"</f>
        <v>PFES1162647295_0001</v>
      </c>
      <c r="L1711" s="10">
        <v>1</v>
      </c>
      <c r="M1711" s="10">
        <v>3</v>
      </c>
    </row>
    <row r="1712" spans="1:13">
      <c r="A1712" s="8">
        <v>43356</v>
      </c>
      <c r="B1712" s="9">
        <v>0.64097222222222217</v>
      </c>
      <c r="C1712" s="10" t="str">
        <f>"FES1162647297"</f>
        <v>FES1162647297</v>
      </c>
      <c r="D1712" s="10" t="s">
        <v>19</v>
      </c>
      <c r="E1712" s="10" t="s">
        <v>368</v>
      </c>
      <c r="F1712" s="10" t="str">
        <f>"2170651846 "</f>
        <v xml:space="preserve">2170651846 </v>
      </c>
      <c r="G1712" s="10" t="str">
        <f t="shared" ref="G1712:G1760" si="43">"ON1"</f>
        <v>ON1</v>
      </c>
      <c r="H1712" s="10" t="s">
        <v>21</v>
      </c>
      <c r="I1712" s="10" t="s">
        <v>290</v>
      </c>
      <c r="J1712" s="10" t="str">
        <f>""</f>
        <v/>
      </c>
      <c r="K1712" s="10" t="str">
        <f>"PFES1162647297_0001"</f>
        <v>PFES1162647297_0001</v>
      </c>
      <c r="L1712" s="10">
        <v>1</v>
      </c>
      <c r="M1712" s="10">
        <v>1</v>
      </c>
    </row>
    <row r="1713" spans="1:13">
      <c r="A1713" s="8">
        <v>43356</v>
      </c>
      <c r="B1713" s="9">
        <v>0.64097222222222217</v>
      </c>
      <c r="C1713" s="10" t="str">
        <f>"FES1162647303"</f>
        <v>FES1162647303</v>
      </c>
      <c r="D1713" s="10" t="s">
        <v>19</v>
      </c>
      <c r="E1713" s="10" t="s">
        <v>853</v>
      </c>
      <c r="F1713" s="10" t="str">
        <f>"217065185 "</f>
        <v xml:space="preserve">217065185 </v>
      </c>
      <c r="G1713" s="10" t="str">
        <f t="shared" si="43"/>
        <v>ON1</v>
      </c>
      <c r="H1713" s="10" t="s">
        <v>21</v>
      </c>
      <c r="I1713" s="10" t="s">
        <v>647</v>
      </c>
      <c r="J1713" s="10" t="str">
        <f>""</f>
        <v/>
      </c>
      <c r="K1713" s="10" t="str">
        <f>"PFES1162647303_0001"</f>
        <v>PFES1162647303_0001</v>
      </c>
      <c r="L1713" s="10">
        <v>1</v>
      </c>
      <c r="M1713" s="10">
        <v>1</v>
      </c>
    </row>
    <row r="1714" spans="1:13">
      <c r="A1714" s="8">
        <v>43356</v>
      </c>
      <c r="B1714" s="9">
        <v>0.64027777777777783</v>
      </c>
      <c r="C1714" s="10" t="str">
        <f>"FES1162647205"</f>
        <v>FES1162647205</v>
      </c>
      <c r="D1714" s="10" t="s">
        <v>19</v>
      </c>
      <c r="E1714" s="10" t="s">
        <v>854</v>
      </c>
      <c r="F1714" s="10" t="str">
        <f>"2170651487 "</f>
        <v xml:space="preserve">2170651487 </v>
      </c>
      <c r="G1714" s="10" t="str">
        <f t="shared" si="43"/>
        <v>ON1</v>
      </c>
      <c r="H1714" s="10" t="s">
        <v>21</v>
      </c>
      <c r="I1714" s="10" t="s">
        <v>76</v>
      </c>
      <c r="J1714" s="10" t="str">
        <f>""</f>
        <v/>
      </c>
      <c r="K1714" s="10" t="str">
        <f>"PFES1162647205_0001"</f>
        <v>PFES1162647205_0001</v>
      </c>
      <c r="L1714" s="10">
        <v>1</v>
      </c>
      <c r="M1714" s="10">
        <v>1</v>
      </c>
    </row>
    <row r="1715" spans="1:13">
      <c r="A1715" s="8">
        <v>43356</v>
      </c>
      <c r="B1715" s="9">
        <v>0.64027777777777783</v>
      </c>
      <c r="C1715" s="10" t="str">
        <f>"FES1162647268"</f>
        <v>FES1162647268</v>
      </c>
      <c r="D1715" s="10" t="s">
        <v>19</v>
      </c>
      <c r="E1715" s="10" t="s">
        <v>415</v>
      </c>
      <c r="F1715" s="10" t="str">
        <f>"2170651815 "</f>
        <v xml:space="preserve">2170651815 </v>
      </c>
      <c r="G1715" s="10" t="str">
        <f t="shared" si="43"/>
        <v>ON1</v>
      </c>
      <c r="H1715" s="10" t="s">
        <v>21</v>
      </c>
      <c r="I1715" s="10" t="s">
        <v>416</v>
      </c>
      <c r="J1715" s="10" t="str">
        <f>""</f>
        <v/>
      </c>
      <c r="K1715" s="10" t="str">
        <f>"PFES1162647268_0001"</f>
        <v>PFES1162647268_0001</v>
      </c>
      <c r="L1715" s="10">
        <v>1</v>
      </c>
      <c r="M1715" s="10">
        <v>1</v>
      </c>
    </row>
    <row r="1716" spans="1:13">
      <c r="A1716" s="8">
        <v>43356</v>
      </c>
      <c r="B1716" s="9">
        <v>0.63888888888888895</v>
      </c>
      <c r="C1716" s="10" t="str">
        <f>"FES1162647120"</f>
        <v>FES1162647120</v>
      </c>
      <c r="D1716" s="10" t="s">
        <v>19</v>
      </c>
      <c r="E1716" s="10" t="s">
        <v>546</v>
      </c>
      <c r="F1716" s="10" t="str">
        <f>"2170651691 "</f>
        <v xml:space="preserve">2170651691 </v>
      </c>
      <c r="G1716" s="10" t="str">
        <f t="shared" si="43"/>
        <v>ON1</v>
      </c>
      <c r="H1716" s="10" t="s">
        <v>21</v>
      </c>
      <c r="I1716" s="10" t="s">
        <v>246</v>
      </c>
      <c r="J1716" s="10" t="str">
        <f>""</f>
        <v/>
      </c>
      <c r="K1716" s="10" t="str">
        <f>"PFES1162647120_0001"</f>
        <v>PFES1162647120_0001</v>
      </c>
      <c r="L1716" s="10">
        <v>1</v>
      </c>
      <c r="M1716" s="10">
        <v>1</v>
      </c>
    </row>
    <row r="1717" spans="1:13">
      <c r="A1717" s="8">
        <v>43356</v>
      </c>
      <c r="B1717" s="9">
        <v>0.63750000000000007</v>
      </c>
      <c r="C1717" s="10" t="str">
        <f>"FES1162647318"</f>
        <v>FES1162647318</v>
      </c>
      <c r="D1717" s="10" t="s">
        <v>19</v>
      </c>
      <c r="E1717" s="10" t="s">
        <v>459</v>
      </c>
      <c r="F1717" s="10" t="str">
        <f>"2170643063 "</f>
        <v xml:space="preserve">2170643063 </v>
      </c>
      <c r="G1717" s="10" t="str">
        <f t="shared" si="43"/>
        <v>ON1</v>
      </c>
      <c r="H1717" s="10" t="s">
        <v>21</v>
      </c>
      <c r="I1717" s="10" t="s">
        <v>460</v>
      </c>
      <c r="J1717" s="10" t="str">
        <f>""</f>
        <v/>
      </c>
      <c r="K1717" s="10" t="str">
        <f>"PFES1162647318_0001"</f>
        <v>PFES1162647318_0001</v>
      </c>
      <c r="L1717" s="10">
        <v>1</v>
      </c>
      <c r="M1717" s="10">
        <v>3</v>
      </c>
    </row>
    <row r="1718" spans="1:13">
      <c r="A1718" s="8">
        <v>43356</v>
      </c>
      <c r="B1718" s="9">
        <v>0.61805555555555558</v>
      </c>
      <c r="C1718" s="10" t="str">
        <f>"FES1162646999"</f>
        <v>FES1162646999</v>
      </c>
      <c r="D1718" s="10" t="s">
        <v>19</v>
      </c>
      <c r="E1718" s="10" t="s">
        <v>307</v>
      </c>
      <c r="F1718" s="10" t="str">
        <f>"2170649497+ "</f>
        <v xml:space="preserve">2170649497+ </v>
      </c>
      <c r="G1718" s="10" t="str">
        <f t="shared" si="43"/>
        <v>ON1</v>
      </c>
      <c r="H1718" s="10" t="s">
        <v>21</v>
      </c>
      <c r="I1718" s="10" t="s">
        <v>308</v>
      </c>
      <c r="J1718" s="10" t="str">
        <f>""</f>
        <v/>
      </c>
      <c r="K1718" s="10" t="str">
        <f>"PFES1162646999_0001"</f>
        <v>PFES1162646999_0001</v>
      </c>
      <c r="L1718" s="10">
        <v>1</v>
      </c>
      <c r="M1718" s="10">
        <v>1</v>
      </c>
    </row>
    <row r="1719" spans="1:13">
      <c r="A1719" s="8">
        <v>43356</v>
      </c>
      <c r="B1719" s="9">
        <v>0.61736111111111114</v>
      </c>
      <c r="C1719" s="10" t="str">
        <f>"FES1162647215"</f>
        <v>FES1162647215</v>
      </c>
      <c r="D1719" s="10" t="s">
        <v>19</v>
      </c>
      <c r="E1719" s="10" t="s">
        <v>565</v>
      </c>
      <c r="F1719" s="10" t="str">
        <f>"2170651740 "</f>
        <v xml:space="preserve">2170651740 </v>
      </c>
      <c r="G1719" s="10" t="str">
        <f t="shared" si="43"/>
        <v>ON1</v>
      </c>
      <c r="H1719" s="10" t="s">
        <v>21</v>
      </c>
      <c r="I1719" s="10" t="s">
        <v>566</v>
      </c>
      <c r="J1719" s="10" t="str">
        <f>""</f>
        <v/>
      </c>
      <c r="K1719" s="10" t="str">
        <f>"PFES1162647215_0001"</f>
        <v>PFES1162647215_0001</v>
      </c>
      <c r="L1719" s="10">
        <v>1</v>
      </c>
      <c r="M1719" s="10">
        <v>1</v>
      </c>
    </row>
    <row r="1720" spans="1:13">
      <c r="A1720" s="8">
        <v>43356</v>
      </c>
      <c r="B1720" s="9">
        <v>0.61736111111111114</v>
      </c>
      <c r="C1720" s="10" t="str">
        <f>"FES1162647204"</f>
        <v>FES1162647204</v>
      </c>
      <c r="D1720" s="10" t="s">
        <v>19</v>
      </c>
      <c r="E1720" s="10" t="s">
        <v>98</v>
      </c>
      <c r="F1720" s="10" t="str">
        <f>"2170651296 "</f>
        <v xml:space="preserve">2170651296 </v>
      </c>
      <c r="G1720" s="10" t="str">
        <f t="shared" si="43"/>
        <v>ON1</v>
      </c>
      <c r="H1720" s="10" t="s">
        <v>21</v>
      </c>
      <c r="I1720" s="10" t="s">
        <v>74</v>
      </c>
      <c r="J1720" s="10" t="str">
        <f>""</f>
        <v/>
      </c>
      <c r="K1720" s="10" t="str">
        <f>"PFES1162647204_0001"</f>
        <v>PFES1162647204_0001</v>
      </c>
      <c r="L1720" s="10">
        <v>1</v>
      </c>
      <c r="M1720" s="10">
        <v>1</v>
      </c>
    </row>
    <row r="1721" spans="1:13">
      <c r="A1721" s="8">
        <v>43356</v>
      </c>
      <c r="B1721" s="9">
        <v>0.61736111111111114</v>
      </c>
      <c r="C1721" s="10" t="str">
        <f>"FES1162647179"</f>
        <v>FES1162647179</v>
      </c>
      <c r="D1721" s="10" t="s">
        <v>19</v>
      </c>
      <c r="E1721" s="10" t="s">
        <v>693</v>
      </c>
      <c r="F1721" s="10" t="str">
        <f>"2170651720 "</f>
        <v xml:space="preserve">2170651720 </v>
      </c>
      <c r="G1721" s="10" t="str">
        <f t="shared" si="43"/>
        <v>ON1</v>
      </c>
      <c r="H1721" s="10" t="s">
        <v>21</v>
      </c>
      <c r="I1721" s="10" t="s">
        <v>694</v>
      </c>
      <c r="J1721" s="10" t="str">
        <f>""</f>
        <v/>
      </c>
      <c r="K1721" s="10" t="str">
        <f>"PFES1162647179_0001"</f>
        <v>PFES1162647179_0001</v>
      </c>
      <c r="L1721" s="10">
        <v>1</v>
      </c>
      <c r="M1721" s="10">
        <v>1</v>
      </c>
    </row>
    <row r="1722" spans="1:13">
      <c r="A1722" s="8">
        <v>43356</v>
      </c>
      <c r="B1722" s="9">
        <v>0.6166666666666667</v>
      </c>
      <c r="C1722" s="10" t="str">
        <f>"FES1162647134"</f>
        <v>FES1162647134</v>
      </c>
      <c r="D1722" s="10" t="s">
        <v>19</v>
      </c>
      <c r="E1722" s="10" t="s">
        <v>855</v>
      </c>
      <c r="F1722" s="10" t="str">
        <f>"2170649501 "</f>
        <v xml:space="preserve">2170649501 </v>
      </c>
      <c r="G1722" s="10" t="str">
        <f t="shared" si="43"/>
        <v>ON1</v>
      </c>
      <c r="H1722" s="10" t="s">
        <v>21</v>
      </c>
      <c r="I1722" s="10" t="s">
        <v>703</v>
      </c>
      <c r="J1722" s="10" t="str">
        <f>""</f>
        <v/>
      </c>
      <c r="K1722" s="10" t="str">
        <f>"PFES1162647134_0001"</f>
        <v>PFES1162647134_0001</v>
      </c>
      <c r="L1722" s="10">
        <v>1</v>
      </c>
      <c r="M1722" s="10">
        <v>1</v>
      </c>
    </row>
    <row r="1723" spans="1:13">
      <c r="A1723" s="8">
        <v>43356</v>
      </c>
      <c r="B1723" s="9">
        <v>0.6166666666666667</v>
      </c>
      <c r="C1723" s="10" t="str">
        <f>"FES1162647036"</f>
        <v>FES1162647036</v>
      </c>
      <c r="D1723" s="10" t="s">
        <v>19</v>
      </c>
      <c r="E1723" s="10" t="s">
        <v>241</v>
      </c>
      <c r="F1723" s="10" t="str">
        <f>"2170650040 "</f>
        <v xml:space="preserve">2170650040 </v>
      </c>
      <c r="G1723" s="10" t="str">
        <f t="shared" si="43"/>
        <v>ON1</v>
      </c>
      <c r="H1723" s="10" t="s">
        <v>21</v>
      </c>
      <c r="I1723" s="10" t="s">
        <v>242</v>
      </c>
      <c r="J1723" s="10" t="str">
        <f>""</f>
        <v/>
      </c>
      <c r="K1723" s="10" t="str">
        <f>"PFES1162647036_0001"</f>
        <v>PFES1162647036_0001</v>
      </c>
      <c r="L1723" s="10">
        <v>1</v>
      </c>
      <c r="M1723" s="10">
        <v>1</v>
      </c>
    </row>
    <row r="1724" spans="1:13">
      <c r="A1724" s="8">
        <v>43356</v>
      </c>
      <c r="B1724" s="9">
        <v>0.6166666666666667</v>
      </c>
      <c r="C1724" s="10" t="str">
        <f>"FES1162647016"</f>
        <v>FES1162647016</v>
      </c>
      <c r="D1724" s="10" t="s">
        <v>19</v>
      </c>
      <c r="E1724" s="10" t="s">
        <v>160</v>
      </c>
      <c r="F1724" s="10" t="str">
        <f>"2170649873 "</f>
        <v xml:space="preserve">2170649873 </v>
      </c>
      <c r="G1724" s="10" t="str">
        <f t="shared" si="43"/>
        <v>ON1</v>
      </c>
      <c r="H1724" s="10" t="s">
        <v>21</v>
      </c>
      <c r="I1724" s="10" t="s">
        <v>161</v>
      </c>
      <c r="J1724" s="10" t="str">
        <f>""</f>
        <v/>
      </c>
      <c r="K1724" s="10" t="str">
        <f>"PFES1162647016_0001"</f>
        <v>PFES1162647016_0001</v>
      </c>
      <c r="L1724" s="10">
        <v>1</v>
      </c>
      <c r="M1724" s="10">
        <v>1</v>
      </c>
    </row>
    <row r="1725" spans="1:13">
      <c r="A1725" s="8">
        <v>43356</v>
      </c>
      <c r="B1725" s="9">
        <v>0.61597222222222225</v>
      </c>
      <c r="C1725" s="10" t="str">
        <f>"FES1162647038"</f>
        <v>FES1162647038</v>
      </c>
      <c r="D1725" s="10" t="s">
        <v>19</v>
      </c>
      <c r="E1725" s="10" t="s">
        <v>820</v>
      </c>
      <c r="F1725" s="10" t="str">
        <f>"2170650053 "</f>
        <v xml:space="preserve">2170650053 </v>
      </c>
      <c r="G1725" s="10" t="str">
        <f t="shared" si="43"/>
        <v>ON1</v>
      </c>
      <c r="H1725" s="10" t="s">
        <v>21</v>
      </c>
      <c r="I1725" s="10" t="s">
        <v>128</v>
      </c>
      <c r="J1725" s="10" t="str">
        <f>""</f>
        <v/>
      </c>
      <c r="K1725" s="10" t="str">
        <f>"PFES1162647038_0001"</f>
        <v>PFES1162647038_0001</v>
      </c>
      <c r="L1725" s="10">
        <v>1</v>
      </c>
      <c r="M1725" s="10">
        <v>1</v>
      </c>
    </row>
    <row r="1726" spans="1:13">
      <c r="A1726" s="8">
        <v>43356</v>
      </c>
      <c r="B1726" s="9">
        <v>0.61597222222222225</v>
      </c>
      <c r="C1726" s="10" t="str">
        <f>"FES1162647202"</f>
        <v>FES1162647202</v>
      </c>
      <c r="D1726" s="10" t="s">
        <v>19</v>
      </c>
      <c r="E1726" s="10" t="s">
        <v>286</v>
      </c>
      <c r="F1726" s="10" t="str">
        <f>"2170650930 "</f>
        <v xml:space="preserve">2170650930 </v>
      </c>
      <c r="G1726" s="10" t="str">
        <f t="shared" si="43"/>
        <v>ON1</v>
      </c>
      <c r="H1726" s="10" t="s">
        <v>21</v>
      </c>
      <c r="I1726" s="10" t="s">
        <v>287</v>
      </c>
      <c r="J1726" s="10" t="str">
        <f>""</f>
        <v/>
      </c>
      <c r="K1726" s="10" t="str">
        <f>"PFES1162647202_0001"</f>
        <v>PFES1162647202_0001</v>
      </c>
      <c r="L1726" s="10">
        <v>1</v>
      </c>
      <c r="M1726" s="10">
        <v>1</v>
      </c>
    </row>
    <row r="1727" spans="1:13">
      <c r="A1727" s="8">
        <v>43356</v>
      </c>
      <c r="B1727" s="9">
        <v>0.61597222222222225</v>
      </c>
      <c r="C1727" s="10" t="str">
        <f>"FES1162647040"</f>
        <v>FES1162647040</v>
      </c>
      <c r="D1727" s="10" t="s">
        <v>19</v>
      </c>
      <c r="E1727" s="10" t="s">
        <v>237</v>
      </c>
      <c r="F1727" s="10" t="str">
        <f>"2170650060 "</f>
        <v xml:space="preserve">2170650060 </v>
      </c>
      <c r="G1727" s="10" t="str">
        <f t="shared" si="43"/>
        <v>ON1</v>
      </c>
      <c r="H1727" s="10" t="s">
        <v>21</v>
      </c>
      <c r="I1727" s="10" t="s">
        <v>238</v>
      </c>
      <c r="J1727" s="10" t="str">
        <f>""</f>
        <v/>
      </c>
      <c r="K1727" s="10" t="str">
        <f>"PFES1162647040_0001"</f>
        <v>PFES1162647040_0001</v>
      </c>
      <c r="L1727" s="10">
        <v>1</v>
      </c>
      <c r="M1727" s="10">
        <v>1</v>
      </c>
    </row>
    <row r="1728" spans="1:13">
      <c r="A1728" s="8">
        <v>43356</v>
      </c>
      <c r="B1728" s="9">
        <v>0.61527777777777781</v>
      </c>
      <c r="C1728" s="10" t="str">
        <f>"FES1162647180"</f>
        <v>FES1162647180</v>
      </c>
      <c r="D1728" s="10" t="s">
        <v>19</v>
      </c>
      <c r="E1728" s="10" t="s">
        <v>347</v>
      </c>
      <c r="F1728" s="10" t="str">
        <f>"2170651722 "</f>
        <v xml:space="preserve">2170651722 </v>
      </c>
      <c r="G1728" s="10" t="str">
        <f t="shared" si="43"/>
        <v>ON1</v>
      </c>
      <c r="H1728" s="10" t="s">
        <v>21</v>
      </c>
      <c r="I1728" s="10" t="s">
        <v>348</v>
      </c>
      <c r="J1728" s="10" t="str">
        <f>""</f>
        <v/>
      </c>
      <c r="K1728" s="10" t="str">
        <f>"PFES1162647180_0001"</f>
        <v>PFES1162647180_0001</v>
      </c>
      <c r="L1728" s="10">
        <v>1</v>
      </c>
      <c r="M1728" s="10">
        <v>1</v>
      </c>
    </row>
    <row r="1729" spans="1:13">
      <c r="A1729" s="8">
        <v>43356</v>
      </c>
      <c r="B1729" s="9">
        <v>0.61527777777777781</v>
      </c>
      <c r="C1729" s="10" t="str">
        <f>"FES1162647223"</f>
        <v>FES1162647223</v>
      </c>
      <c r="D1729" s="10" t="s">
        <v>19</v>
      </c>
      <c r="E1729" s="10" t="s">
        <v>654</v>
      </c>
      <c r="F1729" s="10" t="str">
        <f>"217051753 "</f>
        <v xml:space="preserve">217051753 </v>
      </c>
      <c r="G1729" s="10" t="str">
        <f t="shared" si="43"/>
        <v>ON1</v>
      </c>
      <c r="H1729" s="10" t="s">
        <v>21</v>
      </c>
      <c r="I1729" s="10" t="s">
        <v>655</v>
      </c>
      <c r="J1729" s="10" t="str">
        <f>""</f>
        <v/>
      </c>
      <c r="K1729" s="10" t="str">
        <f>"PFES1162647223_0001"</f>
        <v>PFES1162647223_0001</v>
      </c>
      <c r="L1729" s="10">
        <v>1</v>
      </c>
      <c r="M1729" s="10">
        <v>1</v>
      </c>
    </row>
    <row r="1730" spans="1:13">
      <c r="A1730" s="8">
        <v>43356</v>
      </c>
      <c r="B1730" s="9">
        <v>0.60972222222222217</v>
      </c>
      <c r="C1730" s="10" t="str">
        <f>"FES1162647274"</f>
        <v>FES1162647274</v>
      </c>
      <c r="D1730" s="10" t="s">
        <v>19</v>
      </c>
      <c r="E1730" s="10" t="s">
        <v>27</v>
      </c>
      <c r="F1730" s="10" t="str">
        <f>"2170651820 "</f>
        <v xml:space="preserve">2170651820 </v>
      </c>
      <c r="G1730" s="10" t="str">
        <f t="shared" si="43"/>
        <v>ON1</v>
      </c>
      <c r="H1730" s="10" t="s">
        <v>21</v>
      </c>
      <c r="I1730" s="10" t="s">
        <v>28</v>
      </c>
      <c r="J1730" s="10" t="str">
        <f>""</f>
        <v/>
      </c>
      <c r="K1730" s="10" t="str">
        <f>"PFES1162647274_0001"</f>
        <v>PFES1162647274_0001</v>
      </c>
      <c r="L1730" s="10">
        <v>1</v>
      </c>
      <c r="M1730" s="10">
        <v>2</v>
      </c>
    </row>
    <row r="1731" spans="1:13">
      <c r="A1731" s="8">
        <v>43356</v>
      </c>
      <c r="B1731" s="9">
        <v>0.60902777777777783</v>
      </c>
      <c r="C1731" s="10" t="str">
        <f>"FES1162647285"</f>
        <v>FES1162647285</v>
      </c>
      <c r="D1731" s="10" t="s">
        <v>19</v>
      </c>
      <c r="E1731" s="10" t="s">
        <v>162</v>
      </c>
      <c r="F1731" s="10" t="str">
        <f>"2170651811 "</f>
        <v xml:space="preserve">2170651811 </v>
      </c>
      <c r="G1731" s="10" t="str">
        <f t="shared" si="43"/>
        <v>ON1</v>
      </c>
      <c r="H1731" s="10" t="s">
        <v>21</v>
      </c>
      <c r="I1731" s="10" t="s">
        <v>30</v>
      </c>
      <c r="J1731" s="10" t="str">
        <f>""</f>
        <v/>
      </c>
      <c r="K1731" s="10" t="str">
        <f>"PFES1162647285_0001"</f>
        <v>PFES1162647285_0001</v>
      </c>
      <c r="L1731" s="10">
        <v>1</v>
      </c>
      <c r="M1731" s="10">
        <v>1</v>
      </c>
    </row>
    <row r="1732" spans="1:13">
      <c r="A1732" s="8">
        <v>43356</v>
      </c>
      <c r="B1732" s="9">
        <v>0.60763888888888895</v>
      </c>
      <c r="C1732" s="10" t="str">
        <f>"FES1162647169"</f>
        <v>FES1162647169</v>
      </c>
      <c r="D1732" s="10" t="s">
        <v>19</v>
      </c>
      <c r="E1732" s="10" t="s">
        <v>578</v>
      </c>
      <c r="F1732" s="10" t="str">
        <f>"2170651681 "</f>
        <v xml:space="preserve">2170651681 </v>
      </c>
      <c r="G1732" s="10" t="str">
        <f t="shared" si="43"/>
        <v>ON1</v>
      </c>
      <c r="H1732" s="10" t="s">
        <v>21</v>
      </c>
      <c r="I1732" s="10" t="s">
        <v>579</v>
      </c>
      <c r="J1732" s="10" t="str">
        <f>"DIDATIC SHIPMENT"</f>
        <v>DIDATIC SHIPMENT</v>
      </c>
      <c r="K1732" s="10" t="str">
        <f>"PFES1162647169_0001"</f>
        <v>PFES1162647169_0001</v>
      </c>
      <c r="L1732" s="10">
        <v>1</v>
      </c>
      <c r="M1732" s="10">
        <v>12</v>
      </c>
    </row>
    <row r="1733" spans="1:13">
      <c r="A1733" s="8">
        <v>43356</v>
      </c>
      <c r="B1733" s="9">
        <v>0.60625000000000007</v>
      </c>
      <c r="C1733" s="10" t="str">
        <f>"FES1162647287"</f>
        <v>FES1162647287</v>
      </c>
      <c r="D1733" s="10" t="s">
        <v>19</v>
      </c>
      <c r="E1733" s="10" t="s">
        <v>116</v>
      </c>
      <c r="F1733" s="10" t="str">
        <f>"2170651837 "</f>
        <v xml:space="preserve">2170651837 </v>
      </c>
      <c r="G1733" s="10" t="str">
        <f t="shared" si="43"/>
        <v>ON1</v>
      </c>
      <c r="H1733" s="10" t="s">
        <v>21</v>
      </c>
      <c r="I1733" s="10" t="s">
        <v>117</v>
      </c>
      <c r="J1733" s="10" t="str">
        <f>""</f>
        <v/>
      </c>
      <c r="K1733" s="10" t="str">
        <f>"PFES1162647287_0001"</f>
        <v>PFES1162647287_0001</v>
      </c>
      <c r="L1733" s="10">
        <v>1</v>
      </c>
      <c r="M1733" s="10">
        <v>1</v>
      </c>
    </row>
    <row r="1734" spans="1:13">
      <c r="A1734" s="8">
        <v>43356</v>
      </c>
      <c r="B1734" s="9">
        <v>0.60625000000000007</v>
      </c>
      <c r="C1734" s="10" t="str">
        <f>"FES1162647163"</f>
        <v>FES1162647163</v>
      </c>
      <c r="D1734" s="10" t="s">
        <v>19</v>
      </c>
      <c r="E1734" s="10" t="s">
        <v>251</v>
      </c>
      <c r="F1734" s="10" t="str">
        <f>"2170651703 "</f>
        <v xml:space="preserve">2170651703 </v>
      </c>
      <c r="G1734" s="10" t="str">
        <f t="shared" si="43"/>
        <v>ON1</v>
      </c>
      <c r="H1734" s="10" t="s">
        <v>21</v>
      </c>
      <c r="I1734" s="10" t="s">
        <v>252</v>
      </c>
      <c r="J1734" s="10" t="str">
        <f>""</f>
        <v/>
      </c>
      <c r="K1734" s="10" t="str">
        <f>"PFES1162647163_0001"</f>
        <v>PFES1162647163_0001</v>
      </c>
      <c r="L1734" s="10">
        <v>1</v>
      </c>
      <c r="M1734" s="10">
        <v>1</v>
      </c>
    </row>
    <row r="1735" spans="1:13">
      <c r="A1735" s="8">
        <v>43356</v>
      </c>
      <c r="B1735" s="9">
        <v>0.60625000000000007</v>
      </c>
      <c r="C1735" s="10" t="str">
        <f>"FES1162647206"</f>
        <v>FES1162647206</v>
      </c>
      <c r="D1735" s="10" t="s">
        <v>19</v>
      </c>
      <c r="E1735" s="10" t="s">
        <v>320</v>
      </c>
      <c r="F1735" s="10" t="str">
        <f>"2170651493 "</f>
        <v xml:space="preserve">2170651493 </v>
      </c>
      <c r="G1735" s="10" t="str">
        <f t="shared" si="43"/>
        <v>ON1</v>
      </c>
      <c r="H1735" s="10" t="s">
        <v>21</v>
      </c>
      <c r="I1735" s="10" t="s">
        <v>321</v>
      </c>
      <c r="J1735" s="10" t="str">
        <f>""</f>
        <v/>
      </c>
      <c r="K1735" s="10" t="str">
        <f>"PFES1162647206_0001"</f>
        <v>PFES1162647206_0001</v>
      </c>
      <c r="L1735" s="10">
        <v>1</v>
      </c>
      <c r="M1735" s="10">
        <v>1</v>
      </c>
    </row>
    <row r="1736" spans="1:13">
      <c r="A1736" s="8">
        <v>43356</v>
      </c>
      <c r="B1736" s="9">
        <v>0.60555555555555551</v>
      </c>
      <c r="C1736" s="10" t="str">
        <f>"FES1162647159"</f>
        <v>FES1162647159</v>
      </c>
      <c r="D1736" s="10" t="s">
        <v>19</v>
      </c>
      <c r="E1736" s="10" t="s">
        <v>750</v>
      </c>
      <c r="F1736" s="10" t="str">
        <f>"2170651134 "</f>
        <v xml:space="preserve">2170651134 </v>
      </c>
      <c r="G1736" s="10" t="str">
        <f t="shared" si="43"/>
        <v>ON1</v>
      </c>
      <c r="H1736" s="10" t="s">
        <v>21</v>
      </c>
      <c r="I1736" s="10" t="s">
        <v>34</v>
      </c>
      <c r="J1736" s="10" t="str">
        <f>""</f>
        <v/>
      </c>
      <c r="K1736" s="10" t="str">
        <f>"PFES1162647159_0001"</f>
        <v>PFES1162647159_0001</v>
      </c>
      <c r="L1736" s="10">
        <v>1</v>
      </c>
      <c r="M1736" s="10">
        <v>1</v>
      </c>
    </row>
    <row r="1737" spans="1:13">
      <c r="A1737" s="8">
        <v>43356</v>
      </c>
      <c r="B1737" s="9">
        <v>0.60555555555555551</v>
      </c>
      <c r="C1737" s="10" t="str">
        <f>"FES1162647066"</f>
        <v>FES1162647066</v>
      </c>
      <c r="D1737" s="10" t="s">
        <v>19</v>
      </c>
      <c r="E1737" s="10" t="s">
        <v>856</v>
      </c>
      <c r="F1737" s="10" t="str">
        <f>"2170651542 "</f>
        <v xml:space="preserve">2170651542 </v>
      </c>
      <c r="G1737" s="10" t="str">
        <f t="shared" si="43"/>
        <v>ON1</v>
      </c>
      <c r="H1737" s="10" t="s">
        <v>21</v>
      </c>
      <c r="I1737" s="10" t="s">
        <v>107</v>
      </c>
      <c r="J1737" s="10" t="str">
        <f>""</f>
        <v/>
      </c>
      <c r="K1737" s="10" t="str">
        <f>"PFES1162647066_0001"</f>
        <v>PFES1162647066_0001</v>
      </c>
      <c r="L1737" s="10">
        <v>1</v>
      </c>
      <c r="M1737" s="10">
        <v>1</v>
      </c>
    </row>
    <row r="1738" spans="1:13">
      <c r="A1738" s="8">
        <v>43356</v>
      </c>
      <c r="B1738" s="9">
        <v>0.60555555555555551</v>
      </c>
      <c r="C1738" s="10" t="str">
        <f>"FES1162647062"</f>
        <v>FES1162647062</v>
      </c>
      <c r="D1738" s="10" t="s">
        <v>19</v>
      </c>
      <c r="E1738" s="10" t="s">
        <v>261</v>
      </c>
      <c r="F1738" s="10" t="str">
        <f>"2170651440 "</f>
        <v xml:space="preserve">2170651440 </v>
      </c>
      <c r="G1738" s="10" t="str">
        <f t="shared" si="43"/>
        <v>ON1</v>
      </c>
      <c r="H1738" s="10" t="s">
        <v>21</v>
      </c>
      <c r="I1738" s="10" t="s">
        <v>171</v>
      </c>
      <c r="J1738" s="10" t="str">
        <f>""</f>
        <v/>
      </c>
      <c r="K1738" s="10" t="str">
        <f>"PFES1162647062_0001"</f>
        <v>PFES1162647062_0001</v>
      </c>
      <c r="L1738" s="10">
        <v>1</v>
      </c>
      <c r="M1738" s="10">
        <v>1</v>
      </c>
    </row>
    <row r="1739" spans="1:13">
      <c r="A1739" s="8">
        <v>43356</v>
      </c>
      <c r="B1739" s="9">
        <v>0.60486111111111118</v>
      </c>
      <c r="C1739" s="10" t="str">
        <f>"FES11626477213"</f>
        <v>FES11626477213</v>
      </c>
      <c r="D1739" s="10" t="s">
        <v>19</v>
      </c>
      <c r="E1739" s="10" t="s">
        <v>669</v>
      </c>
      <c r="F1739" s="10" t="str">
        <f>"2170650296 "</f>
        <v xml:space="preserve">2170650296 </v>
      </c>
      <c r="G1739" s="10" t="str">
        <f t="shared" si="43"/>
        <v>ON1</v>
      </c>
      <c r="H1739" s="10" t="s">
        <v>21</v>
      </c>
      <c r="I1739" s="10" t="s">
        <v>76</v>
      </c>
      <c r="J1739" s="10" t="str">
        <f>""</f>
        <v/>
      </c>
      <c r="K1739" s="10" t="str">
        <f>"PFES11626477213_0001"</f>
        <v>PFES11626477213_0001</v>
      </c>
      <c r="L1739" s="10">
        <v>1</v>
      </c>
      <c r="M1739" s="10">
        <v>7</v>
      </c>
    </row>
    <row r="1740" spans="1:13">
      <c r="A1740" s="8">
        <v>43356</v>
      </c>
      <c r="B1740" s="9">
        <v>0.60486111111111118</v>
      </c>
      <c r="C1740" s="10" t="str">
        <f>"FES1162647032"</f>
        <v>FES1162647032</v>
      </c>
      <c r="D1740" s="10" t="s">
        <v>19</v>
      </c>
      <c r="E1740" s="10" t="s">
        <v>226</v>
      </c>
      <c r="F1740" s="10" t="str">
        <f>"2170649996 "</f>
        <v xml:space="preserve">2170649996 </v>
      </c>
      <c r="G1740" s="10" t="str">
        <f t="shared" si="43"/>
        <v>ON1</v>
      </c>
      <c r="H1740" s="10" t="s">
        <v>21</v>
      </c>
      <c r="I1740" s="10" t="s">
        <v>227</v>
      </c>
      <c r="J1740" s="10" t="str">
        <f>""</f>
        <v/>
      </c>
      <c r="K1740" s="10" t="str">
        <f>"PFES1162647032_0001"</f>
        <v>PFES1162647032_0001</v>
      </c>
      <c r="L1740" s="10">
        <v>1</v>
      </c>
      <c r="M1740" s="10">
        <v>1</v>
      </c>
    </row>
    <row r="1741" spans="1:13">
      <c r="A1741" s="8">
        <v>43356</v>
      </c>
      <c r="B1741" s="9">
        <v>0.60486111111111118</v>
      </c>
      <c r="C1741" s="10" t="str">
        <f>"FES1162647022"</f>
        <v>FES1162647022</v>
      </c>
      <c r="D1741" s="10" t="s">
        <v>19</v>
      </c>
      <c r="E1741" s="10" t="s">
        <v>104</v>
      </c>
      <c r="F1741" s="10" t="str">
        <f>"2170649900 "</f>
        <v xml:space="preserve">2170649900 </v>
      </c>
      <c r="G1741" s="10" t="str">
        <f t="shared" si="43"/>
        <v>ON1</v>
      </c>
      <c r="H1741" s="10" t="s">
        <v>21</v>
      </c>
      <c r="I1741" s="10" t="s">
        <v>105</v>
      </c>
      <c r="J1741" s="10" t="str">
        <f>""</f>
        <v/>
      </c>
      <c r="K1741" s="10" t="str">
        <f>"PFES1162647022_0001"</f>
        <v>PFES1162647022_0001</v>
      </c>
      <c r="L1741" s="10">
        <v>1</v>
      </c>
      <c r="M1741" s="10">
        <v>1</v>
      </c>
    </row>
    <row r="1742" spans="1:13">
      <c r="A1742" s="8">
        <v>43356</v>
      </c>
      <c r="B1742" s="9">
        <v>0.60416666666666663</v>
      </c>
      <c r="C1742" s="10" t="str">
        <f>"FES1162646996"</f>
        <v>FES1162646996</v>
      </c>
      <c r="D1742" s="10" t="s">
        <v>19</v>
      </c>
      <c r="E1742" s="10" t="s">
        <v>39</v>
      </c>
      <c r="F1742" s="10" t="str">
        <f>"2170649334 "</f>
        <v xml:space="preserve">2170649334 </v>
      </c>
      <c r="G1742" s="10" t="str">
        <f t="shared" si="43"/>
        <v>ON1</v>
      </c>
      <c r="H1742" s="10" t="s">
        <v>21</v>
      </c>
      <c r="I1742" s="10" t="s">
        <v>40</v>
      </c>
      <c r="J1742" s="10" t="str">
        <f>""</f>
        <v/>
      </c>
      <c r="K1742" s="10" t="str">
        <f>"PFES1162646996_0001"</f>
        <v>PFES1162646996_0001</v>
      </c>
      <c r="L1742" s="10">
        <v>1</v>
      </c>
      <c r="M1742" s="10">
        <v>1</v>
      </c>
    </row>
    <row r="1743" spans="1:13">
      <c r="A1743" s="8">
        <v>43356</v>
      </c>
      <c r="B1743" s="9">
        <v>0.60416666666666663</v>
      </c>
      <c r="C1743" s="10" t="str">
        <f>"FES1162647093"</f>
        <v>FES1162647093</v>
      </c>
      <c r="D1743" s="10" t="s">
        <v>19</v>
      </c>
      <c r="E1743" s="10" t="s">
        <v>369</v>
      </c>
      <c r="F1743" s="10" t="str">
        <f>"2170651663 "</f>
        <v xml:space="preserve">2170651663 </v>
      </c>
      <c r="G1743" s="10" t="str">
        <f t="shared" si="43"/>
        <v>ON1</v>
      </c>
      <c r="H1743" s="10" t="s">
        <v>21</v>
      </c>
      <c r="I1743" s="10" t="s">
        <v>370</v>
      </c>
      <c r="J1743" s="10" t="str">
        <f>""</f>
        <v/>
      </c>
      <c r="K1743" s="10" t="str">
        <f>"PFES1162647093_0001"</f>
        <v>PFES1162647093_0001</v>
      </c>
      <c r="L1743" s="10">
        <v>1</v>
      </c>
      <c r="M1743" s="10">
        <v>1</v>
      </c>
    </row>
    <row r="1744" spans="1:13">
      <c r="A1744" s="8">
        <v>43356</v>
      </c>
      <c r="B1744" s="9">
        <v>0.60416666666666663</v>
      </c>
      <c r="C1744" s="10" t="str">
        <f>"FES1162647118"</f>
        <v>FES1162647118</v>
      </c>
      <c r="D1744" s="10" t="s">
        <v>19</v>
      </c>
      <c r="E1744" s="10" t="s">
        <v>188</v>
      </c>
      <c r="F1744" s="10" t="str">
        <f>"2170651689 "</f>
        <v xml:space="preserve">2170651689 </v>
      </c>
      <c r="G1744" s="10" t="str">
        <f t="shared" si="43"/>
        <v>ON1</v>
      </c>
      <c r="H1744" s="10" t="s">
        <v>21</v>
      </c>
      <c r="I1744" s="10" t="s">
        <v>26</v>
      </c>
      <c r="J1744" s="10" t="str">
        <f>""</f>
        <v/>
      </c>
      <c r="K1744" s="10" t="str">
        <f>"PFES1162647118_0001"</f>
        <v>PFES1162647118_0001</v>
      </c>
      <c r="L1744" s="10">
        <v>1</v>
      </c>
      <c r="M1744" s="10">
        <v>1</v>
      </c>
    </row>
    <row r="1745" spans="1:13">
      <c r="A1745" s="8">
        <v>43356</v>
      </c>
      <c r="B1745" s="9">
        <v>0.60347222222222219</v>
      </c>
      <c r="C1745" s="10" t="str">
        <f>"FES1162647147"</f>
        <v>FES1162647147</v>
      </c>
      <c r="D1745" s="10" t="s">
        <v>19</v>
      </c>
      <c r="E1745" s="10" t="s">
        <v>792</v>
      </c>
      <c r="F1745" s="10" t="str">
        <f>"2170649683 "</f>
        <v xml:space="preserve">2170649683 </v>
      </c>
      <c r="G1745" s="10" t="str">
        <f t="shared" si="43"/>
        <v>ON1</v>
      </c>
      <c r="H1745" s="10" t="s">
        <v>21</v>
      </c>
      <c r="I1745" s="10" t="s">
        <v>68</v>
      </c>
      <c r="J1745" s="10" t="str">
        <f>""</f>
        <v/>
      </c>
      <c r="K1745" s="10" t="str">
        <f>"PFES1162647147_0001"</f>
        <v>PFES1162647147_0001</v>
      </c>
      <c r="L1745" s="10">
        <v>1</v>
      </c>
      <c r="M1745" s="10">
        <v>8</v>
      </c>
    </row>
    <row r="1746" spans="1:13">
      <c r="A1746" s="8">
        <v>43356</v>
      </c>
      <c r="B1746" s="9">
        <v>0.60347222222222219</v>
      </c>
      <c r="C1746" s="10" t="str">
        <f>"FES1162647140"</f>
        <v>FES1162647140</v>
      </c>
      <c r="D1746" s="10" t="s">
        <v>19</v>
      </c>
      <c r="E1746" s="10" t="s">
        <v>505</v>
      </c>
      <c r="F1746" s="10" t="str">
        <f>"2170649583 "</f>
        <v xml:space="preserve">2170649583 </v>
      </c>
      <c r="G1746" s="10" t="str">
        <f t="shared" si="43"/>
        <v>ON1</v>
      </c>
      <c r="H1746" s="10" t="s">
        <v>21</v>
      </c>
      <c r="I1746" s="10" t="s">
        <v>506</v>
      </c>
      <c r="J1746" s="10" t="str">
        <f>""</f>
        <v/>
      </c>
      <c r="K1746" s="10" t="str">
        <f>"PFES1162647140_0001"</f>
        <v>PFES1162647140_0001</v>
      </c>
      <c r="L1746" s="10">
        <v>1</v>
      </c>
      <c r="M1746" s="10">
        <v>1</v>
      </c>
    </row>
    <row r="1747" spans="1:13">
      <c r="A1747" s="8">
        <v>43356</v>
      </c>
      <c r="B1747" s="9">
        <v>0.60347222222222219</v>
      </c>
      <c r="C1747" s="10" t="str">
        <f>"FES1162647162"</f>
        <v>FES1162647162</v>
      </c>
      <c r="D1747" s="10" t="s">
        <v>19</v>
      </c>
      <c r="E1747" s="10" t="s">
        <v>819</v>
      </c>
      <c r="F1747" s="10" t="str">
        <f>"2170651698 "</f>
        <v xml:space="preserve">2170651698 </v>
      </c>
      <c r="G1747" s="10" t="str">
        <f t="shared" si="43"/>
        <v>ON1</v>
      </c>
      <c r="H1747" s="10" t="s">
        <v>21</v>
      </c>
      <c r="I1747" s="10" t="s">
        <v>625</v>
      </c>
      <c r="J1747" s="10" t="str">
        <f>""</f>
        <v/>
      </c>
      <c r="K1747" s="10" t="str">
        <f>"PFES1162647162_0001"</f>
        <v>PFES1162647162_0001</v>
      </c>
      <c r="L1747" s="10">
        <v>1</v>
      </c>
      <c r="M1747" s="10">
        <v>1</v>
      </c>
    </row>
    <row r="1748" spans="1:13">
      <c r="A1748" s="8">
        <v>43356</v>
      </c>
      <c r="B1748" s="9">
        <v>0.60277777777777775</v>
      </c>
      <c r="C1748" s="10" t="str">
        <f>"FES1162647044"</f>
        <v>FES1162647044</v>
      </c>
      <c r="D1748" s="10" t="s">
        <v>19</v>
      </c>
      <c r="E1748" s="10" t="s">
        <v>857</v>
      </c>
      <c r="F1748" s="10" t="str">
        <f>"2170650088 "</f>
        <v xml:space="preserve">2170650088 </v>
      </c>
      <c r="G1748" s="10" t="str">
        <f t="shared" si="43"/>
        <v>ON1</v>
      </c>
      <c r="H1748" s="10" t="s">
        <v>21</v>
      </c>
      <c r="I1748" s="10" t="s">
        <v>273</v>
      </c>
      <c r="J1748" s="10" t="str">
        <f>""</f>
        <v/>
      </c>
      <c r="K1748" s="10" t="str">
        <f>"PFES1162647044_0001"</f>
        <v>PFES1162647044_0001</v>
      </c>
      <c r="L1748" s="10">
        <v>1</v>
      </c>
      <c r="M1748" s="10">
        <v>1</v>
      </c>
    </row>
    <row r="1749" spans="1:13">
      <c r="A1749" s="8">
        <v>43356</v>
      </c>
      <c r="B1749" s="9">
        <v>0.60277777777777775</v>
      </c>
      <c r="C1749" s="10" t="str">
        <f>"FES1162647124"</f>
        <v>FES1162647124</v>
      </c>
      <c r="D1749" s="10" t="s">
        <v>19</v>
      </c>
      <c r="E1749" s="10" t="s">
        <v>638</v>
      </c>
      <c r="F1749" s="10" t="str">
        <f>"21706412281 "</f>
        <v xml:space="preserve">21706412281 </v>
      </c>
      <c r="G1749" s="10" t="str">
        <f t="shared" si="43"/>
        <v>ON1</v>
      </c>
      <c r="H1749" s="10" t="s">
        <v>21</v>
      </c>
      <c r="I1749" s="10" t="s">
        <v>193</v>
      </c>
      <c r="J1749" s="10" t="str">
        <f>""</f>
        <v/>
      </c>
      <c r="K1749" s="10" t="str">
        <f>"PFES1162647124_0001"</f>
        <v>PFES1162647124_0001</v>
      </c>
      <c r="L1749" s="10">
        <v>1</v>
      </c>
      <c r="M1749" s="10">
        <v>1</v>
      </c>
    </row>
    <row r="1750" spans="1:13">
      <c r="A1750" s="8">
        <v>43356</v>
      </c>
      <c r="B1750" s="9">
        <v>0.60277777777777775</v>
      </c>
      <c r="C1750" s="10" t="str">
        <f>"FES1162647051"</f>
        <v>FES1162647051</v>
      </c>
      <c r="D1750" s="10" t="s">
        <v>19</v>
      </c>
      <c r="E1750" s="10" t="s">
        <v>288</v>
      </c>
      <c r="F1750" s="10" t="str">
        <f>"2170650645 "</f>
        <v xml:space="preserve">2170650645 </v>
      </c>
      <c r="G1750" s="10" t="str">
        <f t="shared" si="43"/>
        <v>ON1</v>
      </c>
      <c r="H1750" s="10" t="s">
        <v>21</v>
      </c>
      <c r="I1750" s="10" t="s">
        <v>269</v>
      </c>
      <c r="J1750" s="10" t="str">
        <f>""</f>
        <v/>
      </c>
      <c r="K1750" s="10" t="str">
        <f>"PFES1162647051_0001"</f>
        <v>PFES1162647051_0001</v>
      </c>
      <c r="L1750" s="10">
        <v>1</v>
      </c>
      <c r="M1750" s="10">
        <v>4</v>
      </c>
    </row>
    <row r="1751" spans="1:13">
      <c r="A1751" s="8">
        <v>43356</v>
      </c>
      <c r="B1751" s="9">
        <v>0.60277777777777775</v>
      </c>
      <c r="C1751" s="10" t="str">
        <f>"FES1162647176"</f>
        <v>FES1162647176</v>
      </c>
      <c r="D1751" s="10" t="s">
        <v>19</v>
      </c>
      <c r="E1751" s="10" t="s">
        <v>39</v>
      </c>
      <c r="F1751" s="10" t="str">
        <f>"2170651719 "</f>
        <v xml:space="preserve">2170651719 </v>
      </c>
      <c r="G1751" s="10" t="str">
        <f t="shared" si="43"/>
        <v>ON1</v>
      </c>
      <c r="H1751" s="10" t="s">
        <v>21</v>
      </c>
      <c r="I1751" s="10" t="s">
        <v>40</v>
      </c>
      <c r="J1751" s="10" t="str">
        <f>""</f>
        <v/>
      </c>
      <c r="K1751" s="10" t="str">
        <f>"PFES1162647176_0001"</f>
        <v>PFES1162647176_0001</v>
      </c>
      <c r="L1751" s="10">
        <v>1</v>
      </c>
      <c r="M1751" s="10">
        <v>7</v>
      </c>
    </row>
    <row r="1752" spans="1:13">
      <c r="A1752" s="8">
        <v>43356</v>
      </c>
      <c r="B1752" s="9">
        <v>0.6020833333333333</v>
      </c>
      <c r="C1752" s="10" t="str">
        <f>"FES1162647027"</f>
        <v>FES1162647027</v>
      </c>
      <c r="D1752" s="10" t="s">
        <v>19</v>
      </c>
      <c r="E1752" s="10" t="s">
        <v>274</v>
      </c>
      <c r="F1752" s="10" t="str">
        <f>"2170649940 "</f>
        <v xml:space="preserve">2170649940 </v>
      </c>
      <c r="G1752" s="10" t="str">
        <f t="shared" si="43"/>
        <v>ON1</v>
      </c>
      <c r="H1752" s="10" t="s">
        <v>21</v>
      </c>
      <c r="I1752" s="10" t="s">
        <v>169</v>
      </c>
      <c r="J1752" s="10" t="str">
        <f>""</f>
        <v/>
      </c>
      <c r="K1752" s="10" t="str">
        <f>"PFES1162647027_0001"</f>
        <v>PFES1162647027_0001</v>
      </c>
      <c r="L1752" s="10">
        <v>1</v>
      </c>
      <c r="M1752" s="10">
        <v>6</v>
      </c>
    </row>
    <row r="1753" spans="1:13">
      <c r="A1753" s="8">
        <v>43356</v>
      </c>
      <c r="B1753" s="9">
        <v>0.6020833333333333</v>
      </c>
      <c r="C1753" s="10" t="str">
        <f>"FES1162647155"</f>
        <v>FES1162647155</v>
      </c>
      <c r="D1753" s="10" t="s">
        <v>19</v>
      </c>
      <c r="E1753" s="10" t="s">
        <v>858</v>
      </c>
      <c r="F1753" s="10" t="str">
        <f>"2170650058 "</f>
        <v xml:space="preserve">2170650058 </v>
      </c>
      <c r="G1753" s="10" t="str">
        <f t="shared" si="43"/>
        <v>ON1</v>
      </c>
      <c r="H1753" s="10" t="s">
        <v>21</v>
      </c>
      <c r="I1753" s="10" t="s">
        <v>177</v>
      </c>
      <c r="J1753" s="10" t="str">
        <f>""</f>
        <v/>
      </c>
      <c r="K1753" s="10" t="str">
        <f>"PFES1162647155_0001"</f>
        <v>PFES1162647155_0001</v>
      </c>
      <c r="L1753" s="10">
        <v>1</v>
      </c>
      <c r="M1753" s="10">
        <v>1</v>
      </c>
    </row>
    <row r="1754" spans="1:13">
      <c r="A1754" s="8">
        <v>43356</v>
      </c>
      <c r="B1754" s="9">
        <v>0.60138888888888886</v>
      </c>
      <c r="C1754" s="10" t="str">
        <f>"FES1162647116"</f>
        <v>FES1162647116</v>
      </c>
      <c r="D1754" s="10" t="s">
        <v>19</v>
      </c>
      <c r="E1754" s="10" t="s">
        <v>816</v>
      </c>
      <c r="F1754" s="10" t="str">
        <f>"2170650989 "</f>
        <v xml:space="preserve">2170650989 </v>
      </c>
      <c r="G1754" s="10" t="str">
        <f t="shared" si="43"/>
        <v>ON1</v>
      </c>
      <c r="H1754" s="10" t="s">
        <v>21</v>
      </c>
      <c r="I1754" s="10" t="s">
        <v>817</v>
      </c>
      <c r="J1754" s="10" t="str">
        <f>""</f>
        <v/>
      </c>
      <c r="K1754" s="10" t="str">
        <f>"PFES1162647116_0001"</f>
        <v>PFES1162647116_0001</v>
      </c>
      <c r="L1754" s="10">
        <v>1</v>
      </c>
      <c r="M1754" s="10">
        <v>3</v>
      </c>
    </row>
    <row r="1755" spans="1:13">
      <c r="A1755" s="8">
        <v>43356</v>
      </c>
      <c r="B1755" s="9">
        <v>0.60138888888888886</v>
      </c>
      <c r="C1755" s="10" t="str">
        <f>"FES1162647098"</f>
        <v>FES1162647098</v>
      </c>
      <c r="D1755" s="10" t="s">
        <v>19</v>
      </c>
      <c r="E1755" s="10" t="s">
        <v>563</v>
      </c>
      <c r="F1755" s="10" t="str">
        <f>"2170650016 "</f>
        <v xml:space="preserve">2170650016 </v>
      </c>
      <c r="G1755" s="10" t="str">
        <f t="shared" si="43"/>
        <v>ON1</v>
      </c>
      <c r="H1755" s="10" t="s">
        <v>21</v>
      </c>
      <c r="I1755" s="10" t="s">
        <v>564</v>
      </c>
      <c r="J1755" s="10" t="str">
        <f>""</f>
        <v/>
      </c>
      <c r="K1755" s="10" t="str">
        <f>"PFES1162647098_0001"</f>
        <v>PFES1162647098_0001</v>
      </c>
      <c r="L1755" s="10">
        <v>1</v>
      </c>
      <c r="M1755" s="10">
        <v>3</v>
      </c>
    </row>
    <row r="1756" spans="1:13">
      <c r="A1756" s="8">
        <v>43356</v>
      </c>
      <c r="B1756" s="9">
        <v>0.60138888888888886</v>
      </c>
      <c r="C1756" s="10" t="str">
        <f>"FES1162647171"</f>
        <v>FES1162647171</v>
      </c>
      <c r="D1756" s="10" t="s">
        <v>19</v>
      </c>
      <c r="E1756" s="10" t="s">
        <v>39</v>
      </c>
      <c r="F1756" s="10" t="str">
        <f>"2170651711 "</f>
        <v xml:space="preserve">2170651711 </v>
      </c>
      <c r="G1756" s="10" t="str">
        <f t="shared" si="43"/>
        <v>ON1</v>
      </c>
      <c r="H1756" s="10" t="s">
        <v>21</v>
      </c>
      <c r="I1756" s="10" t="s">
        <v>40</v>
      </c>
      <c r="J1756" s="10" t="str">
        <f>""</f>
        <v/>
      </c>
      <c r="K1756" s="10" t="str">
        <f>"PFES1162647171_0001"</f>
        <v>PFES1162647171_0001</v>
      </c>
      <c r="L1756" s="10">
        <v>1</v>
      </c>
      <c r="M1756" s="10">
        <v>7</v>
      </c>
    </row>
    <row r="1757" spans="1:13">
      <c r="A1757" s="8">
        <v>43356</v>
      </c>
      <c r="B1757" s="9">
        <v>0.60138888888888886</v>
      </c>
      <c r="C1757" s="10" t="str">
        <f>"FES1162647099"</f>
        <v>FES1162647099</v>
      </c>
      <c r="D1757" s="10" t="s">
        <v>19</v>
      </c>
      <c r="E1757" s="10" t="s">
        <v>859</v>
      </c>
      <c r="F1757" s="10" t="str">
        <f>"2170651661 "</f>
        <v xml:space="preserve">2170651661 </v>
      </c>
      <c r="G1757" s="10" t="str">
        <f t="shared" si="43"/>
        <v>ON1</v>
      </c>
      <c r="H1757" s="10" t="s">
        <v>21</v>
      </c>
      <c r="I1757" s="10" t="s">
        <v>860</v>
      </c>
      <c r="J1757" s="10" t="str">
        <f>""</f>
        <v/>
      </c>
      <c r="K1757" s="10" t="str">
        <f>"PFES1162647099_0001"</f>
        <v>PFES1162647099_0001</v>
      </c>
      <c r="L1757" s="10">
        <v>1</v>
      </c>
      <c r="M1757" s="10">
        <v>3</v>
      </c>
    </row>
    <row r="1758" spans="1:13">
      <c r="A1758" s="8">
        <v>43356</v>
      </c>
      <c r="B1758" s="9">
        <v>0.6</v>
      </c>
      <c r="C1758" s="10" t="str">
        <f>"FES1162647210"</f>
        <v>FES1162647210</v>
      </c>
      <c r="D1758" s="10" t="s">
        <v>19</v>
      </c>
      <c r="E1758" s="10" t="s">
        <v>38</v>
      </c>
      <c r="F1758" s="10" t="str">
        <f>"2170651730 "</f>
        <v xml:space="preserve">2170651730 </v>
      </c>
      <c r="G1758" s="10" t="str">
        <f t="shared" si="43"/>
        <v>ON1</v>
      </c>
      <c r="H1758" s="10" t="s">
        <v>21</v>
      </c>
      <c r="I1758" s="10" t="s">
        <v>26</v>
      </c>
      <c r="J1758" s="10" t="str">
        <f>""</f>
        <v/>
      </c>
      <c r="K1758" s="10" t="str">
        <f>"PFES1162647210_0001"</f>
        <v>PFES1162647210_0001</v>
      </c>
      <c r="L1758" s="10">
        <v>1</v>
      </c>
      <c r="M1758" s="10">
        <v>3</v>
      </c>
    </row>
    <row r="1759" spans="1:13">
      <c r="A1759" s="8">
        <v>43356</v>
      </c>
      <c r="B1759" s="9">
        <v>0.6</v>
      </c>
      <c r="C1759" s="10" t="str">
        <f>"FES1162647009"</f>
        <v>FES1162647009</v>
      </c>
      <c r="D1759" s="10" t="s">
        <v>19</v>
      </c>
      <c r="E1759" s="10" t="s">
        <v>153</v>
      </c>
      <c r="F1759" s="10" t="str">
        <f>"217064794 "</f>
        <v xml:space="preserve">217064794 </v>
      </c>
      <c r="G1759" s="10" t="str">
        <f t="shared" si="43"/>
        <v>ON1</v>
      </c>
      <c r="H1759" s="10" t="s">
        <v>21</v>
      </c>
      <c r="I1759" s="10" t="s">
        <v>154</v>
      </c>
      <c r="J1759" s="10" t="str">
        <f>""</f>
        <v/>
      </c>
      <c r="K1759" s="10" t="str">
        <f>"PFES1162647009_0001"</f>
        <v>PFES1162647009_0001</v>
      </c>
      <c r="L1759" s="10">
        <v>1</v>
      </c>
      <c r="M1759" s="10">
        <v>4</v>
      </c>
    </row>
    <row r="1760" spans="1:13">
      <c r="A1760" s="8">
        <v>43356</v>
      </c>
      <c r="B1760" s="9">
        <v>0.6</v>
      </c>
      <c r="C1760" s="10" t="str">
        <f>"FES1162647130"</f>
        <v>FES1162647130</v>
      </c>
      <c r="D1760" s="10" t="s">
        <v>19</v>
      </c>
      <c r="E1760" s="10" t="s">
        <v>368</v>
      </c>
      <c r="F1760" s="10" t="str">
        <f>"2170649434 "</f>
        <v xml:space="preserve">2170649434 </v>
      </c>
      <c r="G1760" s="10" t="str">
        <f t="shared" si="43"/>
        <v>ON1</v>
      </c>
      <c r="H1760" s="10" t="s">
        <v>21</v>
      </c>
      <c r="I1760" s="10" t="s">
        <v>290</v>
      </c>
      <c r="J1760" s="10" t="str">
        <f>""</f>
        <v/>
      </c>
      <c r="K1760" s="10" t="str">
        <f>"PFES1162647130_0001"</f>
        <v>PFES1162647130_0001</v>
      </c>
      <c r="L1760" s="10">
        <v>1</v>
      </c>
      <c r="M1760" s="10">
        <v>3</v>
      </c>
    </row>
    <row r="1761" spans="1:13">
      <c r="A1761" s="8">
        <v>43356</v>
      </c>
      <c r="B1761" s="9">
        <v>0.59930555555555554</v>
      </c>
      <c r="C1761" s="10" t="str">
        <f>"FES1162647115"</f>
        <v>FES1162647115</v>
      </c>
      <c r="D1761" s="10" t="s">
        <v>19</v>
      </c>
      <c r="E1761" s="10" t="s">
        <v>861</v>
      </c>
      <c r="F1761" s="10" t="str">
        <f>"217064999999999999614 "</f>
        <v xml:space="preserve">217064999999999999614 </v>
      </c>
      <c r="G1761" s="10" t="str">
        <f>"DBC"</f>
        <v>DBC</v>
      </c>
      <c r="H1761" s="10" t="s">
        <v>21</v>
      </c>
      <c r="I1761" s="10" t="s">
        <v>177</v>
      </c>
      <c r="J1761" s="10" t="str">
        <f>""</f>
        <v/>
      </c>
      <c r="K1761" s="10" t="str">
        <f>"PFES1162647115_0001"</f>
        <v>PFES1162647115_0001</v>
      </c>
      <c r="L1761" s="10">
        <v>1</v>
      </c>
      <c r="M1761" s="10">
        <v>20</v>
      </c>
    </row>
    <row r="1762" spans="1:13">
      <c r="A1762" s="8">
        <v>43356</v>
      </c>
      <c r="B1762" s="9">
        <v>0.59930555555555554</v>
      </c>
      <c r="C1762" s="10" t="str">
        <f>"FES1162647017"</f>
        <v>FES1162647017</v>
      </c>
      <c r="D1762" s="10" t="s">
        <v>19</v>
      </c>
      <c r="E1762" s="10" t="s">
        <v>862</v>
      </c>
      <c r="F1762" s="10" t="str">
        <f>"2170649875 "</f>
        <v xml:space="preserve">2170649875 </v>
      </c>
      <c r="G1762" s="10" t="str">
        <f t="shared" ref="G1762:G1802" si="44">"ON1"</f>
        <v>ON1</v>
      </c>
      <c r="H1762" s="10" t="s">
        <v>21</v>
      </c>
      <c r="I1762" s="10" t="s">
        <v>102</v>
      </c>
      <c r="J1762" s="10" t="str">
        <f>""</f>
        <v/>
      </c>
      <c r="K1762" s="10" t="str">
        <f>"PFES1162647017_0001"</f>
        <v>PFES1162647017_0001</v>
      </c>
      <c r="L1762" s="10">
        <v>1</v>
      </c>
      <c r="M1762" s="10">
        <v>1</v>
      </c>
    </row>
    <row r="1763" spans="1:13">
      <c r="A1763" s="8">
        <v>43356</v>
      </c>
      <c r="B1763" s="9">
        <v>0.59791666666666665</v>
      </c>
      <c r="C1763" s="10" t="str">
        <f>"FES1162647207"</f>
        <v>FES1162647207</v>
      </c>
      <c r="D1763" s="10" t="s">
        <v>19</v>
      </c>
      <c r="E1763" s="10" t="s">
        <v>563</v>
      </c>
      <c r="F1763" s="10" t="str">
        <f>"2170651533 "</f>
        <v xml:space="preserve">2170651533 </v>
      </c>
      <c r="G1763" s="10" t="str">
        <f t="shared" si="44"/>
        <v>ON1</v>
      </c>
      <c r="H1763" s="10" t="s">
        <v>21</v>
      </c>
      <c r="I1763" s="10" t="s">
        <v>564</v>
      </c>
      <c r="J1763" s="10" t="str">
        <f>""</f>
        <v/>
      </c>
      <c r="K1763" s="10" t="str">
        <f>"PFES1162647207_0001"</f>
        <v>PFES1162647207_0001</v>
      </c>
      <c r="L1763" s="10">
        <v>1</v>
      </c>
      <c r="M1763" s="10">
        <v>4</v>
      </c>
    </row>
    <row r="1764" spans="1:13">
      <c r="A1764" s="8">
        <v>43356</v>
      </c>
      <c r="B1764" s="9">
        <v>0.59652777777777777</v>
      </c>
      <c r="C1764" s="10" t="str">
        <f>"FES1162646998"</f>
        <v>FES1162646998</v>
      </c>
      <c r="D1764" s="10" t="s">
        <v>19</v>
      </c>
      <c r="E1764" s="10" t="s">
        <v>39</v>
      </c>
      <c r="F1764" s="10" t="str">
        <f>"2170649471 "</f>
        <v xml:space="preserve">2170649471 </v>
      </c>
      <c r="G1764" s="10" t="str">
        <f t="shared" si="44"/>
        <v>ON1</v>
      </c>
      <c r="H1764" s="10" t="s">
        <v>21</v>
      </c>
      <c r="I1764" s="10" t="s">
        <v>40</v>
      </c>
      <c r="J1764" s="10" t="str">
        <f>""</f>
        <v/>
      </c>
      <c r="K1764" s="10" t="str">
        <f>"PFES1162646998_0001"</f>
        <v>PFES1162646998_0001</v>
      </c>
      <c r="L1764" s="10">
        <v>1</v>
      </c>
      <c r="M1764" s="10">
        <v>11</v>
      </c>
    </row>
    <row r="1765" spans="1:13">
      <c r="A1765" s="8">
        <v>43356</v>
      </c>
      <c r="B1765" s="9">
        <v>0.59583333333333333</v>
      </c>
      <c r="C1765" s="10" t="str">
        <f>"FES1162647208"</f>
        <v>FES1162647208</v>
      </c>
      <c r="D1765" s="10" t="s">
        <v>19</v>
      </c>
      <c r="E1765" s="10" t="s">
        <v>563</v>
      </c>
      <c r="F1765" s="10" t="str">
        <f>"2170651534 "</f>
        <v xml:space="preserve">2170651534 </v>
      </c>
      <c r="G1765" s="10" t="str">
        <f t="shared" si="44"/>
        <v>ON1</v>
      </c>
      <c r="H1765" s="10" t="s">
        <v>21</v>
      </c>
      <c r="I1765" s="10" t="s">
        <v>564</v>
      </c>
      <c r="J1765" s="10" t="str">
        <f>""</f>
        <v/>
      </c>
      <c r="K1765" s="10" t="str">
        <f>"PFES1162647208_0001"</f>
        <v>PFES1162647208_0001</v>
      </c>
      <c r="L1765" s="10">
        <v>1</v>
      </c>
      <c r="M1765" s="10">
        <v>6</v>
      </c>
    </row>
    <row r="1766" spans="1:13">
      <c r="A1766" s="8">
        <v>43356</v>
      </c>
      <c r="B1766" s="9">
        <v>0.59513888888888888</v>
      </c>
      <c r="C1766" s="10" t="str">
        <f>"FES1162647229"</f>
        <v>FES1162647229</v>
      </c>
      <c r="D1766" s="10" t="s">
        <v>19</v>
      </c>
      <c r="E1766" s="10" t="s">
        <v>357</v>
      </c>
      <c r="F1766" s="10" t="str">
        <f>"2170651615 "</f>
        <v xml:space="preserve">2170651615 </v>
      </c>
      <c r="G1766" s="10" t="str">
        <f t="shared" si="44"/>
        <v>ON1</v>
      </c>
      <c r="H1766" s="10" t="s">
        <v>21</v>
      </c>
      <c r="I1766" s="10" t="s">
        <v>283</v>
      </c>
      <c r="J1766" s="10" t="str">
        <f>""</f>
        <v/>
      </c>
      <c r="K1766" s="10" t="str">
        <f>"PFES1162647229_0001"</f>
        <v>PFES1162647229_0001</v>
      </c>
      <c r="L1766" s="10">
        <v>1</v>
      </c>
      <c r="M1766" s="10">
        <v>1</v>
      </c>
    </row>
    <row r="1767" spans="1:13">
      <c r="A1767" s="8">
        <v>43356</v>
      </c>
      <c r="B1767" s="9">
        <v>0.59513888888888888</v>
      </c>
      <c r="C1767" s="10" t="str">
        <f>"FES1162647255"</f>
        <v>FES1162647255</v>
      </c>
      <c r="D1767" s="10" t="s">
        <v>19</v>
      </c>
      <c r="E1767" s="10" t="s">
        <v>27</v>
      </c>
      <c r="F1767" s="10" t="str">
        <f>"2170651795 "</f>
        <v xml:space="preserve">2170651795 </v>
      </c>
      <c r="G1767" s="10" t="str">
        <f t="shared" si="44"/>
        <v>ON1</v>
      </c>
      <c r="H1767" s="10" t="s">
        <v>21</v>
      </c>
      <c r="I1767" s="10" t="s">
        <v>28</v>
      </c>
      <c r="J1767" s="10" t="str">
        <f>""</f>
        <v/>
      </c>
      <c r="K1767" s="10" t="str">
        <f>"PFES1162647255_0001"</f>
        <v>PFES1162647255_0001</v>
      </c>
      <c r="L1767" s="10">
        <v>1</v>
      </c>
      <c r="M1767" s="10">
        <v>1</v>
      </c>
    </row>
    <row r="1768" spans="1:13">
      <c r="A1768" s="8">
        <v>43356</v>
      </c>
      <c r="B1768" s="9">
        <v>0.59444444444444444</v>
      </c>
      <c r="C1768" s="10" t="str">
        <f>"FES1162647131"</f>
        <v>FES1162647131</v>
      </c>
      <c r="D1768" s="10" t="s">
        <v>19</v>
      </c>
      <c r="E1768" s="10" t="s">
        <v>335</v>
      </c>
      <c r="F1768" s="10" t="str">
        <f>"2170649438 "</f>
        <v xml:space="preserve">2170649438 </v>
      </c>
      <c r="G1768" s="10" t="str">
        <f t="shared" si="44"/>
        <v>ON1</v>
      </c>
      <c r="H1768" s="10" t="s">
        <v>21</v>
      </c>
      <c r="I1768" s="10" t="s">
        <v>66</v>
      </c>
      <c r="J1768" s="10" t="str">
        <f>""</f>
        <v/>
      </c>
      <c r="K1768" s="10" t="str">
        <f>"PFES1162647131_0001"</f>
        <v>PFES1162647131_0001</v>
      </c>
      <c r="L1768" s="10">
        <v>1</v>
      </c>
      <c r="M1768" s="10">
        <v>9</v>
      </c>
    </row>
    <row r="1769" spans="1:13">
      <c r="A1769" s="8">
        <v>43356</v>
      </c>
      <c r="B1769" s="9">
        <v>0.59444444444444444</v>
      </c>
      <c r="C1769" s="10" t="str">
        <f>"FES1162647157"</f>
        <v>FES1162647157</v>
      </c>
      <c r="D1769" s="10" t="s">
        <v>19</v>
      </c>
      <c r="E1769" s="10" t="s">
        <v>174</v>
      </c>
      <c r="F1769" s="10" t="str">
        <f>"2170650856 "</f>
        <v xml:space="preserve">2170650856 </v>
      </c>
      <c r="G1769" s="10" t="str">
        <f t="shared" si="44"/>
        <v>ON1</v>
      </c>
      <c r="H1769" s="10" t="s">
        <v>21</v>
      </c>
      <c r="I1769" s="10" t="s">
        <v>175</v>
      </c>
      <c r="J1769" s="10" t="str">
        <f>""</f>
        <v/>
      </c>
      <c r="K1769" s="10" t="str">
        <f>"PFES1162647157_0001"</f>
        <v>PFES1162647157_0001</v>
      </c>
      <c r="L1769" s="10">
        <v>1</v>
      </c>
      <c r="M1769" s="10">
        <v>1</v>
      </c>
    </row>
    <row r="1770" spans="1:13">
      <c r="A1770" s="8">
        <v>43356</v>
      </c>
      <c r="B1770" s="9">
        <v>0.59375</v>
      </c>
      <c r="C1770" s="10" t="str">
        <f>"FES1162647002"</f>
        <v>FES1162647002</v>
      </c>
      <c r="D1770" s="10" t="s">
        <v>19</v>
      </c>
      <c r="E1770" s="10" t="s">
        <v>549</v>
      </c>
      <c r="F1770" s="10" t="str">
        <f>"2170649641 "</f>
        <v xml:space="preserve">2170649641 </v>
      </c>
      <c r="G1770" s="10" t="str">
        <f t="shared" si="44"/>
        <v>ON1</v>
      </c>
      <c r="H1770" s="10" t="s">
        <v>21</v>
      </c>
      <c r="I1770" s="10" t="s">
        <v>283</v>
      </c>
      <c r="J1770" s="10" t="str">
        <f>""</f>
        <v/>
      </c>
      <c r="K1770" s="10" t="str">
        <f>"PFES1162647002_0001"</f>
        <v>PFES1162647002_0001</v>
      </c>
      <c r="L1770" s="10">
        <v>1</v>
      </c>
      <c r="M1770" s="10">
        <v>1</v>
      </c>
    </row>
    <row r="1771" spans="1:13">
      <c r="A1771" s="8">
        <v>43356</v>
      </c>
      <c r="B1771" s="9">
        <v>0.59375</v>
      </c>
      <c r="C1771" s="10" t="str">
        <f>"FES1162647271"</f>
        <v>FES1162647271</v>
      </c>
      <c r="D1771" s="10" t="s">
        <v>19</v>
      </c>
      <c r="E1771" s="10" t="s">
        <v>863</v>
      </c>
      <c r="F1771" s="10" t="str">
        <f>"2170651769 "</f>
        <v xml:space="preserve">2170651769 </v>
      </c>
      <c r="G1771" s="10" t="str">
        <f t="shared" si="44"/>
        <v>ON1</v>
      </c>
      <c r="H1771" s="10" t="s">
        <v>21</v>
      </c>
      <c r="I1771" s="10" t="s">
        <v>486</v>
      </c>
      <c r="J1771" s="10" t="str">
        <f>""</f>
        <v/>
      </c>
      <c r="K1771" s="10" t="str">
        <f>"PFES1162647271_0001"</f>
        <v>PFES1162647271_0001</v>
      </c>
      <c r="L1771" s="10">
        <v>1</v>
      </c>
      <c r="M1771" s="10">
        <v>1</v>
      </c>
    </row>
    <row r="1772" spans="1:13">
      <c r="A1772" s="8">
        <v>43356</v>
      </c>
      <c r="B1772" s="9">
        <v>0.59305555555555556</v>
      </c>
      <c r="C1772" s="10" t="str">
        <f>"FES1162647100"</f>
        <v>FES1162647100</v>
      </c>
      <c r="D1772" s="10" t="s">
        <v>19</v>
      </c>
      <c r="E1772" s="10" t="s">
        <v>864</v>
      </c>
      <c r="F1772" s="10" t="str">
        <f>"2170651674 "</f>
        <v xml:space="preserve">2170651674 </v>
      </c>
      <c r="G1772" s="10" t="str">
        <f t="shared" si="44"/>
        <v>ON1</v>
      </c>
      <c r="H1772" s="10" t="s">
        <v>21</v>
      </c>
      <c r="I1772" s="10" t="s">
        <v>308</v>
      </c>
      <c r="J1772" s="10" t="str">
        <f>""</f>
        <v/>
      </c>
      <c r="K1772" s="10" t="str">
        <f>"PFES1162647100_0001"</f>
        <v>PFES1162647100_0001</v>
      </c>
      <c r="L1772" s="10">
        <v>1</v>
      </c>
      <c r="M1772" s="10">
        <v>3</v>
      </c>
    </row>
    <row r="1773" spans="1:13">
      <c r="A1773" s="8">
        <v>43356</v>
      </c>
      <c r="B1773" s="9">
        <v>0.59166666666666667</v>
      </c>
      <c r="C1773" s="10" t="str">
        <f>"FES1162647088"</f>
        <v>FES1162647088</v>
      </c>
      <c r="D1773" s="10" t="s">
        <v>19</v>
      </c>
      <c r="E1773" s="10" t="s">
        <v>129</v>
      </c>
      <c r="F1773" s="10" t="str">
        <f>"2170651668 "</f>
        <v xml:space="preserve">2170651668 </v>
      </c>
      <c r="G1773" s="10" t="str">
        <f t="shared" si="44"/>
        <v>ON1</v>
      </c>
      <c r="H1773" s="10" t="s">
        <v>21</v>
      </c>
      <c r="I1773" s="10" t="s">
        <v>76</v>
      </c>
      <c r="J1773" s="10" t="str">
        <f>""</f>
        <v/>
      </c>
      <c r="K1773" s="10" t="str">
        <f>"PFES1162647088_0001"</f>
        <v>PFES1162647088_0001</v>
      </c>
      <c r="L1773" s="10">
        <v>1</v>
      </c>
      <c r="M1773" s="10">
        <v>4</v>
      </c>
    </row>
    <row r="1774" spans="1:13">
      <c r="A1774" s="8">
        <v>43356</v>
      </c>
      <c r="B1774" s="9">
        <v>0.59097222222222223</v>
      </c>
      <c r="C1774" s="10" t="str">
        <f>"FES1162647082"</f>
        <v>FES1162647082</v>
      </c>
      <c r="D1774" s="10" t="s">
        <v>19</v>
      </c>
      <c r="E1774" s="10" t="s">
        <v>776</v>
      </c>
      <c r="F1774" s="10" t="str">
        <f>"2170651658 "</f>
        <v xml:space="preserve">2170651658 </v>
      </c>
      <c r="G1774" s="10" t="str">
        <f t="shared" si="44"/>
        <v>ON1</v>
      </c>
      <c r="H1774" s="10" t="s">
        <v>21</v>
      </c>
      <c r="I1774" s="10" t="s">
        <v>777</v>
      </c>
      <c r="J1774" s="10" t="str">
        <f>""</f>
        <v/>
      </c>
      <c r="K1774" s="10" t="str">
        <f>"PFES1162647082_0001"</f>
        <v>PFES1162647082_0001</v>
      </c>
      <c r="L1774" s="10">
        <v>1</v>
      </c>
      <c r="M1774" s="10">
        <v>4</v>
      </c>
    </row>
    <row r="1775" spans="1:13">
      <c r="A1775" s="8">
        <v>43356</v>
      </c>
      <c r="B1775" s="9">
        <v>0.58888888888888891</v>
      </c>
      <c r="C1775" s="10" t="str">
        <f>"FES1162647112"</f>
        <v>FES1162647112</v>
      </c>
      <c r="D1775" s="10" t="s">
        <v>19</v>
      </c>
      <c r="E1775" s="10" t="s">
        <v>149</v>
      </c>
      <c r="F1775" s="10" t="str">
        <f>"2170651088 "</f>
        <v xml:space="preserve">2170651088 </v>
      </c>
      <c r="G1775" s="10" t="str">
        <f t="shared" si="44"/>
        <v>ON1</v>
      </c>
      <c r="H1775" s="10" t="s">
        <v>21</v>
      </c>
      <c r="I1775" s="10" t="s">
        <v>150</v>
      </c>
      <c r="J1775" s="10" t="str">
        <f>""</f>
        <v/>
      </c>
      <c r="K1775" s="10" t="str">
        <f>"PFES1162647112_0001"</f>
        <v>PFES1162647112_0001</v>
      </c>
      <c r="L1775" s="10">
        <v>1</v>
      </c>
      <c r="M1775" s="10">
        <v>1</v>
      </c>
    </row>
    <row r="1776" spans="1:13">
      <c r="A1776" s="8">
        <v>43356</v>
      </c>
      <c r="B1776" s="9">
        <v>0.58819444444444446</v>
      </c>
      <c r="C1776" s="10" t="str">
        <f>"FES1162647055"</f>
        <v>FES1162647055</v>
      </c>
      <c r="D1776" s="10" t="s">
        <v>19</v>
      </c>
      <c r="E1776" s="10" t="s">
        <v>301</v>
      </c>
      <c r="F1776" s="10" t="str">
        <f>"2170651025 "</f>
        <v xml:space="preserve">2170651025 </v>
      </c>
      <c r="G1776" s="10" t="str">
        <f t="shared" si="44"/>
        <v>ON1</v>
      </c>
      <c r="H1776" s="10" t="s">
        <v>21</v>
      </c>
      <c r="I1776" s="10" t="s">
        <v>309</v>
      </c>
      <c r="J1776" s="10" t="str">
        <f>""</f>
        <v/>
      </c>
      <c r="K1776" s="10" t="str">
        <f>"PFES1162647055_0001"</f>
        <v>PFES1162647055_0001</v>
      </c>
      <c r="L1776" s="10">
        <v>1</v>
      </c>
      <c r="M1776" s="10">
        <v>2</v>
      </c>
    </row>
    <row r="1777" spans="1:13">
      <c r="A1777" s="8">
        <v>43356</v>
      </c>
      <c r="B1777" s="9">
        <v>0.58680555555555558</v>
      </c>
      <c r="C1777" s="10" t="str">
        <f>"FES1162647249"</f>
        <v>FES1162647249</v>
      </c>
      <c r="D1777" s="10" t="s">
        <v>19</v>
      </c>
      <c r="E1777" s="10" t="s">
        <v>357</v>
      </c>
      <c r="F1777" s="10" t="str">
        <f>"2170651615 "</f>
        <v xml:space="preserve">2170651615 </v>
      </c>
      <c r="G1777" s="10" t="str">
        <f t="shared" si="44"/>
        <v>ON1</v>
      </c>
      <c r="H1777" s="10" t="s">
        <v>21</v>
      </c>
      <c r="I1777" s="10" t="s">
        <v>283</v>
      </c>
      <c r="J1777" s="10" t="str">
        <f>""</f>
        <v/>
      </c>
      <c r="K1777" s="10" t="str">
        <f>"PFES1162647249_0001"</f>
        <v>PFES1162647249_0001</v>
      </c>
      <c r="L1777" s="10">
        <v>1</v>
      </c>
      <c r="M1777" s="10">
        <v>8</v>
      </c>
    </row>
    <row r="1778" spans="1:13">
      <c r="A1778" s="8">
        <v>43356</v>
      </c>
      <c r="B1778" s="9">
        <v>0.58611111111111114</v>
      </c>
      <c r="C1778" s="10" t="str">
        <f>"FES1162647125"</f>
        <v>FES1162647125</v>
      </c>
      <c r="D1778" s="10" t="s">
        <v>19</v>
      </c>
      <c r="E1778" s="10" t="s">
        <v>583</v>
      </c>
      <c r="F1778" s="10" t="str">
        <f>"2170648233 "</f>
        <v xml:space="preserve">2170648233 </v>
      </c>
      <c r="G1778" s="10" t="str">
        <f t="shared" si="44"/>
        <v>ON1</v>
      </c>
      <c r="H1778" s="10" t="s">
        <v>21</v>
      </c>
      <c r="I1778" s="10" t="s">
        <v>584</v>
      </c>
      <c r="J1778" s="10" t="str">
        <f>""</f>
        <v/>
      </c>
      <c r="K1778" s="10" t="str">
        <f>"PFES1162647125_0001"</f>
        <v>PFES1162647125_0001</v>
      </c>
      <c r="L1778" s="10">
        <v>1</v>
      </c>
      <c r="M1778" s="10">
        <v>14</v>
      </c>
    </row>
    <row r="1779" spans="1:13">
      <c r="A1779" s="8">
        <v>43356</v>
      </c>
      <c r="B1779" s="9">
        <v>0.58402777777777781</v>
      </c>
      <c r="C1779" s="10" t="str">
        <f>"FES1162647172"</f>
        <v>FES1162647172</v>
      </c>
      <c r="D1779" s="10" t="s">
        <v>19</v>
      </c>
      <c r="E1779" s="10" t="s">
        <v>357</v>
      </c>
      <c r="F1779" s="10" t="str">
        <f>"2170651713 "</f>
        <v xml:space="preserve">2170651713 </v>
      </c>
      <c r="G1779" s="10" t="str">
        <f t="shared" si="44"/>
        <v>ON1</v>
      </c>
      <c r="H1779" s="10" t="s">
        <v>21</v>
      </c>
      <c r="I1779" s="10" t="s">
        <v>283</v>
      </c>
      <c r="J1779" s="10" t="str">
        <f>""</f>
        <v/>
      </c>
      <c r="K1779" s="10" t="str">
        <f>"PFES1162647172_0001"</f>
        <v>PFES1162647172_0001</v>
      </c>
      <c r="L1779" s="10">
        <v>1</v>
      </c>
      <c r="M1779" s="10">
        <v>8</v>
      </c>
    </row>
    <row r="1780" spans="1:13">
      <c r="A1780" s="8">
        <v>43356</v>
      </c>
      <c r="B1780" s="9">
        <v>0.58333333333333337</v>
      </c>
      <c r="C1780" s="10" t="str">
        <f>"FES1162647262"</f>
        <v>FES1162647262</v>
      </c>
      <c r="D1780" s="10" t="s">
        <v>19</v>
      </c>
      <c r="E1780" s="10" t="s">
        <v>65</v>
      </c>
      <c r="F1780" s="10" t="str">
        <f>"2170651803 "</f>
        <v xml:space="preserve">2170651803 </v>
      </c>
      <c r="G1780" s="10" t="str">
        <f t="shared" si="44"/>
        <v>ON1</v>
      </c>
      <c r="H1780" s="10" t="s">
        <v>21</v>
      </c>
      <c r="I1780" s="10" t="s">
        <v>66</v>
      </c>
      <c r="J1780" s="10" t="str">
        <f>""</f>
        <v/>
      </c>
      <c r="K1780" s="10" t="str">
        <f>"PFES1162647262_0001"</f>
        <v>PFES1162647262_0001</v>
      </c>
      <c r="L1780" s="10">
        <v>1</v>
      </c>
      <c r="M1780" s="10">
        <v>9</v>
      </c>
    </row>
    <row r="1781" spans="1:13">
      <c r="A1781" s="8">
        <v>43356</v>
      </c>
      <c r="B1781" s="9">
        <v>0.57986111111111105</v>
      </c>
      <c r="C1781" s="10" t="str">
        <f>"FES1162647225"</f>
        <v>FES1162647225</v>
      </c>
      <c r="D1781" s="10" t="s">
        <v>19</v>
      </c>
      <c r="E1781" s="10" t="s">
        <v>445</v>
      </c>
      <c r="F1781" s="10" t="str">
        <f>"2170650614 "</f>
        <v xml:space="preserve">2170650614 </v>
      </c>
      <c r="G1781" s="10" t="str">
        <f t="shared" si="44"/>
        <v>ON1</v>
      </c>
      <c r="H1781" s="10" t="s">
        <v>21</v>
      </c>
      <c r="I1781" s="10" t="s">
        <v>206</v>
      </c>
      <c r="J1781" s="10" t="str">
        <f>""</f>
        <v/>
      </c>
      <c r="K1781" s="10" t="str">
        <f>"PFES1162647225_0001"</f>
        <v>PFES1162647225_0001</v>
      </c>
      <c r="L1781" s="10">
        <v>1</v>
      </c>
      <c r="M1781" s="10">
        <v>13</v>
      </c>
    </row>
    <row r="1782" spans="1:13">
      <c r="A1782" s="8">
        <v>43356</v>
      </c>
      <c r="B1782" s="9">
        <v>0.57777777777777783</v>
      </c>
      <c r="C1782" s="10" t="str">
        <f>"FES1162646994"</f>
        <v>FES1162646994</v>
      </c>
      <c r="D1782" s="10" t="s">
        <v>19</v>
      </c>
      <c r="E1782" s="10" t="s">
        <v>266</v>
      </c>
      <c r="F1782" s="10" t="str">
        <f>"2170649020 "</f>
        <v xml:space="preserve">2170649020 </v>
      </c>
      <c r="G1782" s="10" t="str">
        <f t="shared" si="44"/>
        <v>ON1</v>
      </c>
      <c r="H1782" s="10" t="s">
        <v>21</v>
      </c>
      <c r="I1782" s="10" t="s">
        <v>267</v>
      </c>
      <c r="J1782" s="10" t="str">
        <f>""</f>
        <v/>
      </c>
      <c r="K1782" s="10" t="str">
        <f>"PFES1162646994_0001"</f>
        <v>PFES1162646994_0001</v>
      </c>
      <c r="L1782" s="10">
        <v>1</v>
      </c>
      <c r="M1782" s="10">
        <v>1</v>
      </c>
    </row>
    <row r="1783" spans="1:13">
      <c r="A1783" s="8">
        <v>43356</v>
      </c>
      <c r="B1783" s="9">
        <v>0.57777777777777783</v>
      </c>
      <c r="C1783" s="10" t="str">
        <f>"FES1162646988"</f>
        <v>FES1162646988</v>
      </c>
      <c r="D1783" s="10" t="s">
        <v>19</v>
      </c>
      <c r="E1783" s="10" t="s">
        <v>695</v>
      </c>
      <c r="F1783" s="10" t="str">
        <f>"2170638338 "</f>
        <v xml:space="preserve">2170638338 </v>
      </c>
      <c r="G1783" s="10" t="str">
        <f t="shared" si="44"/>
        <v>ON1</v>
      </c>
      <c r="H1783" s="10" t="s">
        <v>21</v>
      </c>
      <c r="I1783" s="10" t="s">
        <v>696</v>
      </c>
      <c r="J1783" s="10" t="str">
        <f>""</f>
        <v/>
      </c>
      <c r="K1783" s="10" t="str">
        <f>"PFES1162646988_0001"</f>
        <v>PFES1162646988_0001</v>
      </c>
      <c r="L1783" s="10">
        <v>1</v>
      </c>
      <c r="M1783" s="10">
        <v>1</v>
      </c>
    </row>
    <row r="1784" spans="1:13">
      <c r="A1784" s="8">
        <v>43356</v>
      </c>
      <c r="B1784" s="9">
        <v>0.57777777777777783</v>
      </c>
      <c r="C1784" s="10" t="str">
        <f>"FES1162647019"</f>
        <v>FES1162647019</v>
      </c>
      <c r="D1784" s="10" t="s">
        <v>19</v>
      </c>
      <c r="E1784" s="10" t="s">
        <v>39</v>
      </c>
      <c r="F1784" s="10" t="str">
        <f>"2170649880 "</f>
        <v xml:space="preserve">2170649880 </v>
      </c>
      <c r="G1784" s="10" t="str">
        <f t="shared" si="44"/>
        <v>ON1</v>
      </c>
      <c r="H1784" s="10" t="s">
        <v>21</v>
      </c>
      <c r="I1784" s="10" t="s">
        <v>40</v>
      </c>
      <c r="J1784" s="10" t="str">
        <f>""</f>
        <v/>
      </c>
      <c r="K1784" s="10" t="str">
        <f>"PFES1162647019_0001"</f>
        <v>PFES1162647019_0001</v>
      </c>
      <c r="L1784" s="10">
        <v>1</v>
      </c>
      <c r="M1784" s="10">
        <v>1</v>
      </c>
    </row>
    <row r="1785" spans="1:13">
      <c r="A1785" s="8">
        <v>43356</v>
      </c>
      <c r="B1785" s="9">
        <v>0.57708333333333328</v>
      </c>
      <c r="C1785" s="10" t="str">
        <f>"FES1162647107"</f>
        <v>FES1162647107</v>
      </c>
      <c r="D1785" s="10" t="s">
        <v>19</v>
      </c>
      <c r="E1785" s="10" t="s">
        <v>445</v>
      </c>
      <c r="F1785" s="10" t="str">
        <f>"2170651864 "</f>
        <v xml:space="preserve">2170651864 </v>
      </c>
      <c r="G1785" s="10" t="str">
        <f t="shared" si="44"/>
        <v>ON1</v>
      </c>
      <c r="H1785" s="10" t="s">
        <v>21</v>
      </c>
      <c r="I1785" s="10" t="s">
        <v>206</v>
      </c>
      <c r="J1785" s="10" t="str">
        <f>""</f>
        <v/>
      </c>
      <c r="K1785" s="10" t="str">
        <f>"PFES1162647107_0001"</f>
        <v>PFES1162647107_0001</v>
      </c>
      <c r="L1785" s="10">
        <v>1</v>
      </c>
      <c r="M1785" s="10">
        <v>1</v>
      </c>
    </row>
    <row r="1786" spans="1:13">
      <c r="A1786" s="8">
        <v>43356</v>
      </c>
      <c r="B1786" s="9">
        <v>0.57638888888888895</v>
      </c>
      <c r="C1786" s="10" t="str">
        <f>"FES1162647071"</f>
        <v>FES1162647071</v>
      </c>
      <c r="D1786" s="10" t="s">
        <v>19</v>
      </c>
      <c r="E1786" s="10" t="s">
        <v>865</v>
      </c>
      <c r="F1786" s="10" t="str">
        <f>"21706541643 "</f>
        <v xml:space="preserve">21706541643 </v>
      </c>
      <c r="G1786" s="10" t="str">
        <f t="shared" si="44"/>
        <v>ON1</v>
      </c>
      <c r="H1786" s="10" t="s">
        <v>21</v>
      </c>
      <c r="I1786" s="10" t="s">
        <v>866</v>
      </c>
      <c r="J1786" s="10" t="str">
        <f>""</f>
        <v/>
      </c>
      <c r="K1786" s="10" t="str">
        <f>"PFES1162647071_0001"</f>
        <v>PFES1162647071_0001</v>
      </c>
      <c r="L1786" s="10">
        <v>1</v>
      </c>
      <c r="M1786" s="10">
        <v>1</v>
      </c>
    </row>
    <row r="1787" spans="1:13">
      <c r="A1787" s="8">
        <v>43356</v>
      </c>
      <c r="B1787" s="9">
        <v>0.5756944444444444</v>
      </c>
      <c r="C1787" s="10" t="str">
        <f>"FES1162647072"</f>
        <v>FES1162647072</v>
      </c>
      <c r="D1787" s="10" t="s">
        <v>19</v>
      </c>
      <c r="E1787" s="10" t="s">
        <v>274</v>
      </c>
      <c r="F1787" s="10" t="str">
        <f>"217051647 "</f>
        <v xml:space="preserve">217051647 </v>
      </c>
      <c r="G1787" s="10" t="str">
        <f t="shared" si="44"/>
        <v>ON1</v>
      </c>
      <c r="H1787" s="10" t="s">
        <v>21</v>
      </c>
      <c r="I1787" s="10" t="s">
        <v>169</v>
      </c>
      <c r="J1787" s="10" t="str">
        <f>""</f>
        <v/>
      </c>
      <c r="K1787" s="10" t="str">
        <f>"PFES1162647072_0001"</f>
        <v>PFES1162647072_0001</v>
      </c>
      <c r="L1787" s="10">
        <v>1</v>
      </c>
      <c r="M1787" s="10">
        <v>1</v>
      </c>
    </row>
    <row r="1788" spans="1:13">
      <c r="A1788" s="8">
        <v>43356</v>
      </c>
      <c r="B1788" s="9">
        <v>0.5756944444444444</v>
      </c>
      <c r="C1788" s="10" t="str">
        <f>"FES1162647146"</f>
        <v>FES1162647146</v>
      </c>
      <c r="D1788" s="10" t="s">
        <v>19</v>
      </c>
      <c r="E1788" s="10" t="s">
        <v>39</v>
      </c>
      <c r="F1788" s="10" t="str">
        <f>"2170649676 "</f>
        <v xml:space="preserve">2170649676 </v>
      </c>
      <c r="G1788" s="10" t="str">
        <f t="shared" si="44"/>
        <v>ON1</v>
      </c>
      <c r="H1788" s="10" t="s">
        <v>21</v>
      </c>
      <c r="I1788" s="10" t="s">
        <v>40</v>
      </c>
      <c r="J1788" s="10" t="str">
        <f>""</f>
        <v/>
      </c>
      <c r="K1788" s="10" t="str">
        <f>"PFES1162647146_0001"</f>
        <v>PFES1162647146_0001</v>
      </c>
      <c r="L1788" s="10">
        <v>1</v>
      </c>
      <c r="M1788" s="10">
        <v>1</v>
      </c>
    </row>
    <row r="1789" spans="1:13">
      <c r="A1789" s="8">
        <v>43356</v>
      </c>
      <c r="B1789" s="9">
        <v>0.57430555555555551</v>
      </c>
      <c r="C1789" s="10" t="str">
        <f>"FES1162647129"</f>
        <v>FES1162647129</v>
      </c>
      <c r="D1789" s="10" t="s">
        <v>19</v>
      </c>
      <c r="E1789" s="10" t="s">
        <v>65</v>
      </c>
      <c r="F1789" s="10" t="str">
        <f>"2170649426 "</f>
        <v xml:space="preserve">2170649426 </v>
      </c>
      <c r="G1789" s="10" t="str">
        <f t="shared" si="44"/>
        <v>ON1</v>
      </c>
      <c r="H1789" s="10" t="s">
        <v>21</v>
      </c>
      <c r="I1789" s="10" t="s">
        <v>66</v>
      </c>
      <c r="J1789" s="10" t="str">
        <f>""</f>
        <v/>
      </c>
      <c r="K1789" s="10" t="str">
        <f>"PFES1162647129_0001"</f>
        <v>PFES1162647129_0001</v>
      </c>
      <c r="L1789" s="10">
        <v>1</v>
      </c>
      <c r="M1789" s="10">
        <v>1</v>
      </c>
    </row>
    <row r="1790" spans="1:13">
      <c r="A1790" s="8">
        <v>43356</v>
      </c>
      <c r="B1790" s="9">
        <v>0.57430555555555551</v>
      </c>
      <c r="C1790" s="10" t="str">
        <f>"FES1162647138"</f>
        <v>FES1162647138</v>
      </c>
      <c r="D1790" s="10" t="s">
        <v>19</v>
      </c>
      <c r="E1790" s="10" t="s">
        <v>182</v>
      </c>
      <c r="F1790" s="10" t="str">
        <f>"2170649542 "</f>
        <v xml:space="preserve">2170649542 </v>
      </c>
      <c r="G1790" s="10" t="str">
        <f t="shared" si="44"/>
        <v>ON1</v>
      </c>
      <c r="H1790" s="10" t="s">
        <v>21</v>
      </c>
      <c r="I1790" s="10" t="s">
        <v>68</v>
      </c>
      <c r="J1790" s="10" t="str">
        <f>""</f>
        <v/>
      </c>
      <c r="K1790" s="10" t="str">
        <f>"PFES1162647138_0001"</f>
        <v>PFES1162647138_0001</v>
      </c>
      <c r="L1790" s="10">
        <v>1</v>
      </c>
      <c r="M1790" s="10">
        <v>1</v>
      </c>
    </row>
    <row r="1791" spans="1:13">
      <c r="A1791" s="8">
        <v>43356</v>
      </c>
      <c r="B1791" s="9">
        <v>0.57430555555555551</v>
      </c>
      <c r="C1791" s="10" t="str">
        <f>"FES1162647126"</f>
        <v>FES1162647126</v>
      </c>
      <c r="D1791" s="10" t="s">
        <v>19</v>
      </c>
      <c r="E1791" s="10" t="s">
        <v>281</v>
      </c>
      <c r="F1791" s="10" t="str">
        <f>"2170648757 "</f>
        <v xml:space="preserve">2170648757 </v>
      </c>
      <c r="G1791" s="10" t="str">
        <f t="shared" si="44"/>
        <v>ON1</v>
      </c>
      <c r="H1791" s="10" t="s">
        <v>21</v>
      </c>
      <c r="I1791" s="10" t="s">
        <v>282</v>
      </c>
      <c r="J1791" s="10" t="str">
        <f>""</f>
        <v/>
      </c>
      <c r="K1791" s="10" t="str">
        <f>"PFES1162647126_0001"</f>
        <v>PFES1162647126_0001</v>
      </c>
      <c r="L1791" s="10">
        <v>1</v>
      </c>
      <c r="M1791" s="10">
        <v>1</v>
      </c>
    </row>
    <row r="1792" spans="1:13">
      <c r="A1792" s="8">
        <v>43356</v>
      </c>
      <c r="B1792" s="9">
        <v>0.57361111111111118</v>
      </c>
      <c r="C1792" s="10" t="str">
        <f>"FES1162647033"</f>
        <v>FES1162647033</v>
      </c>
      <c r="D1792" s="10" t="s">
        <v>19</v>
      </c>
      <c r="E1792" s="10" t="s">
        <v>224</v>
      </c>
      <c r="F1792" s="10" t="str">
        <f>"2170649998 "</f>
        <v xml:space="preserve">2170649998 </v>
      </c>
      <c r="G1792" s="10" t="str">
        <f t="shared" si="44"/>
        <v>ON1</v>
      </c>
      <c r="H1792" s="10" t="s">
        <v>21</v>
      </c>
      <c r="I1792" s="10" t="s">
        <v>225</v>
      </c>
      <c r="J1792" s="10" t="str">
        <f>""</f>
        <v/>
      </c>
      <c r="K1792" s="10" t="str">
        <f>"PFES1162647033_0001"</f>
        <v>PFES1162647033_0001</v>
      </c>
      <c r="L1792" s="10">
        <v>1</v>
      </c>
      <c r="M1792" s="10">
        <v>1</v>
      </c>
    </row>
    <row r="1793" spans="1:13">
      <c r="A1793" s="8">
        <v>43356</v>
      </c>
      <c r="B1793" s="9">
        <v>0.57361111111111118</v>
      </c>
      <c r="C1793" s="10" t="str">
        <f>"FES1162647054"</f>
        <v>FES1162647054</v>
      </c>
      <c r="D1793" s="10" t="s">
        <v>19</v>
      </c>
      <c r="E1793" s="10" t="s">
        <v>286</v>
      </c>
      <c r="F1793" s="10" t="str">
        <f>"2170650930 "</f>
        <v xml:space="preserve">2170650930 </v>
      </c>
      <c r="G1793" s="10" t="str">
        <f t="shared" si="44"/>
        <v>ON1</v>
      </c>
      <c r="H1793" s="10" t="s">
        <v>21</v>
      </c>
      <c r="I1793" s="10" t="s">
        <v>287</v>
      </c>
      <c r="J1793" s="10" t="str">
        <f>""</f>
        <v/>
      </c>
      <c r="K1793" s="10" t="str">
        <f>"PFES1162647054_0001"</f>
        <v>PFES1162647054_0001</v>
      </c>
      <c r="L1793" s="10">
        <v>1</v>
      </c>
      <c r="M1793" s="10">
        <v>1</v>
      </c>
    </row>
    <row r="1794" spans="1:13">
      <c r="A1794" s="8">
        <v>43356</v>
      </c>
      <c r="B1794" s="9">
        <v>0.57291666666666663</v>
      </c>
      <c r="C1794" s="10" t="str">
        <f>"FES1162647078"</f>
        <v>FES1162647078</v>
      </c>
      <c r="D1794" s="10" t="s">
        <v>19</v>
      </c>
      <c r="E1794" s="10" t="s">
        <v>158</v>
      </c>
      <c r="F1794" s="10" t="str">
        <f>"2170651653 "</f>
        <v xml:space="preserve">2170651653 </v>
      </c>
      <c r="G1794" s="10" t="str">
        <f t="shared" si="44"/>
        <v>ON1</v>
      </c>
      <c r="H1794" s="10" t="s">
        <v>21</v>
      </c>
      <c r="I1794" s="10" t="s">
        <v>159</v>
      </c>
      <c r="J1794" s="10" t="str">
        <f>""</f>
        <v/>
      </c>
      <c r="K1794" s="10" t="str">
        <f>"PFES1162647078_0001"</f>
        <v>PFES1162647078_0001</v>
      </c>
      <c r="L1794" s="10">
        <v>1</v>
      </c>
      <c r="M1794" s="10">
        <v>1</v>
      </c>
    </row>
    <row r="1795" spans="1:13">
      <c r="A1795" s="8">
        <v>43356</v>
      </c>
      <c r="B1795" s="9">
        <v>0.57222222222222219</v>
      </c>
      <c r="C1795" s="10" t="str">
        <f>"FES1162647106"</f>
        <v>FES1162647106</v>
      </c>
      <c r="D1795" s="10" t="s">
        <v>19</v>
      </c>
      <c r="E1795" s="10" t="s">
        <v>867</v>
      </c>
      <c r="F1795" s="10" t="str">
        <f>"2170651678 "</f>
        <v xml:space="preserve">2170651678 </v>
      </c>
      <c r="G1795" s="10" t="str">
        <f t="shared" si="44"/>
        <v>ON1</v>
      </c>
      <c r="H1795" s="10" t="s">
        <v>21</v>
      </c>
      <c r="I1795" s="10" t="s">
        <v>541</v>
      </c>
      <c r="J1795" s="10" t="str">
        <f>""</f>
        <v/>
      </c>
      <c r="K1795" s="10" t="str">
        <f>"PFES1162647106_0001"</f>
        <v>PFES1162647106_0001</v>
      </c>
      <c r="L1795" s="10">
        <v>1</v>
      </c>
      <c r="M1795" s="10">
        <v>1</v>
      </c>
    </row>
    <row r="1796" spans="1:13">
      <c r="A1796" s="8">
        <v>43356</v>
      </c>
      <c r="B1796" s="9">
        <v>0.57222222222222219</v>
      </c>
      <c r="C1796" s="10" t="str">
        <f>"FES1162647080"</f>
        <v>FES1162647080</v>
      </c>
      <c r="D1796" s="10" t="s">
        <v>19</v>
      </c>
      <c r="E1796" s="10" t="s">
        <v>654</v>
      </c>
      <c r="F1796" s="10" t="str">
        <f>"2170651656 "</f>
        <v xml:space="preserve">2170651656 </v>
      </c>
      <c r="G1796" s="10" t="str">
        <f t="shared" si="44"/>
        <v>ON1</v>
      </c>
      <c r="H1796" s="10" t="s">
        <v>21</v>
      </c>
      <c r="I1796" s="10" t="s">
        <v>655</v>
      </c>
      <c r="J1796" s="10" t="str">
        <f>""</f>
        <v/>
      </c>
      <c r="K1796" s="10" t="str">
        <f>"PFES1162647080_0001"</f>
        <v>PFES1162647080_0001</v>
      </c>
      <c r="L1796" s="10">
        <v>1</v>
      </c>
      <c r="M1796" s="10">
        <v>1</v>
      </c>
    </row>
    <row r="1797" spans="1:13">
      <c r="A1797" s="8">
        <v>43356</v>
      </c>
      <c r="B1797" s="9">
        <v>0.57152777777777775</v>
      </c>
      <c r="C1797" s="10" t="str">
        <f>"FES1162647117"</f>
        <v>FES1162647117</v>
      </c>
      <c r="D1797" s="10" t="s">
        <v>19</v>
      </c>
      <c r="E1797" s="10" t="s">
        <v>415</v>
      </c>
      <c r="F1797" s="10" t="str">
        <f>"2170651688 "</f>
        <v xml:space="preserve">2170651688 </v>
      </c>
      <c r="G1797" s="10" t="str">
        <f t="shared" si="44"/>
        <v>ON1</v>
      </c>
      <c r="H1797" s="10" t="s">
        <v>21</v>
      </c>
      <c r="I1797" s="10" t="s">
        <v>150</v>
      </c>
      <c r="J1797" s="10" t="str">
        <f>""</f>
        <v/>
      </c>
      <c r="K1797" s="10" t="str">
        <f>"PFES1162647117_0001"</f>
        <v>PFES1162647117_0001</v>
      </c>
      <c r="L1797" s="10">
        <v>1</v>
      </c>
      <c r="M1797" s="10">
        <v>1</v>
      </c>
    </row>
    <row r="1798" spans="1:13">
      <c r="A1798" s="8">
        <v>43356</v>
      </c>
      <c r="B1798" s="9">
        <v>0.57152777777777775</v>
      </c>
      <c r="C1798" s="10" t="str">
        <f>"FES1162647014"</f>
        <v>FES1162647014</v>
      </c>
      <c r="D1798" s="10" t="s">
        <v>19</v>
      </c>
      <c r="E1798" s="10" t="s">
        <v>39</v>
      </c>
      <c r="F1798" s="10" t="str">
        <f>"2170649840 "</f>
        <v xml:space="preserve">2170649840 </v>
      </c>
      <c r="G1798" s="10" t="str">
        <f t="shared" si="44"/>
        <v>ON1</v>
      </c>
      <c r="H1798" s="10" t="s">
        <v>21</v>
      </c>
      <c r="I1798" s="10" t="s">
        <v>40</v>
      </c>
      <c r="J1798" s="10" t="str">
        <f>""</f>
        <v/>
      </c>
      <c r="K1798" s="10" t="str">
        <f>"PFES1162647014_0001"</f>
        <v>PFES1162647014_0001</v>
      </c>
      <c r="L1798" s="10">
        <v>1</v>
      </c>
      <c r="M1798" s="10">
        <v>1</v>
      </c>
    </row>
    <row r="1799" spans="1:13">
      <c r="A1799" s="8">
        <v>43356</v>
      </c>
      <c r="B1799" s="9">
        <v>0.57152777777777775</v>
      </c>
      <c r="C1799" s="10" t="str">
        <f>"FES1162647068"</f>
        <v>FES1162647068</v>
      </c>
      <c r="D1799" s="10" t="s">
        <v>19</v>
      </c>
      <c r="E1799" s="10" t="s">
        <v>447</v>
      </c>
      <c r="F1799" s="10" t="str">
        <f>"2170651637 "</f>
        <v xml:space="preserve">2170651637 </v>
      </c>
      <c r="G1799" s="10" t="str">
        <f t="shared" si="44"/>
        <v>ON1</v>
      </c>
      <c r="H1799" s="10" t="s">
        <v>21</v>
      </c>
      <c r="I1799" s="10" t="s">
        <v>448</v>
      </c>
      <c r="J1799" s="10" t="str">
        <f>""</f>
        <v/>
      </c>
      <c r="K1799" s="10" t="str">
        <f>"PFES1162647068_0001"</f>
        <v>PFES1162647068_0001</v>
      </c>
      <c r="L1799" s="10">
        <v>1</v>
      </c>
      <c r="M1799" s="10">
        <v>1</v>
      </c>
    </row>
    <row r="1800" spans="1:13">
      <c r="A1800" s="8">
        <v>43356</v>
      </c>
      <c r="B1800" s="9">
        <v>0.5708333333333333</v>
      </c>
      <c r="C1800" s="10" t="str">
        <f>"FES1162647084"</f>
        <v>FES1162647084</v>
      </c>
      <c r="D1800" s="10" t="s">
        <v>19</v>
      </c>
      <c r="E1800" s="10" t="s">
        <v>268</v>
      </c>
      <c r="F1800" s="10" t="str">
        <f>"2170651662 "</f>
        <v xml:space="preserve">2170651662 </v>
      </c>
      <c r="G1800" s="10" t="str">
        <f t="shared" si="44"/>
        <v>ON1</v>
      </c>
      <c r="H1800" s="10" t="s">
        <v>21</v>
      </c>
      <c r="I1800" s="10" t="s">
        <v>105</v>
      </c>
      <c r="J1800" s="10" t="str">
        <f>""</f>
        <v/>
      </c>
      <c r="K1800" s="10" t="str">
        <f>"PFES1162647084_0001"</f>
        <v>PFES1162647084_0001</v>
      </c>
      <c r="L1800" s="10">
        <v>1</v>
      </c>
      <c r="M1800" s="10">
        <v>1</v>
      </c>
    </row>
    <row r="1801" spans="1:13">
      <c r="A1801" s="8">
        <v>43356</v>
      </c>
      <c r="B1801" s="9">
        <v>0.5708333333333333</v>
      </c>
      <c r="C1801" s="10" t="str">
        <f>"FES1162647067"</f>
        <v>FES1162647067</v>
      </c>
      <c r="D1801" s="10" t="s">
        <v>19</v>
      </c>
      <c r="E1801" s="10" t="s">
        <v>868</v>
      </c>
      <c r="F1801" s="10" t="str">
        <f>"2170651633 "</f>
        <v xml:space="preserve">2170651633 </v>
      </c>
      <c r="G1801" s="10" t="str">
        <f t="shared" si="44"/>
        <v>ON1</v>
      </c>
      <c r="H1801" s="10" t="s">
        <v>21</v>
      </c>
      <c r="I1801" s="10" t="s">
        <v>74</v>
      </c>
      <c r="J1801" s="10" t="str">
        <f>""</f>
        <v/>
      </c>
      <c r="K1801" s="10" t="str">
        <f>"PFES1162647067_0001"</f>
        <v>PFES1162647067_0001</v>
      </c>
      <c r="L1801" s="10">
        <v>1</v>
      </c>
      <c r="M1801" s="10">
        <v>1</v>
      </c>
    </row>
    <row r="1802" spans="1:13">
      <c r="A1802" s="8">
        <v>43356</v>
      </c>
      <c r="B1802" s="9">
        <v>0.56111111111111112</v>
      </c>
      <c r="C1802" s="10" t="str">
        <f>"FES1162647145"</f>
        <v>FES1162647145</v>
      </c>
      <c r="D1802" s="10" t="s">
        <v>19</v>
      </c>
      <c r="E1802" s="10" t="s">
        <v>869</v>
      </c>
      <c r="F1802" s="10" t="str">
        <f>"2170649672 "</f>
        <v xml:space="preserve">2170649672 </v>
      </c>
      <c r="G1802" s="10" t="str">
        <f t="shared" si="44"/>
        <v>ON1</v>
      </c>
      <c r="H1802" s="10" t="s">
        <v>21</v>
      </c>
      <c r="I1802" s="10" t="s">
        <v>117</v>
      </c>
      <c r="J1802" s="10" t="str">
        <f>""</f>
        <v/>
      </c>
      <c r="K1802" s="10" t="str">
        <f>"PFES1162647145_0001"</f>
        <v>PFES1162647145_0001</v>
      </c>
      <c r="L1802" s="10">
        <v>1</v>
      </c>
      <c r="M1802" s="10">
        <v>5</v>
      </c>
    </row>
    <row r="1803" spans="1:13">
      <c r="A1803" s="8">
        <v>43356</v>
      </c>
      <c r="B1803" s="9">
        <v>0.55694444444444446</v>
      </c>
      <c r="C1803" s="10" t="str">
        <f>"FES1162647170"</f>
        <v>FES1162647170</v>
      </c>
      <c r="D1803" s="10" t="s">
        <v>19</v>
      </c>
      <c r="E1803" s="10" t="s">
        <v>870</v>
      </c>
      <c r="F1803" s="10" t="str">
        <f>"2170651683 "</f>
        <v xml:space="preserve">2170651683 </v>
      </c>
      <c r="G1803" s="10" t="str">
        <f>"DBC"</f>
        <v>DBC</v>
      </c>
      <c r="H1803" s="10" t="s">
        <v>21</v>
      </c>
      <c r="I1803" s="10" t="s">
        <v>126</v>
      </c>
      <c r="J1803" s="10" t="str">
        <f>""</f>
        <v/>
      </c>
      <c r="K1803" s="10" t="str">
        <f>"PFES1162647170_0001"</f>
        <v>PFES1162647170_0001</v>
      </c>
      <c r="L1803" s="10">
        <v>1</v>
      </c>
      <c r="M1803" s="10">
        <v>23</v>
      </c>
    </row>
    <row r="1804" spans="1:13">
      <c r="A1804" s="8">
        <v>43356</v>
      </c>
      <c r="B1804" s="9">
        <v>0.55486111111111114</v>
      </c>
      <c r="C1804" s="10" t="str">
        <f>"FES1162647089"</f>
        <v>FES1162647089</v>
      </c>
      <c r="D1804" s="10" t="s">
        <v>19</v>
      </c>
      <c r="E1804" s="10" t="s">
        <v>116</v>
      </c>
      <c r="F1804" s="10" t="str">
        <f>"2170651669 "</f>
        <v xml:space="preserve">2170651669 </v>
      </c>
      <c r="G1804" s="10" t="str">
        <f t="shared" ref="G1804:G1860" si="45">"ON1"</f>
        <v>ON1</v>
      </c>
      <c r="H1804" s="10" t="s">
        <v>21</v>
      </c>
      <c r="I1804" s="10" t="s">
        <v>117</v>
      </c>
      <c r="J1804" s="10" t="str">
        <f>""</f>
        <v/>
      </c>
      <c r="K1804" s="10" t="str">
        <f>"PFES1162647089_0001"</f>
        <v>PFES1162647089_0001</v>
      </c>
      <c r="L1804" s="10">
        <v>1</v>
      </c>
      <c r="M1804" s="10">
        <v>5</v>
      </c>
    </row>
    <row r="1805" spans="1:13">
      <c r="A1805" s="8">
        <v>43356</v>
      </c>
      <c r="B1805" s="9">
        <v>0.5541666666666667</v>
      </c>
      <c r="C1805" s="10" t="str">
        <f>"FES1162647184"</f>
        <v>FES1162647184</v>
      </c>
      <c r="D1805" s="10" t="s">
        <v>19</v>
      </c>
      <c r="E1805" s="10" t="s">
        <v>174</v>
      </c>
      <c r="F1805" s="10" t="str">
        <f>"2170643552 "</f>
        <v xml:space="preserve">2170643552 </v>
      </c>
      <c r="G1805" s="10" t="str">
        <f t="shared" si="45"/>
        <v>ON1</v>
      </c>
      <c r="H1805" s="10" t="s">
        <v>21</v>
      </c>
      <c r="I1805" s="10" t="s">
        <v>175</v>
      </c>
      <c r="J1805" s="10" t="str">
        <f>""</f>
        <v/>
      </c>
      <c r="K1805" s="10" t="str">
        <f>"PFES1162647184_0001"</f>
        <v>PFES1162647184_0001</v>
      </c>
      <c r="L1805" s="10">
        <v>1</v>
      </c>
      <c r="M1805" s="10">
        <v>5</v>
      </c>
    </row>
    <row r="1806" spans="1:13">
      <c r="A1806" s="8">
        <v>43356</v>
      </c>
      <c r="B1806" s="9">
        <v>0.55347222222222225</v>
      </c>
      <c r="C1806" s="10" t="str">
        <f>"FES1162647148"</f>
        <v>FES1162647148</v>
      </c>
      <c r="D1806" s="10" t="s">
        <v>19</v>
      </c>
      <c r="E1806" s="10" t="s">
        <v>792</v>
      </c>
      <c r="F1806" s="10" t="str">
        <f>"2170649684 "</f>
        <v xml:space="preserve">2170649684 </v>
      </c>
      <c r="G1806" s="10" t="str">
        <f t="shared" si="45"/>
        <v>ON1</v>
      </c>
      <c r="H1806" s="10" t="s">
        <v>21</v>
      </c>
      <c r="I1806" s="10" t="s">
        <v>68</v>
      </c>
      <c r="J1806" s="10" t="str">
        <f>""</f>
        <v/>
      </c>
      <c r="K1806" s="10" t="str">
        <f>"PFES1162647148_0001"</f>
        <v>PFES1162647148_0001</v>
      </c>
      <c r="L1806" s="10">
        <v>1</v>
      </c>
      <c r="M1806" s="10">
        <v>2</v>
      </c>
    </row>
    <row r="1807" spans="1:13">
      <c r="A1807" s="8">
        <v>43356</v>
      </c>
      <c r="B1807" s="9">
        <v>0.55208333333333337</v>
      </c>
      <c r="C1807" s="10" t="str">
        <f>"FES1162647076"</f>
        <v>FES1162647076</v>
      </c>
      <c r="D1807" s="10" t="s">
        <v>19</v>
      </c>
      <c r="E1807" s="10" t="s">
        <v>41</v>
      </c>
      <c r="F1807" s="10" t="str">
        <f>"2170651651 "</f>
        <v xml:space="preserve">2170651651 </v>
      </c>
      <c r="G1807" s="10" t="str">
        <f t="shared" si="45"/>
        <v>ON1</v>
      </c>
      <c r="H1807" s="10" t="s">
        <v>21</v>
      </c>
      <c r="I1807" s="10" t="s">
        <v>42</v>
      </c>
      <c r="J1807" s="10" t="str">
        <f>""</f>
        <v/>
      </c>
      <c r="K1807" s="10" t="str">
        <f>"PFES1162647076_0001"</f>
        <v>PFES1162647076_0001</v>
      </c>
      <c r="L1807" s="10">
        <v>1</v>
      </c>
      <c r="M1807" s="10">
        <v>2</v>
      </c>
    </row>
    <row r="1808" spans="1:13">
      <c r="A1808" s="8">
        <v>43356</v>
      </c>
      <c r="B1808" s="9">
        <v>0.55069444444444449</v>
      </c>
      <c r="C1808" s="10" t="str">
        <f>"FES1162646997"</f>
        <v>FES1162646997</v>
      </c>
      <c r="D1808" s="10" t="s">
        <v>19</v>
      </c>
      <c r="E1808" s="10" t="s">
        <v>335</v>
      </c>
      <c r="F1808" s="10" t="str">
        <f>"2170649438 "</f>
        <v xml:space="preserve">2170649438 </v>
      </c>
      <c r="G1808" s="10" t="str">
        <f t="shared" si="45"/>
        <v>ON1</v>
      </c>
      <c r="H1808" s="10" t="s">
        <v>21</v>
      </c>
      <c r="I1808" s="10" t="s">
        <v>66</v>
      </c>
      <c r="J1808" s="10" t="str">
        <f>""</f>
        <v/>
      </c>
      <c r="K1808" s="10" t="str">
        <f>"PFES1162646997_0001"</f>
        <v>PFES1162646997_0001</v>
      </c>
      <c r="L1808" s="10">
        <v>1</v>
      </c>
      <c r="M1808" s="10">
        <v>3</v>
      </c>
    </row>
    <row r="1809" spans="1:13">
      <c r="A1809" s="8">
        <v>43356</v>
      </c>
      <c r="B1809" s="9">
        <v>0.5493055555555556</v>
      </c>
      <c r="C1809" s="10" t="str">
        <f>"FES1162647226"</f>
        <v>FES1162647226</v>
      </c>
      <c r="D1809" s="10" t="s">
        <v>19</v>
      </c>
      <c r="E1809" s="10" t="s">
        <v>234</v>
      </c>
      <c r="F1809" s="10" t="str">
        <f>"2170650933 "</f>
        <v xml:space="preserve">2170650933 </v>
      </c>
      <c r="G1809" s="10" t="str">
        <f t="shared" si="45"/>
        <v>ON1</v>
      </c>
      <c r="H1809" s="10" t="s">
        <v>21</v>
      </c>
      <c r="I1809" s="10" t="s">
        <v>235</v>
      </c>
      <c r="J1809" s="10" t="str">
        <f>""</f>
        <v/>
      </c>
      <c r="K1809" s="10" t="str">
        <f>"PFES1162647226_0001"</f>
        <v>PFES1162647226_0001</v>
      </c>
      <c r="L1809" s="10">
        <v>1</v>
      </c>
      <c r="M1809" s="10">
        <v>17</v>
      </c>
    </row>
    <row r="1810" spans="1:13">
      <c r="A1810" s="8">
        <v>43356</v>
      </c>
      <c r="B1810" s="9">
        <v>0.54861111111111105</v>
      </c>
      <c r="C1810" s="10" t="str">
        <f>"FES1162647231"</f>
        <v>FES1162647231</v>
      </c>
      <c r="D1810" s="10" t="s">
        <v>19</v>
      </c>
      <c r="E1810" s="10" t="s">
        <v>81</v>
      </c>
      <c r="F1810" s="10" t="str">
        <f>"2170651758 "</f>
        <v xml:space="preserve">2170651758 </v>
      </c>
      <c r="G1810" s="10" t="str">
        <f t="shared" si="45"/>
        <v>ON1</v>
      </c>
      <c r="H1810" s="10" t="s">
        <v>21</v>
      </c>
      <c r="I1810" s="10" t="s">
        <v>28</v>
      </c>
      <c r="J1810" s="10" t="str">
        <f>""</f>
        <v/>
      </c>
      <c r="K1810" s="10" t="str">
        <f>"PFES1162647231_0001"</f>
        <v>PFES1162647231_0001</v>
      </c>
      <c r="L1810" s="10">
        <v>1</v>
      </c>
      <c r="M1810" s="10">
        <v>3</v>
      </c>
    </row>
    <row r="1811" spans="1:13">
      <c r="A1811" s="8">
        <v>43356</v>
      </c>
      <c r="B1811" s="9">
        <v>0.54722222222222217</v>
      </c>
      <c r="C1811" s="10" t="str">
        <f>"FES1162647189"</f>
        <v>FES1162647189</v>
      </c>
      <c r="D1811" s="10" t="s">
        <v>19</v>
      </c>
      <c r="E1811" s="10" t="s">
        <v>295</v>
      </c>
      <c r="F1811" s="10" t="str">
        <f>"21706549392 "</f>
        <v xml:space="preserve">21706549392 </v>
      </c>
      <c r="G1811" s="10" t="str">
        <f t="shared" si="45"/>
        <v>ON1</v>
      </c>
      <c r="H1811" s="10" t="s">
        <v>21</v>
      </c>
      <c r="I1811" s="10" t="s">
        <v>42</v>
      </c>
      <c r="J1811" s="10" t="str">
        <f>""</f>
        <v/>
      </c>
      <c r="K1811" s="10" t="str">
        <f>"PFES1162647189_0001"</f>
        <v>PFES1162647189_0001</v>
      </c>
      <c r="L1811" s="10">
        <v>1</v>
      </c>
      <c r="M1811" s="10">
        <v>1</v>
      </c>
    </row>
    <row r="1812" spans="1:13">
      <c r="A1812" s="8">
        <v>43356</v>
      </c>
      <c r="B1812" s="9">
        <v>0.54722222222222217</v>
      </c>
      <c r="C1812" s="10" t="str">
        <f>"FES1162647187"</f>
        <v>FES1162647187</v>
      </c>
      <c r="D1812" s="10" t="s">
        <v>19</v>
      </c>
      <c r="E1812" s="10" t="s">
        <v>281</v>
      </c>
      <c r="F1812" s="10" t="str">
        <f>"2170648757 "</f>
        <v xml:space="preserve">2170648757 </v>
      </c>
      <c r="G1812" s="10" t="str">
        <f t="shared" si="45"/>
        <v>ON1</v>
      </c>
      <c r="H1812" s="10" t="s">
        <v>21</v>
      </c>
      <c r="I1812" s="10" t="s">
        <v>282</v>
      </c>
      <c r="J1812" s="10" t="str">
        <f>""</f>
        <v/>
      </c>
      <c r="K1812" s="10" t="str">
        <f>"PFES1162647187_0001"</f>
        <v>PFES1162647187_0001</v>
      </c>
      <c r="L1812" s="10">
        <v>1</v>
      </c>
      <c r="M1812" s="10">
        <v>1</v>
      </c>
    </row>
    <row r="1813" spans="1:13">
      <c r="A1813" s="8">
        <v>43356</v>
      </c>
      <c r="B1813" s="9">
        <v>0.54652777777777783</v>
      </c>
      <c r="C1813" s="10" t="str">
        <f>"FES1162647199"</f>
        <v>FES1162647199</v>
      </c>
      <c r="D1813" s="10" t="s">
        <v>19</v>
      </c>
      <c r="E1813" s="10" t="s">
        <v>792</v>
      </c>
      <c r="F1813" s="10" t="str">
        <f>"2170649683 "</f>
        <v xml:space="preserve">2170649683 </v>
      </c>
      <c r="G1813" s="10" t="str">
        <f t="shared" si="45"/>
        <v>ON1</v>
      </c>
      <c r="H1813" s="10" t="s">
        <v>21</v>
      </c>
      <c r="I1813" s="10" t="s">
        <v>68</v>
      </c>
      <c r="J1813" s="10" t="str">
        <f>""</f>
        <v/>
      </c>
      <c r="K1813" s="10" t="str">
        <f>"PFES1162647199_0001"</f>
        <v>PFES1162647199_0001</v>
      </c>
      <c r="L1813" s="10">
        <v>1</v>
      </c>
      <c r="M1813" s="10">
        <v>1</v>
      </c>
    </row>
    <row r="1814" spans="1:13">
      <c r="A1814" s="8">
        <v>43356</v>
      </c>
      <c r="B1814" s="9">
        <v>0.54652777777777783</v>
      </c>
      <c r="C1814" s="10" t="str">
        <f>"FES1162647000"</f>
        <v>FES1162647000</v>
      </c>
      <c r="D1814" s="10" t="s">
        <v>19</v>
      </c>
      <c r="E1814" s="10" t="s">
        <v>612</v>
      </c>
      <c r="F1814" s="10" t="str">
        <f>"2170649498 "</f>
        <v xml:space="preserve">2170649498 </v>
      </c>
      <c r="G1814" s="10" t="str">
        <f t="shared" si="45"/>
        <v>ON1</v>
      </c>
      <c r="H1814" s="10" t="s">
        <v>21</v>
      </c>
      <c r="I1814" s="10" t="s">
        <v>613</v>
      </c>
      <c r="J1814" s="10" t="str">
        <f>""</f>
        <v/>
      </c>
      <c r="K1814" s="10" t="str">
        <f>"PFES1162647000_0001"</f>
        <v>PFES1162647000_0001</v>
      </c>
      <c r="L1814" s="10">
        <v>1</v>
      </c>
      <c r="M1814" s="10">
        <v>1</v>
      </c>
    </row>
    <row r="1815" spans="1:13">
      <c r="A1815" s="8">
        <v>43356</v>
      </c>
      <c r="B1815" s="9">
        <v>0.54583333333333328</v>
      </c>
      <c r="C1815" s="10" t="str">
        <f>"FES1162647029"</f>
        <v>FES1162647029</v>
      </c>
      <c r="D1815" s="10" t="s">
        <v>19</v>
      </c>
      <c r="E1815" s="10" t="s">
        <v>871</v>
      </c>
      <c r="F1815" s="10" t="str">
        <f>"2170649957 "</f>
        <v xml:space="preserve">2170649957 </v>
      </c>
      <c r="G1815" s="10" t="str">
        <f t="shared" si="45"/>
        <v>ON1</v>
      </c>
      <c r="H1815" s="10" t="s">
        <v>21</v>
      </c>
      <c r="I1815" s="10" t="s">
        <v>117</v>
      </c>
      <c r="J1815" s="10" t="str">
        <f>""</f>
        <v/>
      </c>
      <c r="K1815" s="10" t="str">
        <f>"PFES1162647029_0001"</f>
        <v>PFES1162647029_0001</v>
      </c>
      <c r="L1815" s="10">
        <v>1</v>
      </c>
      <c r="M1815" s="10">
        <v>1</v>
      </c>
    </row>
    <row r="1816" spans="1:13">
      <c r="A1816" s="8">
        <v>43356</v>
      </c>
      <c r="B1816" s="9">
        <v>0.54583333333333328</v>
      </c>
      <c r="C1816" s="10" t="str">
        <f>"FES1162647236"</f>
        <v>FES1162647236</v>
      </c>
      <c r="D1816" s="10" t="s">
        <v>19</v>
      </c>
      <c r="E1816" s="10" t="s">
        <v>65</v>
      </c>
      <c r="F1816" s="10" t="str">
        <f>"2170651767 "</f>
        <v xml:space="preserve">2170651767 </v>
      </c>
      <c r="G1816" s="10" t="str">
        <f t="shared" si="45"/>
        <v>ON1</v>
      </c>
      <c r="H1816" s="10" t="s">
        <v>21</v>
      </c>
      <c r="I1816" s="10" t="s">
        <v>66</v>
      </c>
      <c r="J1816" s="10" t="str">
        <f>""</f>
        <v/>
      </c>
      <c r="K1816" s="10" t="str">
        <f>"PFES1162647236_0001"</f>
        <v>PFES1162647236_0001</v>
      </c>
      <c r="L1816" s="10">
        <v>1</v>
      </c>
      <c r="M1816" s="10">
        <v>1</v>
      </c>
    </row>
    <row r="1817" spans="1:13">
      <c r="A1817" s="8">
        <v>43356</v>
      </c>
      <c r="B1817" s="9">
        <v>0.54513888888888895</v>
      </c>
      <c r="C1817" s="10" t="str">
        <f>"FES1162647201"</f>
        <v>FES1162647201</v>
      </c>
      <c r="D1817" s="10" t="s">
        <v>19</v>
      </c>
      <c r="E1817" s="10" t="s">
        <v>612</v>
      </c>
      <c r="F1817" s="10" t="str">
        <f>"2170650179 "</f>
        <v xml:space="preserve">2170650179 </v>
      </c>
      <c r="G1817" s="10" t="str">
        <f t="shared" si="45"/>
        <v>ON1</v>
      </c>
      <c r="H1817" s="10" t="s">
        <v>21</v>
      </c>
      <c r="I1817" s="10" t="s">
        <v>613</v>
      </c>
      <c r="J1817" s="10" t="str">
        <f>""</f>
        <v/>
      </c>
      <c r="K1817" s="10" t="str">
        <f>"PFES1162647201_0001"</f>
        <v>PFES1162647201_0001</v>
      </c>
      <c r="L1817" s="10">
        <v>1</v>
      </c>
      <c r="M1817" s="10">
        <v>1</v>
      </c>
    </row>
    <row r="1818" spans="1:13">
      <c r="A1818" s="8">
        <v>43356</v>
      </c>
      <c r="B1818" s="9">
        <v>0.54513888888888895</v>
      </c>
      <c r="C1818" s="10" t="str">
        <f>"FES1162647013"</f>
        <v>FES1162647013</v>
      </c>
      <c r="D1818" s="10" t="s">
        <v>19</v>
      </c>
      <c r="E1818" s="10" t="s">
        <v>422</v>
      </c>
      <c r="F1818" s="10" t="str">
        <f>"2170649837 "</f>
        <v xml:space="preserve">2170649837 </v>
      </c>
      <c r="G1818" s="10" t="str">
        <f t="shared" si="45"/>
        <v>ON1</v>
      </c>
      <c r="H1818" s="10" t="s">
        <v>21</v>
      </c>
      <c r="I1818" s="10" t="s">
        <v>42</v>
      </c>
      <c r="J1818" s="10" t="str">
        <f>""</f>
        <v/>
      </c>
      <c r="K1818" s="10" t="str">
        <f>"PFES1162647013_0001"</f>
        <v>PFES1162647013_0001</v>
      </c>
      <c r="L1818" s="10">
        <v>1</v>
      </c>
      <c r="M1818" s="10">
        <v>1</v>
      </c>
    </row>
    <row r="1819" spans="1:13">
      <c r="A1819" s="8">
        <v>43356</v>
      </c>
      <c r="B1819" s="9">
        <v>0.5444444444444444</v>
      </c>
      <c r="C1819" s="10" t="str">
        <f>"FES1162647048"</f>
        <v>FES1162647048</v>
      </c>
      <c r="D1819" s="10" t="s">
        <v>19</v>
      </c>
      <c r="E1819" s="10" t="s">
        <v>872</v>
      </c>
      <c r="F1819" s="10" t="str">
        <f>"2170650492 "</f>
        <v xml:space="preserve">2170650492 </v>
      </c>
      <c r="G1819" s="10" t="str">
        <f t="shared" si="45"/>
        <v>ON1</v>
      </c>
      <c r="H1819" s="10" t="s">
        <v>21</v>
      </c>
      <c r="I1819" s="10" t="s">
        <v>42</v>
      </c>
      <c r="J1819" s="10" t="str">
        <f>""</f>
        <v/>
      </c>
      <c r="K1819" s="10" t="str">
        <f>"PFES1162647048_0001"</f>
        <v>PFES1162647048_0001</v>
      </c>
      <c r="L1819" s="10">
        <v>1</v>
      </c>
      <c r="M1819" s="10">
        <v>1</v>
      </c>
    </row>
    <row r="1820" spans="1:13">
      <c r="A1820" s="8">
        <v>43356</v>
      </c>
      <c r="B1820" s="9">
        <v>0.5444444444444444</v>
      </c>
      <c r="C1820" s="10" t="str">
        <f>"FES1162647196"</f>
        <v>FES1162647196</v>
      </c>
      <c r="D1820" s="10" t="s">
        <v>19</v>
      </c>
      <c r="E1820" s="10" t="s">
        <v>549</v>
      </c>
      <c r="F1820" s="10" t="str">
        <f>"21706549641 "</f>
        <v xml:space="preserve">21706549641 </v>
      </c>
      <c r="G1820" s="10" t="str">
        <f t="shared" si="45"/>
        <v>ON1</v>
      </c>
      <c r="H1820" s="10" t="s">
        <v>21</v>
      </c>
      <c r="I1820" s="10" t="s">
        <v>283</v>
      </c>
      <c r="J1820" s="10" t="str">
        <f>""</f>
        <v/>
      </c>
      <c r="K1820" s="10" t="str">
        <f>"PFES1162647196_0001"</f>
        <v>PFES1162647196_0001</v>
      </c>
      <c r="L1820" s="10">
        <v>1</v>
      </c>
      <c r="M1820" s="10">
        <v>1</v>
      </c>
    </row>
    <row r="1821" spans="1:13">
      <c r="A1821" s="8">
        <v>43356</v>
      </c>
      <c r="B1821" s="9">
        <v>0.54375000000000007</v>
      </c>
      <c r="C1821" s="10" t="str">
        <f>"FES1162647075"</f>
        <v>FES1162647075</v>
      </c>
      <c r="D1821" s="10" t="s">
        <v>19</v>
      </c>
      <c r="E1821" s="10" t="s">
        <v>659</v>
      </c>
      <c r="F1821" s="10" t="str">
        <f>"2170651650 "</f>
        <v xml:space="preserve">2170651650 </v>
      </c>
      <c r="G1821" s="10" t="str">
        <f t="shared" si="45"/>
        <v>ON1</v>
      </c>
      <c r="H1821" s="10" t="s">
        <v>21</v>
      </c>
      <c r="I1821" s="10" t="s">
        <v>42</v>
      </c>
      <c r="J1821" s="10" t="str">
        <f>""</f>
        <v/>
      </c>
      <c r="K1821" s="10" t="str">
        <f>"PFES1162647075_0001"</f>
        <v>PFES1162647075_0001</v>
      </c>
      <c r="L1821" s="10">
        <v>1</v>
      </c>
      <c r="M1821" s="10">
        <v>1</v>
      </c>
    </row>
    <row r="1822" spans="1:13">
      <c r="A1822" s="8">
        <v>43356</v>
      </c>
      <c r="B1822" s="9">
        <v>0.54375000000000007</v>
      </c>
      <c r="C1822" s="10" t="str">
        <f>"FES1162647053"</f>
        <v>FES1162647053</v>
      </c>
      <c r="D1822" s="10" t="s">
        <v>19</v>
      </c>
      <c r="E1822" s="10" t="s">
        <v>67</v>
      </c>
      <c r="F1822" s="10" t="str">
        <f>"2170650825 "</f>
        <v xml:space="preserve">2170650825 </v>
      </c>
      <c r="G1822" s="10" t="str">
        <f t="shared" si="45"/>
        <v>ON1</v>
      </c>
      <c r="H1822" s="10" t="s">
        <v>21</v>
      </c>
      <c r="I1822" s="10" t="s">
        <v>68</v>
      </c>
      <c r="J1822" s="10" t="str">
        <f>""</f>
        <v/>
      </c>
      <c r="K1822" s="10" t="str">
        <f>"PFES1162647053_0001"</f>
        <v>PFES1162647053_0001</v>
      </c>
      <c r="L1822" s="10">
        <v>1</v>
      </c>
      <c r="M1822" s="10">
        <v>1</v>
      </c>
    </row>
    <row r="1823" spans="1:13">
      <c r="A1823" s="8">
        <v>43356</v>
      </c>
      <c r="B1823" s="9">
        <v>0.54375000000000007</v>
      </c>
      <c r="C1823" s="10" t="str">
        <f>"FES1162647052"</f>
        <v>FES1162647052</v>
      </c>
      <c r="D1823" s="10" t="s">
        <v>19</v>
      </c>
      <c r="E1823" s="10" t="s">
        <v>610</v>
      </c>
      <c r="F1823" s="10" t="str">
        <f>"2170650629 "</f>
        <v xml:space="preserve">2170650629 </v>
      </c>
      <c r="G1823" s="10" t="str">
        <f t="shared" si="45"/>
        <v>ON1</v>
      </c>
      <c r="H1823" s="10" t="s">
        <v>21</v>
      </c>
      <c r="I1823" s="10" t="s">
        <v>460</v>
      </c>
      <c r="J1823" s="10" t="str">
        <f>""</f>
        <v/>
      </c>
      <c r="K1823" s="10" t="str">
        <f>"PFES1162647052_0001"</f>
        <v>PFES1162647052_0001</v>
      </c>
      <c r="L1823" s="10">
        <v>1</v>
      </c>
      <c r="M1823" s="10">
        <v>1</v>
      </c>
    </row>
    <row r="1824" spans="1:13">
      <c r="A1824" s="8">
        <v>43356</v>
      </c>
      <c r="B1824" s="9">
        <v>0.54305555555555551</v>
      </c>
      <c r="C1824" s="10" t="str">
        <f>"FES1162647050"</f>
        <v>FES1162647050</v>
      </c>
      <c r="D1824" s="10" t="s">
        <v>19</v>
      </c>
      <c r="E1824" s="10" t="s">
        <v>295</v>
      </c>
      <c r="F1824" s="10" t="str">
        <f>"2170650531 "</f>
        <v xml:space="preserve">2170650531 </v>
      </c>
      <c r="G1824" s="10" t="str">
        <f t="shared" si="45"/>
        <v>ON1</v>
      </c>
      <c r="H1824" s="10" t="s">
        <v>21</v>
      </c>
      <c r="I1824" s="10" t="s">
        <v>42</v>
      </c>
      <c r="J1824" s="10" t="str">
        <f>""</f>
        <v/>
      </c>
      <c r="K1824" s="10" t="str">
        <f>"PFES1162647050_0001"</f>
        <v>PFES1162647050_0001</v>
      </c>
      <c r="L1824" s="10">
        <v>1</v>
      </c>
      <c r="M1824" s="10">
        <v>1</v>
      </c>
    </row>
    <row r="1825" spans="1:13">
      <c r="A1825" s="8">
        <v>43356</v>
      </c>
      <c r="B1825" s="9">
        <v>0.54305555555555551</v>
      </c>
      <c r="C1825" s="10" t="str">
        <f>"FES1162646995"</f>
        <v>FES1162646995</v>
      </c>
      <c r="D1825" s="10" t="s">
        <v>19</v>
      </c>
      <c r="E1825" s="10" t="s">
        <v>67</v>
      </c>
      <c r="F1825" s="10" t="str">
        <f>"2170649167 "</f>
        <v xml:space="preserve">2170649167 </v>
      </c>
      <c r="G1825" s="10" t="str">
        <f t="shared" si="45"/>
        <v>ON1</v>
      </c>
      <c r="H1825" s="10" t="s">
        <v>21</v>
      </c>
      <c r="I1825" s="10" t="s">
        <v>68</v>
      </c>
      <c r="J1825" s="10" t="str">
        <f>""</f>
        <v/>
      </c>
      <c r="K1825" s="10" t="str">
        <f>"PFES1162646995_0001"</f>
        <v>PFES1162646995_0001</v>
      </c>
      <c r="L1825" s="10">
        <v>1</v>
      </c>
      <c r="M1825" s="10">
        <v>1</v>
      </c>
    </row>
    <row r="1826" spans="1:13">
      <c r="A1826" s="8">
        <v>43356</v>
      </c>
      <c r="B1826" s="9">
        <v>0.54236111111111118</v>
      </c>
      <c r="C1826" s="10" t="str">
        <f>"FES1162647026"</f>
        <v>FES1162647026</v>
      </c>
      <c r="D1826" s="10" t="s">
        <v>19</v>
      </c>
      <c r="E1826" s="10" t="s">
        <v>65</v>
      </c>
      <c r="F1826" s="10" t="str">
        <f>"2170649928 "</f>
        <v xml:space="preserve">2170649928 </v>
      </c>
      <c r="G1826" s="10" t="str">
        <f t="shared" si="45"/>
        <v>ON1</v>
      </c>
      <c r="H1826" s="10" t="s">
        <v>21</v>
      </c>
      <c r="I1826" s="10" t="s">
        <v>66</v>
      </c>
      <c r="J1826" s="10" t="str">
        <f>""</f>
        <v/>
      </c>
      <c r="K1826" s="10" t="str">
        <f>"PFES1162647026_0001"</f>
        <v>PFES1162647026_0001</v>
      </c>
      <c r="L1826" s="10">
        <v>1</v>
      </c>
      <c r="M1826" s="10">
        <v>1</v>
      </c>
    </row>
    <row r="1827" spans="1:13">
      <c r="A1827" s="8">
        <v>43356</v>
      </c>
      <c r="B1827" s="9">
        <v>0.54236111111111118</v>
      </c>
      <c r="C1827" s="10" t="str">
        <f>"FES1162647047"</f>
        <v>FES1162647047</v>
      </c>
      <c r="D1827" s="10" t="s">
        <v>19</v>
      </c>
      <c r="E1827" s="10" t="s">
        <v>873</v>
      </c>
      <c r="F1827" s="10" t="str">
        <f>"2170650485 "</f>
        <v xml:space="preserve">2170650485 </v>
      </c>
      <c r="G1827" s="10" t="str">
        <f t="shared" si="45"/>
        <v>ON1</v>
      </c>
      <c r="H1827" s="10" t="s">
        <v>21</v>
      </c>
      <c r="I1827" s="10" t="s">
        <v>66</v>
      </c>
      <c r="J1827" s="10" t="str">
        <f>""</f>
        <v/>
      </c>
      <c r="K1827" s="10" t="str">
        <f>"PFES1162647047_0001"</f>
        <v>PFES1162647047_0001</v>
      </c>
      <c r="L1827" s="10">
        <v>1</v>
      </c>
      <c r="M1827" s="10">
        <v>1</v>
      </c>
    </row>
    <row r="1828" spans="1:13">
      <c r="A1828" s="8">
        <v>43356</v>
      </c>
      <c r="B1828" s="9">
        <v>0.54166666666666663</v>
      </c>
      <c r="C1828" s="10" t="str">
        <f>"FES1162647217"</f>
        <v>FES1162647217</v>
      </c>
      <c r="D1828" s="10" t="s">
        <v>19</v>
      </c>
      <c r="E1828" s="10" t="s">
        <v>874</v>
      </c>
      <c r="F1828" s="10" t="str">
        <f>"2170651743 "</f>
        <v xml:space="preserve">2170651743 </v>
      </c>
      <c r="G1828" s="10" t="str">
        <f t="shared" si="45"/>
        <v>ON1</v>
      </c>
      <c r="H1828" s="10" t="s">
        <v>21</v>
      </c>
      <c r="I1828" s="10" t="s">
        <v>472</v>
      </c>
      <c r="J1828" s="10" t="str">
        <f>""</f>
        <v/>
      </c>
      <c r="K1828" s="10" t="str">
        <f>"PFES1162647217_0001"</f>
        <v>PFES1162647217_0001</v>
      </c>
      <c r="L1828" s="10">
        <v>1</v>
      </c>
      <c r="M1828" s="10">
        <v>1</v>
      </c>
    </row>
    <row r="1829" spans="1:13">
      <c r="A1829" s="8">
        <v>43356</v>
      </c>
      <c r="B1829" s="9">
        <v>0.54166666666666663</v>
      </c>
      <c r="C1829" s="10" t="str">
        <f>"FES1162647234"</f>
        <v>FES1162647234</v>
      </c>
      <c r="D1829" s="10" t="s">
        <v>19</v>
      </c>
      <c r="E1829" s="10" t="s">
        <v>162</v>
      </c>
      <c r="F1829" s="10" t="str">
        <f>"2170651752 "</f>
        <v xml:space="preserve">2170651752 </v>
      </c>
      <c r="G1829" s="10" t="str">
        <f t="shared" si="45"/>
        <v>ON1</v>
      </c>
      <c r="H1829" s="10" t="s">
        <v>21</v>
      </c>
      <c r="I1829" s="10" t="s">
        <v>30</v>
      </c>
      <c r="J1829" s="10" t="str">
        <f>""</f>
        <v/>
      </c>
      <c r="K1829" s="10" t="str">
        <f>"PFES1162647234_0001"</f>
        <v>PFES1162647234_0001</v>
      </c>
      <c r="L1829" s="10">
        <v>1</v>
      </c>
      <c r="M1829" s="10">
        <v>1</v>
      </c>
    </row>
    <row r="1830" spans="1:13">
      <c r="A1830" s="8">
        <v>43356</v>
      </c>
      <c r="B1830" s="9">
        <v>0.52777777777777779</v>
      </c>
      <c r="C1830" s="10" t="str">
        <f>"FES1162647135"</f>
        <v>FES1162647135</v>
      </c>
      <c r="D1830" s="10" t="s">
        <v>19</v>
      </c>
      <c r="E1830" s="10" t="s">
        <v>29</v>
      </c>
      <c r="F1830" s="10" t="str">
        <f>"2170649511 "</f>
        <v xml:space="preserve">2170649511 </v>
      </c>
      <c r="G1830" s="10" t="str">
        <f t="shared" si="45"/>
        <v>ON1</v>
      </c>
      <c r="H1830" s="10" t="s">
        <v>21</v>
      </c>
      <c r="I1830" s="10" t="s">
        <v>30</v>
      </c>
      <c r="J1830" s="10" t="str">
        <f>""</f>
        <v/>
      </c>
      <c r="K1830" s="10" t="str">
        <f>"PFES1162647135_0001"</f>
        <v>PFES1162647135_0001</v>
      </c>
      <c r="L1830" s="10">
        <v>1</v>
      </c>
      <c r="M1830" s="10">
        <v>1</v>
      </c>
    </row>
    <row r="1831" spans="1:13">
      <c r="A1831" s="8">
        <v>43356</v>
      </c>
      <c r="B1831" s="9">
        <v>0.52777777777777779</v>
      </c>
      <c r="C1831" s="10" t="str">
        <f>"FES1162647188"</f>
        <v>FES1162647188</v>
      </c>
      <c r="D1831" s="10" t="s">
        <v>19</v>
      </c>
      <c r="E1831" s="10" t="s">
        <v>291</v>
      </c>
      <c r="F1831" s="10" t="str">
        <f>"2170649136 "</f>
        <v xml:space="preserve">2170649136 </v>
      </c>
      <c r="G1831" s="10" t="str">
        <f t="shared" si="45"/>
        <v>ON1</v>
      </c>
      <c r="H1831" s="10" t="s">
        <v>21</v>
      </c>
      <c r="I1831" s="10" t="s">
        <v>97</v>
      </c>
      <c r="J1831" s="10" t="str">
        <f>""</f>
        <v/>
      </c>
      <c r="K1831" s="10" t="str">
        <f>"PFES1162647188_0001"</f>
        <v>PFES1162647188_0001</v>
      </c>
      <c r="L1831" s="10">
        <v>1</v>
      </c>
      <c r="M1831" s="10">
        <v>1</v>
      </c>
    </row>
    <row r="1832" spans="1:13">
      <c r="A1832" s="8">
        <v>43356</v>
      </c>
      <c r="B1832" s="9">
        <v>0.52708333333333335</v>
      </c>
      <c r="C1832" s="10" t="str">
        <f>"FES1162647192"</f>
        <v>FES1162647192</v>
      </c>
      <c r="D1832" s="10" t="s">
        <v>19</v>
      </c>
      <c r="E1832" s="10" t="s">
        <v>604</v>
      </c>
      <c r="F1832" s="10" t="str">
        <f>"2170649512 "</f>
        <v xml:space="preserve">2170649512 </v>
      </c>
      <c r="G1832" s="10" t="str">
        <f t="shared" si="45"/>
        <v>ON1</v>
      </c>
      <c r="H1832" s="10" t="s">
        <v>21</v>
      </c>
      <c r="I1832" s="10" t="s">
        <v>486</v>
      </c>
      <c r="J1832" s="10" t="str">
        <f>""</f>
        <v/>
      </c>
      <c r="K1832" s="10" t="str">
        <f>"PFES1162647192_0001"</f>
        <v>PFES1162647192_0001</v>
      </c>
      <c r="L1832" s="10">
        <v>1</v>
      </c>
      <c r="M1832" s="10">
        <v>1</v>
      </c>
    </row>
    <row r="1833" spans="1:13">
      <c r="A1833" s="8">
        <v>43356</v>
      </c>
      <c r="B1833" s="9">
        <v>0.52708333333333335</v>
      </c>
      <c r="C1833" s="10" t="str">
        <f>"FES1162646992"</f>
        <v>FES1162646992</v>
      </c>
      <c r="D1833" s="10" t="s">
        <v>19</v>
      </c>
      <c r="E1833" s="10" t="s">
        <v>447</v>
      </c>
      <c r="F1833" s="10" t="str">
        <f>"2170648499 "</f>
        <v xml:space="preserve">2170648499 </v>
      </c>
      <c r="G1833" s="10" t="str">
        <f t="shared" si="45"/>
        <v>ON1</v>
      </c>
      <c r="H1833" s="10" t="s">
        <v>21</v>
      </c>
      <c r="I1833" s="10" t="s">
        <v>448</v>
      </c>
      <c r="J1833" s="10" t="str">
        <f>""</f>
        <v/>
      </c>
      <c r="K1833" s="10" t="str">
        <f>"PFES1162646992_0001"</f>
        <v>PFES1162646992_0001</v>
      </c>
      <c r="L1833" s="10">
        <v>1</v>
      </c>
      <c r="M1833" s="10">
        <v>1</v>
      </c>
    </row>
    <row r="1834" spans="1:13">
      <c r="A1834" s="8">
        <v>43356</v>
      </c>
      <c r="B1834" s="9">
        <v>0.52638888888888891</v>
      </c>
      <c r="C1834" s="10" t="str">
        <f>"FES1162647153"</f>
        <v>FES1162647153</v>
      </c>
      <c r="D1834" s="10" t="s">
        <v>19</v>
      </c>
      <c r="E1834" s="10" t="s">
        <v>58</v>
      </c>
      <c r="F1834" s="10" t="str">
        <f>"2170650028 "</f>
        <v xml:space="preserve">2170650028 </v>
      </c>
      <c r="G1834" s="10" t="str">
        <f t="shared" si="45"/>
        <v>ON1</v>
      </c>
      <c r="H1834" s="10" t="s">
        <v>21</v>
      </c>
      <c r="I1834" s="10" t="s">
        <v>30</v>
      </c>
      <c r="J1834" s="10" t="str">
        <f>""</f>
        <v/>
      </c>
      <c r="K1834" s="10" t="str">
        <f>"PFES1162647153_0001"</f>
        <v>PFES1162647153_0001</v>
      </c>
      <c r="L1834" s="10">
        <v>1</v>
      </c>
      <c r="M1834" s="10">
        <v>1</v>
      </c>
    </row>
    <row r="1835" spans="1:13">
      <c r="A1835" s="8">
        <v>43356</v>
      </c>
      <c r="B1835" s="9">
        <v>0.52638888888888891</v>
      </c>
      <c r="C1835" s="10" t="str">
        <f>"FES1162647025"</f>
        <v>FES1162647025</v>
      </c>
      <c r="D1835" s="10" t="s">
        <v>19</v>
      </c>
      <c r="E1835" s="10" t="s">
        <v>39</v>
      </c>
      <c r="F1835" s="10" t="str">
        <f>"2170649927 "</f>
        <v xml:space="preserve">2170649927 </v>
      </c>
      <c r="G1835" s="10" t="str">
        <f t="shared" si="45"/>
        <v>ON1</v>
      </c>
      <c r="H1835" s="10" t="s">
        <v>21</v>
      </c>
      <c r="I1835" s="10" t="s">
        <v>40</v>
      </c>
      <c r="J1835" s="10" t="str">
        <f>""</f>
        <v/>
      </c>
      <c r="K1835" s="10" t="str">
        <f>"PFES1162647025_0001"</f>
        <v>PFES1162647025_0001</v>
      </c>
      <c r="L1835" s="10">
        <v>1</v>
      </c>
      <c r="M1835" s="10">
        <v>1</v>
      </c>
    </row>
    <row r="1836" spans="1:13">
      <c r="A1836" s="8">
        <v>43356</v>
      </c>
      <c r="B1836" s="9">
        <v>0.52569444444444446</v>
      </c>
      <c r="C1836" s="10" t="str">
        <f>"FES1162647028"</f>
        <v>FES1162647028</v>
      </c>
      <c r="D1836" s="10" t="s">
        <v>19</v>
      </c>
      <c r="E1836" s="10" t="s">
        <v>58</v>
      </c>
      <c r="F1836" s="10" t="str">
        <f>"2170649952 "</f>
        <v xml:space="preserve">2170649952 </v>
      </c>
      <c r="G1836" s="10" t="str">
        <f t="shared" si="45"/>
        <v>ON1</v>
      </c>
      <c r="H1836" s="10" t="s">
        <v>21</v>
      </c>
      <c r="I1836" s="10" t="s">
        <v>30</v>
      </c>
      <c r="J1836" s="10" t="str">
        <f>""</f>
        <v/>
      </c>
      <c r="K1836" s="10" t="str">
        <f>"PFES1162647028_0001"</f>
        <v>PFES1162647028_0001</v>
      </c>
      <c r="L1836" s="10">
        <v>1</v>
      </c>
      <c r="M1836" s="10">
        <v>1</v>
      </c>
    </row>
    <row r="1837" spans="1:13">
      <c r="A1837" s="8">
        <v>43356</v>
      </c>
      <c r="B1837" s="9">
        <v>0.52569444444444446</v>
      </c>
      <c r="C1837" s="10" t="str">
        <f>"FES1162647137"</f>
        <v>FES1162647137</v>
      </c>
      <c r="D1837" s="10" t="s">
        <v>19</v>
      </c>
      <c r="E1837" s="10" t="s">
        <v>111</v>
      </c>
      <c r="F1837" s="10" t="str">
        <f>"217069521 "</f>
        <v xml:space="preserve">217069521 </v>
      </c>
      <c r="G1837" s="10" t="str">
        <f t="shared" si="45"/>
        <v>ON1</v>
      </c>
      <c r="H1837" s="10" t="s">
        <v>21</v>
      </c>
      <c r="I1837" s="10" t="s">
        <v>410</v>
      </c>
      <c r="J1837" s="10" t="str">
        <f>""</f>
        <v/>
      </c>
      <c r="K1837" s="10" t="str">
        <f>"PFES1162647137_0001"</f>
        <v>PFES1162647137_0001</v>
      </c>
      <c r="L1837" s="10">
        <v>1</v>
      </c>
      <c r="M1837" s="10">
        <v>1</v>
      </c>
    </row>
    <row r="1838" spans="1:13">
      <c r="A1838" s="8">
        <v>43356</v>
      </c>
      <c r="B1838" s="9">
        <v>0.52500000000000002</v>
      </c>
      <c r="C1838" s="10" t="str">
        <f>"FES1162647150"</f>
        <v>FES1162647150</v>
      </c>
      <c r="D1838" s="10" t="s">
        <v>19</v>
      </c>
      <c r="E1838" s="10" t="s">
        <v>172</v>
      </c>
      <c r="F1838" s="10" t="str">
        <f>"2170649694 "</f>
        <v xml:space="preserve">2170649694 </v>
      </c>
      <c r="G1838" s="10" t="str">
        <f t="shared" si="45"/>
        <v>ON1</v>
      </c>
      <c r="H1838" s="10" t="s">
        <v>21</v>
      </c>
      <c r="I1838" s="10" t="s">
        <v>105</v>
      </c>
      <c r="J1838" s="10" t="str">
        <f>""</f>
        <v/>
      </c>
      <c r="K1838" s="10" t="str">
        <f>"PFES1162647150_0001"</f>
        <v>PFES1162647150_0001</v>
      </c>
      <c r="L1838" s="10">
        <v>1</v>
      </c>
      <c r="M1838" s="10">
        <v>1</v>
      </c>
    </row>
    <row r="1839" spans="1:13">
      <c r="A1839" s="8">
        <v>43356</v>
      </c>
      <c r="B1839" s="9">
        <v>0.52500000000000002</v>
      </c>
      <c r="C1839" s="10" t="str">
        <f>"FES1162646989"</f>
        <v>FES1162646989</v>
      </c>
      <c r="D1839" s="10" t="s">
        <v>19</v>
      </c>
      <c r="E1839" s="10" t="s">
        <v>875</v>
      </c>
      <c r="F1839" s="10" t="str">
        <f>"2170644775 "</f>
        <v xml:space="preserve">2170644775 </v>
      </c>
      <c r="G1839" s="10" t="str">
        <f t="shared" si="45"/>
        <v>ON1</v>
      </c>
      <c r="H1839" s="10" t="s">
        <v>21</v>
      </c>
      <c r="I1839" s="10" t="s">
        <v>143</v>
      </c>
      <c r="J1839" s="10" t="str">
        <f>""</f>
        <v/>
      </c>
      <c r="K1839" s="10" t="str">
        <f>"PFES1162646989_0001"</f>
        <v>PFES1162646989_0001</v>
      </c>
      <c r="L1839" s="10">
        <v>1</v>
      </c>
      <c r="M1839" s="10">
        <v>1</v>
      </c>
    </row>
    <row r="1840" spans="1:13">
      <c r="A1840" s="8">
        <v>43356</v>
      </c>
      <c r="B1840" s="9">
        <v>0.52430555555555558</v>
      </c>
      <c r="C1840" s="10" t="str">
        <f>"FES1162647149"</f>
        <v>FES1162647149</v>
      </c>
      <c r="D1840" s="10" t="s">
        <v>19</v>
      </c>
      <c r="E1840" s="10" t="s">
        <v>39</v>
      </c>
      <c r="F1840" s="10" t="str">
        <f>"217064988686 "</f>
        <v xml:space="preserve">217064988686 </v>
      </c>
      <c r="G1840" s="10" t="str">
        <f t="shared" si="45"/>
        <v>ON1</v>
      </c>
      <c r="H1840" s="10" t="s">
        <v>21</v>
      </c>
      <c r="I1840" s="10" t="s">
        <v>40</v>
      </c>
      <c r="J1840" s="10" t="str">
        <f>""</f>
        <v/>
      </c>
      <c r="K1840" s="10" t="str">
        <f>"PFES1162647149_0001"</f>
        <v>PFES1162647149_0001</v>
      </c>
      <c r="L1840" s="10">
        <v>1</v>
      </c>
      <c r="M1840" s="10">
        <v>1</v>
      </c>
    </row>
    <row r="1841" spans="1:13">
      <c r="A1841" s="8">
        <v>43356</v>
      </c>
      <c r="B1841" s="9">
        <v>0.52430555555555558</v>
      </c>
      <c r="C1841" s="10" t="str">
        <f>"FES1162647021"</f>
        <v>FES1162647021</v>
      </c>
      <c r="D1841" s="10" t="s">
        <v>19</v>
      </c>
      <c r="E1841" s="10" t="s">
        <v>332</v>
      </c>
      <c r="F1841" s="10" t="str">
        <f>"21706659886 "</f>
        <v xml:space="preserve">21706659886 </v>
      </c>
      <c r="G1841" s="10" t="str">
        <f t="shared" si="45"/>
        <v>ON1</v>
      </c>
      <c r="H1841" s="10" t="s">
        <v>21</v>
      </c>
      <c r="I1841" s="10" t="s">
        <v>333</v>
      </c>
      <c r="J1841" s="10" t="str">
        <f>""</f>
        <v/>
      </c>
      <c r="K1841" s="10" t="str">
        <f>"PFES1162647021_0001"</f>
        <v>PFES1162647021_0001</v>
      </c>
      <c r="L1841" s="10">
        <v>1</v>
      </c>
      <c r="M1841" s="10">
        <v>1</v>
      </c>
    </row>
    <row r="1842" spans="1:13">
      <c r="A1842" s="8">
        <v>43356</v>
      </c>
      <c r="B1842" s="9">
        <v>0.52361111111111114</v>
      </c>
      <c r="C1842" s="10" t="str">
        <f>"FES1162647119"</f>
        <v>FES1162647119</v>
      </c>
      <c r="D1842" s="10" t="s">
        <v>19</v>
      </c>
      <c r="E1842" s="10" t="s">
        <v>415</v>
      </c>
      <c r="F1842" s="10" t="str">
        <f>"2170651690 "</f>
        <v xml:space="preserve">2170651690 </v>
      </c>
      <c r="G1842" s="10" t="str">
        <f t="shared" si="45"/>
        <v>ON1</v>
      </c>
      <c r="H1842" s="10" t="s">
        <v>21</v>
      </c>
      <c r="I1842" s="10" t="s">
        <v>416</v>
      </c>
      <c r="J1842" s="10" t="str">
        <f>""</f>
        <v/>
      </c>
      <c r="K1842" s="10" t="str">
        <f>"PFES1162647119_0001"</f>
        <v>PFES1162647119_0001</v>
      </c>
      <c r="L1842" s="10">
        <v>1</v>
      </c>
      <c r="M1842" s="10">
        <v>1</v>
      </c>
    </row>
    <row r="1843" spans="1:13">
      <c r="A1843" s="8">
        <v>43356</v>
      </c>
      <c r="B1843" s="9">
        <v>0.52361111111111114</v>
      </c>
      <c r="C1843" s="10" t="str">
        <f>"FES1162647077"</f>
        <v>FES1162647077</v>
      </c>
      <c r="D1843" s="10" t="s">
        <v>19</v>
      </c>
      <c r="E1843" s="10" t="s">
        <v>876</v>
      </c>
      <c r="F1843" s="10" t="str">
        <f>"2170651652 "</f>
        <v xml:space="preserve">2170651652 </v>
      </c>
      <c r="G1843" s="10" t="str">
        <f t="shared" si="45"/>
        <v>ON1</v>
      </c>
      <c r="H1843" s="10" t="s">
        <v>21</v>
      </c>
      <c r="I1843" s="10" t="s">
        <v>393</v>
      </c>
      <c r="J1843" s="10" t="str">
        <f>""</f>
        <v/>
      </c>
      <c r="K1843" s="10" t="str">
        <f>"PFES1162647077_0001"</f>
        <v>PFES1162647077_0001</v>
      </c>
      <c r="L1843" s="10">
        <v>1</v>
      </c>
      <c r="M1843" s="10">
        <v>1</v>
      </c>
    </row>
    <row r="1844" spans="1:13">
      <c r="A1844" s="8">
        <v>43356</v>
      </c>
      <c r="B1844" s="9">
        <v>0.5229166666666667</v>
      </c>
      <c r="C1844" s="10" t="str">
        <f>"FES1162647063"</f>
        <v>FES1162647063</v>
      </c>
      <c r="D1844" s="10" t="s">
        <v>19</v>
      </c>
      <c r="E1844" s="10" t="s">
        <v>223</v>
      </c>
      <c r="F1844" s="10" t="str">
        <f>"2170651444 "</f>
        <v xml:space="preserve">2170651444 </v>
      </c>
      <c r="G1844" s="10" t="str">
        <f t="shared" si="45"/>
        <v>ON1</v>
      </c>
      <c r="H1844" s="10" t="s">
        <v>21</v>
      </c>
      <c r="I1844" s="10" t="s">
        <v>211</v>
      </c>
      <c r="J1844" s="10" t="str">
        <f>""</f>
        <v/>
      </c>
      <c r="K1844" s="10" t="str">
        <f>"PFES1162647063_0001"</f>
        <v>PFES1162647063_0001</v>
      </c>
      <c r="L1844" s="10">
        <v>1</v>
      </c>
      <c r="M1844" s="10">
        <v>1</v>
      </c>
    </row>
    <row r="1845" spans="1:13">
      <c r="A1845" s="8">
        <v>43356</v>
      </c>
      <c r="B1845" s="9">
        <v>0.52222222222222225</v>
      </c>
      <c r="C1845" s="10" t="str">
        <f>"FES1162647058"</f>
        <v>FES1162647058</v>
      </c>
      <c r="D1845" s="10" t="s">
        <v>19</v>
      </c>
      <c r="E1845" s="10" t="s">
        <v>359</v>
      </c>
      <c r="F1845" s="10" t="str">
        <f>"2170651194 "</f>
        <v xml:space="preserve">2170651194 </v>
      </c>
      <c r="G1845" s="10" t="str">
        <f t="shared" si="45"/>
        <v>ON1</v>
      </c>
      <c r="H1845" s="10" t="s">
        <v>21</v>
      </c>
      <c r="I1845" s="10" t="s">
        <v>87</v>
      </c>
      <c r="J1845" s="10" t="str">
        <f>""</f>
        <v/>
      </c>
      <c r="K1845" s="10" t="str">
        <f>"PFES1162647058_0001"</f>
        <v>PFES1162647058_0001</v>
      </c>
      <c r="L1845" s="10">
        <v>1</v>
      </c>
      <c r="M1845" s="10">
        <v>1</v>
      </c>
    </row>
    <row r="1846" spans="1:13">
      <c r="A1846" s="8">
        <v>43356</v>
      </c>
      <c r="B1846" s="9">
        <v>0.52222222222222225</v>
      </c>
      <c r="C1846" s="10" t="str">
        <f>"FES1162647061"</f>
        <v>FES1162647061</v>
      </c>
      <c r="D1846" s="10" t="s">
        <v>19</v>
      </c>
      <c r="E1846" s="10" t="s">
        <v>141</v>
      </c>
      <c r="F1846" s="10" t="str">
        <f>"2170651426 "</f>
        <v xml:space="preserve">2170651426 </v>
      </c>
      <c r="G1846" s="10" t="str">
        <f t="shared" si="45"/>
        <v>ON1</v>
      </c>
      <c r="H1846" s="10" t="s">
        <v>21</v>
      </c>
      <c r="I1846" s="10" t="s">
        <v>91</v>
      </c>
      <c r="J1846" s="10" t="str">
        <f>""</f>
        <v/>
      </c>
      <c r="K1846" s="10" t="str">
        <f>"PFES1162647061_0001"</f>
        <v>PFES1162647061_0001</v>
      </c>
      <c r="L1846" s="10">
        <v>1</v>
      </c>
      <c r="M1846" s="10">
        <v>1</v>
      </c>
    </row>
    <row r="1847" spans="1:13">
      <c r="A1847" s="8">
        <v>43356</v>
      </c>
      <c r="B1847" s="9">
        <v>0.52222222222222225</v>
      </c>
      <c r="C1847" s="10" t="str">
        <f>"FES1162647197"</f>
        <v>FES1162647197</v>
      </c>
      <c r="D1847" s="10" t="s">
        <v>19</v>
      </c>
      <c r="E1847" s="10" t="s">
        <v>232</v>
      </c>
      <c r="F1847" s="10" t="str">
        <f>"2170649665 "</f>
        <v xml:space="preserve">2170649665 </v>
      </c>
      <c r="G1847" s="10" t="str">
        <f t="shared" si="45"/>
        <v>ON1</v>
      </c>
      <c r="H1847" s="10" t="s">
        <v>21</v>
      </c>
      <c r="I1847" s="10" t="s">
        <v>233</v>
      </c>
      <c r="J1847" s="10" t="str">
        <f>""</f>
        <v/>
      </c>
      <c r="K1847" s="10" t="str">
        <f>"PFES1162647197_0001"</f>
        <v>PFES1162647197_0001</v>
      </c>
      <c r="L1847" s="10">
        <v>1</v>
      </c>
      <c r="M1847" s="10">
        <v>1</v>
      </c>
    </row>
    <row r="1848" spans="1:13">
      <c r="A1848" s="8">
        <v>43356</v>
      </c>
      <c r="B1848" s="9">
        <v>0.52222222222222225</v>
      </c>
      <c r="C1848" s="10" t="str">
        <f>"FES1162647060"</f>
        <v>FES1162647060</v>
      </c>
      <c r="D1848" s="10" t="s">
        <v>19</v>
      </c>
      <c r="E1848" s="10" t="s">
        <v>255</v>
      </c>
      <c r="F1848" s="10" t="str">
        <f>"2170651270 "</f>
        <v xml:space="preserve">2170651270 </v>
      </c>
      <c r="G1848" s="10" t="str">
        <f t="shared" si="45"/>
        <v>ON1</v>
      </c>
      <c r="H1848" s="10" t="s">
        <v>21</v>
      </c>
      <c r="I1848" s="10" t="s">
        <v>256</v>
      </c>
      <c r="J1848" s="10" t="str">
        <f>""</f>
        <v/>
      </c>
      <c r="K1848" s="10" t="str">
        <f>"PFES1162647060_0001"</f>
        <v>PFES1162647060_0001</v>
      </c>
      <c r="L1848" s="10">
        <v>1</v>
      </c>
      <c r="M1848" s="10">
        <v>1</v>
      </c>
    </row>
    <row r="1849" spans="1:13">
      <c r="A1849" s="8">
        <v>43356</v>
      </c>
      <c r="B1849" s="9">
        <v>0.52083333333333337</v>
      </c>
      <c r="C1849" s="10" t="str">
        <f>"FES1162647136"</f>
        <v>FES1162647136</v>
      </c>
      <c r="D1849" s="10" t="s">
        <v>19</v>
      </c>
      <c r="E1849" s="10" t="s">
        <v>604</v>
      </c>
      <c r="F1849" s="10" t="str">
        <f>"2170649512 "</f>
        <v xml:space="preserve">2170649512 </v>
      </c>
      <c r="G1849" s="10" t="str">
        <f t="shared" si="45"/>
        <v>ON1</v>
      </c>
      <c r="H1849" s="10" t="s">
        <v>21</v>
      </c>
      <c r="I1849" s="10" t="s">
        <v>486</v>
      </c>
      <c r="J1849" s="10" t="str">
        <f>""</f>
        <v/>
      </c>
      <c r="K1849" s="10" t="str">
        <f>"PFES1162647136_0001"</f>
        <v>PFES1162647136_0001</v>
      </c>
      <c r="L1849" s="10">
        <v>1</v>
      </c>
      <c r="M1849" s="10">
        <v>1</v>
      </c>
    </row>
    <row r="1850" spans="1:13">
      <c r="A1850" s="8">
        <v>43356</v>
      </c>
      <c r="B1850" s="9">
        <v>0.52013888888888882</v>
      </c>
      <c r="C1850" s="10" t="str">
        <f>"FES1162647006"</f>
        <v>FES1162647006</v>
      </c>
      <c r="D1850" s="10" t="s">
        <v>19</v>
      </c>
      <c r="E1850" s="10" t="s">
        <v>110</v>
      </c>
      <c r="F1850" s="10" t="str">
        <f>"2170649752 "</f>
        <v xml:space="preserve">2170649752 </v>
      </c>
      <c r="G1850" s="10" t="str">
        <f t="shared" si="45"/>
        <v>ON1</v>
      </c>
      <c r="H1850" s="10" t="s">
        <v>21</v>
      </c>
      <c r="I1850" s="10" t="s">
        <v>28</v>
      </c>
      <c r="J1850" s="10" t="str">
        <f>""</f>
        <v/>
      </c>
      <c r="K1850" s="10" t="str">
        <f>"PFES1162647006_0001"</f>
        <v>PFES1162647006_0001</v>
      </c>
      <c r="L1850" s="10">
        <v>1</v>
      </c>
      <c r="M1850" s="10">
        <v>3</v>
      </c>
    </row>
    <row r="1851" spans="1:13">
      <c r="A1851" s="8">
        <v>43356</v>
      </c>
      <c r="B1851" s="9">
        <v>0.51874999999999993</v>
      </c>
      <c r="C1851" s="10" t="str">
        <f>"FES1162647046"</f>
        <v>FES1162647046</v>
      </c>
      <c r="D1851" s="10" t="s">
        <v>19</v>
      </c>
      <c r="E1851" s="10" t="s">
        <v>877</v>
      </c>
      <c r="F1851" s="10" t="str">
        <f>"2170650143 "</f>
        <v xml:space="preserve">2170650143 </v>
      </c>
      <c r="G1851" s="10" t="str">
        <f t="shared" si="45"/>
        <v>ON1</v>
      </c>
      <c r="H1851" s="10" t="s">
        <v>21</v>
      </c>
      <c r="I1851" s="10" t="s">
        <v>878</v>
      </c>
      <c r="J1851" s="10" t="str">
        <f>""</f>
        <v/>
      </c>
      <c r="K1851" s="10" t="str">
        <f>"PFES1162647046_0001"</f>
        <v>PFES1162647046_0001</v>
      </c>
      <c r="L1851" s="10">
        <v>1</v>
      </c>
      <c r="M1851" s="10">
        <v>2</v>
      </c>
    </row>
    <row r="1852" spans="1:13">
      <c r="A1852" s="8">
        <v>43356</v>
      </c>
      <c r="B1852" s="9">
        <v>0.51736111111111105</v>
      </c>
      <c r="C1852" s="10" t="str">
        <f>"FES1162647004"</f>
        <v>FES1162647004</v>
      </c>
      <c r="D1852" s="10" t="s">
        <v>19</v>
      </c>
      <c r="E1852" s="10" t="s">
        <v>424</v>
      </c>
      <c r="F1852" s="10" t="str">
        <f>"2170649717 "</f>
        <v xml:space="preserve">2170649717 </v>
      </c>
      <c r="G1852" s="10" t="str">
        <f t="shared" si="45"/>
        <v>ON1</v>
      </c>
      <c r="H1852" s="10" t="s">
        <v>21</v>
      </c>
      <c r="I1852" s="10" t="s">
        <v>97</v>
      </c>
      <c r="J1852" s="10" t="str">
        <f>""</f>
        <v/>
      </c>
      <c r="K1852" s="10" t="str">
        <f>"PFES1162647004_0001"</f>
        <v>PFES1162647004_0001</v>
      </c>
      <c r="L1852" s="10">
        <v>1</v>
      </c>
      <c r="M1852" s="10">
        <v>2</v>
      </c>
    </row>
    <row r="1853" spans="1:13">
      <c r="A1853" s="8">
        <v>43356</v>
      </c>
      <c r="B1853" s="9">
        <v>0.51666666666666672</v>
      </c>
      <c r="C1853" s="10" t="str">
        <f>"FES1162647070"</f>
        <v>FES1162647070</v>
      </c>
      <c r="D1853" s="10" t="s">
        <v>19</v>
      </c>
      <c r="E1853" s="10" t="s">
        <v>879</v>
      </c>
      <c r="F1853" s="10" t="str">
        <f>"2170651640 "</f>
        <v xml:space="preserve">2170651640 </v>
      </c>
      <c r="G1853" s="10" t="str">
        <f t="shared" si="45"/>
        <v>ON1</v>
      </c>
      <c r="H1853" s="10" t="s">
        <v>21</v>
      </c>
      <c r="I1853" s="10" t="s">
        <v>30</v>
      </c>
      <c r="J1853" s="10" t="str">
        <f>""</f>
        <v/>
      </c>
      <c r="K1853" s="10" t="str">
        <f>"PFES1162647070_0001"</f>
        <v>PFES1162647070_0001</v>
      </c>
      <c r="L1853" s="10">
        <v>1</v>
      </c>
      <c r="M1853" s="10">
        <v>10</v>
      </c>
    </row>
    <row r="1854" spans="1:13">
      <c r="A1854" s="8">
        <v>43356</v>
      </c>
      <c r="B1854" s="9">
        <v>0.51527777777777783</v>
      </c>
      <c r="C1854" s="10" t="str">
        <f>"FES1162647132"</f>
        <v>FES1162647132</v>
      </c>
      <c r="D1854" s="10" t="s">
        <v>19</v>
      </c>
      <c r="E1854" s="10" t="s">
        <v>880</v>
      </c>
      <c r="F1854" s="10" t="str">
        <f>"2170649470 "</f>
        <v xml:space="preserve">2170649470 </v>
      </c>
      <c r="G1854" s="10" t="str">
        <f t="shared" si="45"/>
        <v>ON1</v>
      </c>
      <c r="H1854" s="10" t="s">
        <v>21</v>
      </c>
      <c r="I1854" s="10" t="s">
        <v>474</v>
      </c>
      <c r="J1854" s="10" t="str">
        <f>""</f>
        <v/>
      </c>
      <c r="K1854" s="10" t="str">
        <f>"PFES1162647132_0001"</f>
        <v>PFES1162647132_0001</v>
      </c>
      <c r="L1854" s="10">
        <v>1</v>
      </c>
      <c r="M1854" s="10">
        <v>1</v>
      </c>
    </row>
    <row r="1855" spans="1:13">
      <c r="A1855" s="8">
        <v>43356</v>
      </c>
      <c r="B1855" s="9">
        <v>0.51388888888888895</v>
      </c>
      <c r="C1855" s="10" t="str">
        <f>"FES1162647190"</f>
        <v>FES1162647190</v>
      </c>
      <c r="D1855" s="10" t="s">
        <v>19</v>
      </c>
      <c r="E1855" s="10" t="s">
        <v>90</v>
      </c>
      <c r="F1855" s="10" t="str">
        <f>"2170649452 "</f>
        <v xml:space="preserve">2170649452 </v>
      </c>
      <c r="G1855" s="10" t="str">
        <f t="shared" si="45"/>
        <v>ON1</v>
      </c>
      <c r="H1855" s="10" t="s">
        <v>21</v>
      </c>
      <c r="I1855" s="10" t="s">
        <v>91</v>
      </c>
      <c r="J1855" s="10" t="str">
        <f>""</f>
        <v/>
      </c>
      <c r="K1855" s="10" t="str">
        <f>"PFES1162647190_0001"</f>
        <v>PFES1162647190_0001</v>
      </c>
      <c r="L1855" s="10">
        <v>1</v>
      </c>
      <c r="M1855" s="10">
        <v>1</v>
      </c>
    </row>
    <row r="1856" spans="1:13">
      <c r="A1856" s="8">
        <v>43356</v>
      </c>
      <c r="B1856" s="9">
        <v>0.51250000000000007</v>
      </c>
      <c r="C1856" s="10" t="str">
        <f>"FES1162647020"</f>
        <v>FES1162647020</v>
      </c>
      <c r="D1856" s="10" t="s">
        <v>19</v>
      </c>
      <c r="E1856" s="10" t="s">
        <v>47</v>
      </c>
      <c r="F1856" s="10" t="str">
        <f>"2170649885 "</f>
        <v xml:space="preserve">2170649885 </v>
      </c>
      <c r="G1856" s="10" t="str">
        <f t="shared" si="45"/>
        <v>ON1</v>
      </c>
      <c r="H1856" s="10" t="s">
        <v>21</v>
      </c>
      <c r="I1856" s="10" t="s">
        <v>48</v>
      </c>
      <c r="J1856" s="10" t="str">
        <f>""</f>
        <v/>
      </c>
      <c r="K1856" s="10" t="str">
        <f>"PFES1162647020_0001"</f>
        <v>PFES1162647020_0001</v>
      </c>
      <c r="L1856" s="10">
        <v>1</v>
      </c>
      <c r="M1856" s="10">
        <v>4</v>
      </c>
    </row>
    <row r="1857" spans="1:13">
      <c r="A1857" s="8">
        <v>43356</v>
      </c>
      <c r="B1857" s="9">
        <v>0.50972222222222219</v>
      </c>
      <c r="C1857" s="10" t="str">
        <f>"FES1162646761"</f>
        <v>FES1162646761</v>
      </c>
      <c r="D1857" s="10" t="s">
        <v>19</v>
      </c>
      <c r="E1857" s="10" t="s">
        <v>134</v>
      </c>
      <c r="F1857" s="10" t="str">
        <f>"2170648604 "</f>
        <v xml:space="preserve">2170648604 </v>
      </c>
      <c r="G1857" s="10" t="str">
        <f t="shared" si="45"/>
        <v>ON1</v>
      </c>
      <c r="H1857" s="10" t="s">
        <v>21</v>
      </c>
      <c r="I1857" s="10" t="s">
        <v>135</v>
      </c>
      <c r="J1857" s="10" t="str">
        <f>""</f>
        <v/>
      </c>
      <c r="K1857" s="10" t="str">
        <f>"PFES1162646761_0001"</f>
        <v>PFES1162646761_0001</v>
      </c>
      <c r="L1857" s="10">
        <v>1</v>
      </c>
      <c r="M1857" s="10">
        <v>2</v>
      </c>
    </row>
    <row r="1858" spans="1:13">
      <c r="A1858" s="8">
        <v>43356</v>
      </c>
      <c r="B1858" s="9">
        <v>0.50902777777777775</v>
      </c>
      <c r="C1858" s="10" t="str">
        <f>"FES1162647042"</f>
        <v>FES1162647042</v>
      </c>
      <c r="D1858" s="10" t="s">
        <v>19</v>
      </c>
      <c r="E1858" s="10" t="s">
        <v>881</v>
      </c>
      <c r="F1858" s="10" t="str">
        <f>"2170650078 "</f>
        <v xml:space="preserve">2170650078 </v>
      </c>
      <c r="G1858" s="10" t="str">
        <f t="shared" si="45"/>
        <v>ON1</v>
      </c>
      <c r="H1858" s="10" t="s">
        <v>21</v>
      </c>
      <c r="I1858" s="10" t="s">
        <v>536</v>
      </c>
      <c r="J1858" s="10" t="str">
        <f>""</f>
        <v/>
      </c>
      <c r="K1858" s="10" t="str">
        <f>"PFES1162647042_0001"</f>
        <v>PFES1162647042_0001</v>
      </c>
      <c r="L1858" s="10">
        <v>1</v>
      </c>
      <c r="M1858" s="10">
        <v>1</v>
      </c>
    </row>
    <row r="1859" spans="1:13">
      <c r="A1859" s="8">
        <v>43356</v>
      </c>
      <c r="B1859" s="9">
        <v>0.5083333333333333</v>
      </c>
      <c r="C1859" s="10" t="str">
        <f>"FES1162647108"</f>
        <v>FES1162647108</v>
      </c>
      <c r="D1859" s="10" t="s">
        <v>19</v>
      </c>
      <c r="E1859" s="10" t="s">
        <v>251</v>
      </c>
      <c r="F1859" s="10" t="str">
        <f>"2170651685 "</f>
        <v xml:space="preserve">2170651685 </v>
      </c>
      <c r="G1859" s="10" t="str">
        <f t="shared" si="45"/>
        <v>ON1</v>
      </c>
      <c r="H1859" s="10" t="s">
        <v>21</v>
      </c>
      <c r="I1859" s="10" t="s">
        <v>252</v>
      </c>
      <c r="J1859" s="10" t="str">
        <f>""</f>
        <v/>
      </c>
      <c r="K1859" s="10" t="str">
        <f>"PFES1162647108_0001"</f>
        <v>PFES1162647108_0001</v>
      </c>
      <c r="L1859" s="10">
        <v>1</v>
      </c>
      <c r="M1859" s="10">
        <v>1</v>
      </c>
    </row>
    <row r="1860" spans="1:13">
      <c r="A1860" s="8">
        <v>43356</v>
      </c>
      <c r="B1860" s="9">
        <v>0.50624999999999998</v>
      </c>
      <c r="C1860" s="10" t="str">
        <f>"FES1162647114"</f>
        <v>FES1162647114</v>
      </c>
      <c r="D1860" s="10" t="s">
        <v>19</v>
      </c>
      <c r="E1860" s="10" t="s">
        <v>667</v>
      </c>
      <c r="F1860" s="10" t="str">
        <f>"2170649393 "</f>
        <v xml:space="preserve">2170649393 </v>
      </c>
      <c r="G1860" s="10" t="str">
        <f t="shared" si="45"/>
        <v>ON1</v>
      </c>
      <c r="H1860" s="10" t="s">
        <v>21</v>
      </c>
      <c r="I1860" s="10" t="s">
        <v>30</v>
      </c>
      <c r="J1860" s="10" t="str">
        <f>""</f>
        <v/>
      </c>
      <c r="K1860" s="10" t="str">
        <f>"PFES1162647114_0001"</f>
        <v>PFES1162647114_0001</v>
      </c>
      <c r="L1860" s="10">
        <v>1</v>
      </c>
      <c r="M1860" s="10">
        <v>5</v>
      </c>
    </row>
  </sheetData>
  <mergeCells count="1">
    <mergeCell ref="C1:E1"/>
  </mergeCells>
  <pageMargins left="0.75" right="0.75" top="1" bottom="1" header="0.5" footer="0.5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2018-09-04T06:07:22Z</dcterms:created>
  <dcterms:modified xsi:type="dcterms:W3CDTF">2018-09-13T15:44:08Z</dcterms:modified>
</cp:coreProperties>
</file>