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777" i="1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<sst xmlns="http://schemas.openxmlformats.org/spreadsheetml/2006/main" count="11107" uniqueCount="1066">
  <si>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</si>
  <si>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</si>
  <si>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</si>
  <si>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</si>
  <si>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</si>
  <si>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</si>
  <si>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</si>
  <si>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</si>
  <si>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</si>
  <si>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</si>
  <si>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</si>
  <si>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</si>
  <si>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</si>
  <si>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</si>
  <si>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</si>
  <si>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</si>
  <si>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</si>
  <si>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</si>
  <si>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</si>
  <si>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</si>
  <si>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STAR HYDRAULICS &amp; PNEUMATICS            </t>
  </si>
  <si>
    <t>JNB</t>
  </si>
  <si>
    <t>DUNCANVILLE</t>
  </si>
  <si>
    <t xml:space="preserve">KARAN BEEF (PTY) LTD                    </t>
  </si>
  <si>
    <t>BALFOUR</t>
  </si>
  <si>
    <t xml:space="preserve">ADCOCK INGRAM HEALTHCARE                </t>
  </si>
  <si>
    <t>WADEVILLE</t>
  </si>
  <si>
    <t xml:space="preserve">PRIMA INDUSTRIAL HOLDINGS               </t>
  </si>
  <si>
    <t>BENONI</t>
  </si>
  <si>
    <t xml:space="preserve">FILMATIC PACKAGING SYSTEM (PTY) LTD     </t>
  </si>
  <si>
    <t>PAARL</t>
  </si>
  <si>
    <t xml:space="preserve">LION MATCH PRODUCTS                     </t>
  </si>
  <si>
    <t>ROSSLYN</t>
  </si>
  <si>
    <t xml:space="preserve">AEL MINING SERVICES LIMITED             </t>
  </si>
  <si>
    <t>MODDERFONTEIN</t>
  </si>
  <si>
    <t xml:space="preserve">COCHRANE STEEL                          </t>
  </si>
  <si>
    <t>SPARTAN</t>
  </si>
  <si>
    <t xml:space="preserve">FAIR CAPE DAIRIES (PTY) LTD             </t>
  </si>
  <si>
    <t>KILLARNEY GARDENS</t>
  </si>
  <si>
    <t xml:space="preserve">IRVIN &amp; JONSON LTD                      </t>
  </si>
  <si>
    <t>PAARDENEILAND</t>
  </si>
  <si>
    <t xml:space="preserve">INDIGO BRANDS (PTY)LTD                  </t>
  </si>
  <si>
    <t>EPPING INDUSTRIAL</t>
  </si>
  <si>
    <t xml:space="preserve">EPOL ADIV OF RAINBOW FARM (PTY)LTD      </t>
  </si>
  <si>
    <t>BERLIN</t>
  </si>
  <si>
    <t xml:space="preserve">DOPPTECH (PTY)LTD                       </t>
  </si>
  <si>
    <t>ALRODE</t>
  </si>
  <si>
    <t xml:space="preserve">MED ENGINEERING (PTY) LTD               </t>
  </si>
  <si>
    <t xml:space="preserve">BREWBEV                                 </t>
  </si>
  <si>
    <t xml:space="preserve">MA AUTOMOTIVE TOOL &amp; DIE                </t>
  </si>
  <si>
    <t xml:space="preserve">BEVCAN                                  </t>
  </si>
  <si>
    <t>NUFFIELD</t>
  </si>
  <si>
    <t xml:space="preserve">RISHABA TRADING CC                      </t>
  </si>
  <si>
    <t>SUNDERLAND RIDGE</t>
  </si>
  <si>
    <t xml:space="preserve">STEEL BEST MANUFACTURING PTY LTD        </t>
  </si>
  <si>
    <t>PORT ELIZABETH</t>
  </si>
  <si>
    <t xml:space="preserve">EXCEL TOOLING                           </t>
  </si>
  <si>
    <t>NORTH END</t>
  </si>
  <si>
    <t xml:space="preserve">PROMAX                                  </t>
  </si>
  <si>
    <t>PRETORIA</t>
  </si>
  <si>
    <t xml:space="preserve">CLURE PROJECTS CC                       </t>
  </si>
  <si>
    <t>NEAVE TSP</t>
  </si>
  <si>
    <t xml:space="preserve">VICTORY ELECTRICAL CC                   </t>
  </si>
  <si>
    <t>MILNERTON</t>
  </si>
  <si>
    <t xml:space="preserve">HYDROMATIC                              </t>
  </si>
  <si>
    <t xml:space="preserve">TIGER CONSUMER BRANDS                   </t>
  </si>
  <si>
    <t>MAITLAND</t>
  </si>
  <si>
    <t xml:space="preserve">THE SOUTH AFRICAN BREWERIES LTD         </t>
  </si>
  <si>
    <t xml:space="preserve">BEARING &amp; ACCESSORIES CC                </t>
  </si>
  <si>
    <t>JACOBS</t>
  </si>
  <si>
    <t xml:space="preserve">PPC CEMENT SA                           </t>
  </si>
  <si>
    <t>HERCULES</t>
  </si>
  <si>
    <t xml:space="preserve">TONGAAT HULETTS GROUP LIMITED           </t>
  </si>
  <si>
    <t>RED HILL</t>
  </si>
  <si>
    <t xml:space="preserve">COMPRESSED AIR EQUIPMENT                </t>
  </si>
  <si>
    <t>MOUNT EDGECOMBE</t>
  </si>
  <si>
    <t xml:space="preserve">CTP PRINTERS CPT                        </t>
  </si>
  <si>
    <t>PAROW</t>
  </si>
  <si>
    <t xml:space="preserve">PRECISION METAL PRODUCTS                </t>
  </si>
  <si>
    <t>DURBAN</t>
  </si>
  <si>
    <t xml:space="preserve">PREMIER FMCG PTY LTD                    </t>
  </si>
  <si>
    <t>MTHATHA</t>
  </si>
  <si>
    <t xml:space="preserve">UMGENI WATER PINETOWN                   </t>
  </si>
  <si>
    <t>PINETOWN</t>
  </si>
  <si>
    <t xml:space="preserve">SAPPI SA                                </t>
  </si>
  <si>
    <t>STANGER</t>
  </si>
  <si>
    <t xml:space="preserve">BMG ROSSLYN 0182                        </t>
  </si>
  <si>
    <t xml:space="preserve">TI GROUP AUTOMOTIVE SYSTEMS (PTY) LTD   </t>
  </si>
  <si>
    <t xml:space="preserve">PAIL PAC PTY LTD                        </t>
  </si>
  <si>
    <t>GILLITTS</t>
  </si>
  <si>
    <t xml:space="preserve">AVENG MANUFACTURING INFRASET            </t>
  </si>
  <si>
    <t>CENTURION</t>
  </si>
  <si>
    <t xml:space="preserve">EGLI PRECISION ENGINEERING PTY LTD      </t>
  </si>
  <si>
    <t>PIETERMARITZBURG</t>
  </si>
  <si>
    <t xml:space="preserve">ROV DURRANT ENGINEERING (PTY) LTD       </t>
  </si>
  <si>
    <t xml:space="preserve">CONTINENTAL TYRE SA                     </t>
  </si>
  <si>
    <t>STRUANDALE</t>
  </si>
  <si>
    <t xml:space="preserve">MITTAL STEEL SA                         </t>
  </si>
  <si>
    <t>NEWCASTLE</t>
  </si>
  <si>
    <t xml:space="preserve">BAGTECH INTERNATIONAL PTY LTD           </t>
  </si>
  <si>
    <t>MAYDON WHARF</t>
  </si>
  <si>
    <t xml:space="preserve">TONGAAT HULLETTS GROUP LTD              </t>
  </si>
  <si>
    <t>ROSSBURGH</t>
  </si>
  <si>
    <t xml:space="preserve">NESTLE SOUTH AFRICA (PTY) L.T.D         </t>
  </si>
  <si>
    <t>EAST LONDON</t>
  </si>
  <si>
    <t xml:space="preserve">ANALOG &amp; DIGITAL POWER ELECTRONICS      </t>
  </si>
  <si>
    <t>UITENHAGE</t>
  </si>
  <si>
    <t xml:space="preserve">MAVTECH                                 </t>
  </si>
  <si>
    <t>ROOIHUISKRAAL</t>
  </si>
  <si>
    <t xml:space="preserve">L'OREAL MANUFACTURING (PTY)LTD          </t>
  </si>
  <si>
    <t>MIDRAND</t>
  </si>
  <si>
    <t xml:space="preserve">THE SIMBA GROUP PTY LTD                 </t>
  </si>
  <si>
    <t>ISANDO</t>
  </si>
  <si>
    <t xml:space="preserve">RICH PRODUCTS CORP OF SA                </t>
  </si>
  <si>
    <t>OPHIRTON</t>
  </si>
  <si>
    <t xml:space="preserve">UNIVERSAL AUTOMATION SYSTEM (PTY)LTD    </t>
  </si>
  <si>
    <t>LASER PARK</t>
  </si>
  <si>
    <t xml:space="preserve">BEARING MAN GROUP                       </t>
  </si>
  <si>
    <t>DROSTE PARK</t>
  </si>
  <si>
    <t xml:space="preserve">PNEUMATIC AID                           </t>
  </si>
  <si>
    <t xml:space="preserve">OFFSET PRESS SUPPLIES (PTY) LTD         </t>
  </si>
  <si>
    <t xml:space="preserve">UNILEVER SOUTH AFRICA (PTY) LTD         </t>
  </si>
  <si>
    <t xml:space="preserve">FILTEC AUTOMATION PTY LTD               </t>
  </si>
  <si>
    <t xml:space="preserve">DISTELL                                 </t>
  </si>
  <si>
    <t xml:space="preserve">HYFLO SOUTHERN AFRICA (PTY) LTD         </t>
  </si>
  <si>
    <t xml:space="preserve">WAIKATO SA                              </t>
  </si>
  <si>
    <t xml:space="preserve">UNILEVER SA PTY LTD                     </t>
  </si>
  <si>
    <t>MAYDON WARF</t>
  </si>
  <si>
    <t xml:space="preserve">OPEN DOOR TRADERS CC                    </t>
  </si>
  <si>
    <t>WOODSTOCK</t>
  </si>
  <si>
    <t xml:space="preserve">PIONEER FOODS (PTY) LTD                 </t>
  </si>
  <si>
    <t>MOBENI</t>
  </si>
  <si>
    <t xml:space="preserve">AMS BEARING CC                          </t>
  </si>
  <si>
    <t xml:space="preserve">DE BEERS GROUP SERVICES                 </t>
  </si>
  <si>
    <t>AIRPORT INDUSTRIA</t>
  </si>
  <si>
    <t xml:space="preserve">ATLANTIS FOUNDRY                        </t>
  </si>
  <si>
    <t>ATLANTIS</t>
  </si>
  <si>
    <t xml:space="preserve">DIYA VALVES INTERNATIONALS CC           </t>
  </si>
  <si>
    <t xml:space="preserve">L &amp; J TOOL &amp; ENGINEERING WORK           </t>
  </si>
  <si>
    <t>UMBOGINTWINI</t>
  </si>
  <si>
    <t xml:space="preserve">FESTO CPT                               </t>
  </si>
  <si>
    <t>YSTERPLAAT</t>
  </si>
  <si>
    <t xml:space="preserve">DIGN ENGINEERING PTY LTD                </t>
  </si>
  <si>
    <t xml:space="preserve">HACKMACK ENTERPRISES                    </t>
  </si>
  <si>
    <t>ARCADIA</t>
  </si>
  <si>
    <t xml:space="preserve">DKT &amp; PARTNERS                          </t>
  </si>
  <si>
    <t>PERSEVERANCE</t>
  </si>
  <si>
    <t xml:space="preserve">LITTLE GREEN BEVERAGES                  </t>
  </si>
  <si>
    <t>WILSONIA</t>
  </si>
  <si>
    <t xml:space="preserve">FORD OF SOUTHERN AFRICA AX9WA           </t>
  </si>
  <si>
    <t xml:space="preserve">SCHAEFFLER SOUTH AFRICA                 </t>
  </si>
  <si>
    <t>ESTADEAL</t>
  </si>
  <si>
    <t xml:space="preserve">BENTELER AUTOMOTIVE SA (PTY) LTD        </t>
  </si>
  <si>
    <t xml:space="preserve">PRINCIPLE PLASTICS                      </t>
  </si>
  <si>
    <t>MARKMAN TSP</t>
  </si>
  <si>
    <t xml:space="preserve">TFM INDUSTRIES PTY LTD                  </t>
  </si>
  <si>
    <t>CLAYVILLE</t>
  </si>
  <si>
    <t xml:space="preserve">PREMIER FMCG                            </t>
  </si>
  <si>
    <t>AEROTON</t>
  </si>
  <si>
    <t xml:space="preserve">TIGER BRANDS SNACKS , TREANTS BEVERAGES </t>
  </si>
  <si>
    <t>ROODEKOP</t>
  </si>
  <si>
    <t>ALBANY BAKERIEYS A DIV OF TIGER COUSUMER</t>
  </si>
  <si>
    <t>DRIEHOEK</t>
  </si>
  <si>
    <t xml:space="preserve">ELEMENT SIX PRODUCTION                  </t>
  </si>
  <si>
    <t xml:space="preserve">ALBANY BAKERY                           </t>
  </si>
  <si>
    <t xml:space="preserve">BEARINGS DISTRIBUTORS WESKUS            </t>
  </si>
  <si>
    <t>VREDENBURG</t>
  </si>
  <si>
    <t xml:space="preserve">MERCEDES BENZ SOUTH AFRICA LIMITED      </t>
  </si>
  <si>
    <t>GATELY TSP</t>
  </si>
  <si>
    <t xml:space="preserve">BMG BELLVILLE 0120                      </t>
  </si>
  <si>
    <t>STIKLAND</t>
  </si>
  <si>
    <t xml:space="preserve">BIO CAPSULE PHARMACEUTICALS             </t>
  </si>
  <si>
    <t>DIEP RIVER</t>
  </si>
  <si>
    <t xml:space="preserve">COCA COLA BEVERAGES SA                  </t>
  </si>
  <si>
    <t>OLIFANTSFONTEIN</t>
  </si>
  <si>
    <t xml:space="preserve">NESTLE SOUTH AFRICA PTY LTD             </t>
  </si>
  <si>
    <t>ESTCOURT</t>
  </si>
  <si>
    <t xml:space="preserve">PREMIER FMCG PTY LTD LA FEMME           </t>
  </si>
  <si>
    <t xml:space="preserve">HULAMIN OPERATIONTS PTY LTD             </t>
  </si>
  <si>
    <t xml:space="preserve">CAVALETTO 98                            </t>
  </si>
  <si>
    <t>UMBILO</t>
  </si>
  <si>
    <t xml:space="preserve">CONLOG PTY LTD                          </t>
  </si>
  <si>
    <t>OVERPORT</t>
  </si>
  <si>
    <t xml:space="preserve">PRESSURE DIE CASTINGS PTY LTD           </t>
  </si>
  <si>
    <t xml:space="preserve">Liqui Box                               </t>
  </si>
  <si>
    <t xml:space="preserve">PRO PROJECT ENGINEERING                 </t>
  </si>
  <si>
    <t>KUILS RIVER</t>
  </si>
  <si>
    <t xml:space="preserve">BMW ROSSLYN                             </t>
  </si>
  <si>
    <t xml:space="preserve">FORD MOTORING CO OF SA                  </t>
  </si>
  <si>
    <t>SILVERTON</t>
  </si>
  <si>
    <t xml:space="preserve">COCA COLA BEVERAGES S.A(PTY)LTD         </t>
  </si>
  <si>
    <t xml:space="preserve">SANMIK AGENCIES CC                      </t>
  </si>
  <si>
    <t>GEORGE INDUSTRIA</t>
  </si>
  <si>
    <t xml:space="preserve">H.G MOLENAAR (PTY) LTD                  </t>
  </si>
  <si>
    <t>BROOKLYN</t>
  </si>
  <si>
    <t xml:space="preserve">ITHEMBA LABS                            </t>
  </si>
  <si>
    <t>FAURE</t>
  </si>
  <si>
    <t xml:space="preserve">TIGER BRANDS(CHOCOLATE UNIT)            </t>
  </si>
  <si>
    <t xml:space="preserve">IDWALA CARBONATES                       </t>
  </si>
  <si>
    <t>NEWLANDS</t>
  </si>
  <si>
    <t>KORSTEN</t>
  </si>
  <si>
    <t xml:space="preserve">BLISS CHEMICALS                         </t>
  </si>
  <si>
    <t xml:space="preserve">RCL FOODS CONSUMER                      </t>
  </si>
  <si>
    <t>BOLTONIA</t>
  </si>
  <si>
    <t xml:space="preserve">NESTLE SA                               </t>
  </si>
  <si>
    <t>HAMMANSKRAAL</t>
  </si>
  <si>
    <t xml:space="preserve">ADP MARINE &amp; MODULAR PTY LTD            </t>
  </si>
  <si>
    <t>CAPE TOWN</t>
  </si>
  <si>
    <t xml:space="preserve">ALPHAPAX PACKAGING CC                   </t>
  </si>
  <si>
    <t>EDENVALE</t>
  </si>
  <si>
    <t xml:space="preserve">MIKE S ACCESSORIES SA                   </t>
  </si>
  <si>
    <t>ATHLONE</t>
  </si>
  <si>
    <t xml:space="preserve">CNC STUDIO (PTY)LTD                     </t>
  </si>
  <si>
    <t>IRENE</t>
  </si>
  <si>
    <t xml:space="preserve">CBI ELECTRIC AFRICAN CABLES             </t>
  </si>
  <si>
    <t>PEACEHAVEN</t>
  </si>
  <si>
    <t xml:space="preserve">FAMOUS BRANDS MANAGEMENT                </t>
  </si>
  <si>
    <t xml:space="preserve">RETECON SERVICES                        </t>
  </si>
  <si>
    <t xml:space="preserve">SPERO SENSORS &amp; INSTRUMENTS PTY LTD     </t>
  </si>
  <si>
    <t xml:space="preserve">SOUTHERN COMPSITE ENGINEERING (PTY)LTD  </t>
  </si>
  <si>
    <t>SANDTON</t>
  </si>
  <si>
    <t xml:space="preserve">MAIN STREET 1310(PTY) L.T.D             </t>
  </si>
  <si>
    <t>KLIPRIVIER</t>
  </si>
  <si>
    <t xml:space="preserve">NUKOR (PTY) LTD                         </t>
  </si>
  <si>
    <t>FAIRVIEW</t>
  </si>
  <si>
    <t xml:space="preserve">HOSPIPHARM SUPPLIES PTY LTD             </t>
  </si>
  <si>
    <t>TURFFONTEIN</t>
  </si>
  <si>
    <t xml:space="preserve">FAIR PLASTICS PACKAGING                 </t>
  </si>
  <si>
    <t>MONTAGUE GARDENS</t>
  </si>
  <si>
    <t xml:space="preserve">LEONARD DIGLER (PTY)LTD                 </t>
  </si>
  <si>
    <t>BOKSBURG</t>
  </si>
  <si>
    <t xml:space="preserve">LEAR ELECTRICAL                         </t>
  </si>
  <si>
    <t xml:space="preserve">MONDELEZ PE FACTORY INC                 </t>
  </si>
  <si>
    <t>HOLLAND PARK</t>
  </si>
  <si>
    <t xml:space="preserve">PHARMACARE LTD T/A ASPEN                </t>
  </si>
  <si>
    <t xml:space="preserve">CONSOL GLASS                            </t>
  </si>
  <si>
    <t xml:space="preserve">TF DESIGN (PTY) LTD                     </t>
  </si>
  <si>
    <t>STELLENBOSCH</t>
  </si>
  <si>
    <t>CHAMDOR</t>
  </si>
  <si>
    <t xml:space="preserve">SENIOR FLEXONICS (SA) (PTY) LTD         </t>
  </si>
  <si>
    <t>THORNTON</t>
  </si>
  <si>
    <t xml:space="preserve">CONRO PRECISION                         </t>
  </si>
  <si>
    <t xml:space="preserve">MECHATRONICS                            </t>
  </si>
  <si>
    <t xml:space="preserve">COLLABORATIVE PACKING SOLUTIONS         </t>
  </si>
  <si>
    <t xml:space="preserve">WINNER HYDRAULIC AFRICA PTY LTD         </t>
  </si>
  <si>
    <t xml:space="preserve">BLENDCOR (PTY) LTD                      </t>
  </si>
  <si>
    <t>FYNNLAND</t>
  </si>
  <si>
    <t xml:space="preserve">AFRISAM SOUHT AFRICA PTY LTD            </t>
  </si>
  <si>
    <t>ULCO</t>
  </si>
  <si>
    <t>CSM BEARING AND PNEUMATIC SUPPLIES PTY L</t>
  </si>
  <si>
    <t xml:space="preserve">UNILEVER ANDERBOLT HOMECARE LIQUIDS     </t>
  </si>
  <si>
    <t>ANDERBOLT</t>
  </si>
  <si>
    <t xml:space="preserve">FAURECIA EMISSIONS CONTROL TECHNOLOGY   </t>
  </si>
  <si>
    <t>RETREAT</t>
  </si>
  <si>
    <t xml:space="preserve">NCP CHLORCHEM PTY LTD                   </t>
  </si>
  <si>
    <t>CHLOORKOP</t>
  </si>
  <si>
    <t xml:space="preserve">LEONARD DINGLER PTY LTD                 </t>
  </si>
  <si>
    <t xml:space="preserve">TS ENGINEERING                          </t>
  </si>
  <si>
    <t>MULDERSDRIF</t>
  </si>
  <si>
    <t xml:space="preserve">ACCUTECH WEIGHING SERVICES              </t>
  </si>
  <si>
    <t>KYA SAND</t>
  </si>
  <si>
    <t xml:space="preserve">HYFLO SA PTY LTD                        </t>
  </si>
  <si>
    <t>EAST END</t>
  </si>
  <si>
    <t xml:space="preserve">UNILIVER SA                             </t>
  </si>
  <si>
    <t xml:space="preserve">SILVAMIL EBGINEERING CC                 </t>
  </si>
  <si>
    <t>JET PARK</t>
  </si>
  <si>
    <t xml:space="preserve">SASOL INFRACHEM                         </t>
  </si>
  <si>
    <t>SASOLBURG</t>
  </si>
  <si>
    <t xml:space="preserve">WOODLANDS RESOURCE RECOVERY PLANT       </t>
  </si>
  <si>
    <t>HUMANSDORP</t>
  </si>
  <si>
    <t xml:space="preserve">AUTOLIV SA                              </t>
  </si>
  <si>
    <t xml:space="preserve">Saint-Gobain Construction Products      </t>
  </si>
  <si>
    <t>BRAKPAN</t>
  </si>
  <si>
    <t xml:space="preserve">PMD PACKAGING SYSTEMS                   </t>
  </si>
  <si>
    <t xml:space="preserve">SYSTEMS AUTOMATION MANAGEMENT           </t>
  </si>
  <si>
    <t>PETERVALE</t>
  </si>
  <si>
    <t xml:space="preserve">PAKWORKS (PTY) LTD                      </t>
  </si>
  <si>
    <t>HEILBRON</t>
  </si>
  <si>
    <t xml:space="preserve">RCL FOODCORP (PTY) LTD                  </t>
  </si>
  <si>
    <t>RANDFONTEIN</t>
  </si>
  <si>
    <t xml:space="preserve">ZOOMARATI                               </t>
  </si>
  <si>
    <t xml:space="preserve">UNIVERSAL PAPER &amp; PLASTIC               </t>
  </si>
  <si>
    <t>GA-RANKUWA</t>
  </si>
  <si>
    <t xml:space="preserve">IMP AUTOMATED LABORATORY SERVICE        </t>
  </si>
  <si>
    <t xml:space="preserve">MS INDUSTRIAL SUPPLIERS &amp; DISTRIBUTION  </t>
  </si>
  <si>
    <t>BRIARDENE</t>
  </si>
  <si>
    <t xml:space="preserve">G.U.D. HOLDINGS (PTY) LTD               </t>
  </si>
  <si>
    <t xml:space="preserve">HERSOL MANUFACTURING LABORATORIES CC    </t>
  </si>
  <si>
    <t>JEPPESTOWN</t>
  </si>
  <si>
    <t xml:space="preserve">PLASTIC OMNIUM AUTO INERGY SA           </t>
  </si>
  <si>
    <t>BRITS</t>
  </si>
  <si>
    <t xml:space="preserve">DIVFOOD A DIV OF NAMPAK PRODUCTS LTD    </t>
  </si>
  <si>
    <t>VANDERBIJLPARK</t>
  </si>
  <si>
    <t xml:space="preserve">FAURECIA EXHAUST SYSTEMS (PTY) LTD      </t>
  </si>
  <si>
    <t xml:space="preserve">DG IMPEX CC                             </t>
  </si>
  <si>
    <t>KELVIN</t>
  </si>
  <si>
    <t xml:space="preserve">THABA CHUEU MINING (PTY)LTD             </t>
  </si>
  <si>
    <t>DELMAS EXT 1</t>
  </si>
  <si>
    <t xml:space="preserve">VANESCO PTY LTD                         </t>
  </si>
  <si>
    <t>ROBERTVILLE</t>
  </si>
  <si>
    <t xml:space="preserve">UMOYA AUTOMATION CC                     </t>
  </si>
  <si>
    <t>ALBERTON NORTH</t>
  </si>
  <si>
    <t xml:space="preserve">EBERSPACHER SOUTH AFRICA (PTY) LTD      </t>
  </si>
  <si>
    <t>DEAL PARTY</t>
  </si>
  <si>
    <t xml:space="preserve">RCL FOODS CONSUMER BEVERAGES            </t>
  </si>
  <si>
    <t>PRETORIA WEST</t>
  </si>
  <si>
    <t xml:space="preserve">AUTO INDUSTRIAL MACHINING               </t>
  </si>
  <si>
    <t xml:space="preserve">MAINSTREET 1310                         </t>
  </si>
  <si>
    <t xml:space="preserve">FONTANA MANUFACTURERS PTY LTD           </t>
  </si>
  <si>
    <t>UMKOMAAS</t>
  </si>
  <si>
    <t xml:space="preserve">UNILEVER S.A (PTY)LTD                   </t>
  </si>
  <si>
    <t xml:space="preserve">TOYOTA SA MOTORS PTY LTD                </t>
  </si>
  <si>
    <t xml:space="preserve">LADYSMITH TRADING CO.                   </t>
  </si>
  <si>
    <t>LADYSMITH</t>
  </si>
  <si>
    <t xml:space="preserve">JENDAMARK AUTOMATION PTY LTD            </t>
  </si>
  <si>
    <t xml:space="preserve">MERCEDES - BENZ S.A LIMITED             </t>
  </si>
  <si>
    <t xml:space="preserve">FAIRFIELD DAIRY PTY LTD                 </t>
  </si>
  <si>
    <t>HOWICK</t>
  </si>
  <si>
    <t xml:space="preserve">SHATTERPRUFE TRADING SA                 </t>
  </si>
  <si>
    <t xml:space="preserve">GOODYEAR SOUTH AFRICA PTY LTD           </t>
  </si>
  <si>
    <t xml:space="preserve">KANSAI PLASCON (PTY) LTD                </t>
  </si>
  <si>
    <t xml:space="preserve">FLEXICON AFRICA PTY LTD                 </t>
  </si>
  <si>
    <t xml:space="preserve">DETNET SA                               </t>
  </si>
  <si>
    <t xml:space="preserve">TMD FRICTION SA PTY LTD                 </t>
  </si>
  <si>
    <t>MERRIVALE</t>
  </si>
  <si>
    <t xml:space="preserve">TONGAAT HULETT STARCH PTY LTD           </t>
  </si>
  <si>
    <t>BELLVILLE SOUTH</t>
  </si>
  <si>
    <t xml:space="preserve">TIGER BRANDS                            </t>
  </si>
  <si>
    <t xml:space="preserve">SASOL DYNO NOBEL PTY LTD                </t>
  </si>
  <si>
    <t>EKANDUSTRIA</t>
  </si>
  <si>
    <t xml:space="preserve">APPLIED COATING TECHNOLOGIES SA         </t>
  </si>
  <si>
    <t>MEADOWDALE</t>
  </si>
  <si>
    <t xml:space="preserve">KRONES SA PTY LTD                       </t>
  </si>
  <si>
    <t>NORTH RIDING</t>
  </si>
  <si>
    <t xml:space="preserve">MIX TELEMATICS INTERNATIONAL PTY LTD    </t>
  </si>
  <si>
    <t xml:space="preserve">HYDRAQUIP                               </t>
  </si>
  <si>
    <t>DAL JOSAFAT</t>
  </si>
  <si>
    <t xml:space="preserve">RG BROSE AUTOMOTIVE COMPONENTS          </t>
  </si>
  <si>
    <t xml:space="preserve">ILLOVO SUGAR LTDB EDENVEL               </t>
  </si>
  <si>
    <t xml:space="preserve">DANONE SA PTY LTD                       </t>
  </si>
  <si>
    <t xml:space="preserve">REHAU POLYMER PTY LTD                   </t>
  </si>
  <si>
    <t xml:space="preserve">TRUDA SNACKS                            </t>
  </si>
  <si>
    <t>MKONDENI</t>
  </si>
  <si>
    <t xml:space="preserve">HENSOLDT OPTRONICS                      </t>
  </si>
  <si>
    <t xml:space="preserve">BEIER ENVIROTEC                         </t>
  </si>
  <si>
    <t xml:space="preserve">CIM AUTOMATION                          </t>
  </si>
  <si>
    <t xml:space="preserve">MECHANICAL CONCEPTS CC                  </t>
  </si>
  <si>
    <t xml:space="preserve">BRASTECH CC                             </t>
  </si>
  <si>
    <t xml:space="preserve">COMPASS WEAST SERIVIES PTY LTD          </t>
  </si>
  <si>
    <t>WESTMEAD</t>
  </si>
  <si>
    <t xml:space="preserve">FEDERAL - MOGUL FRICTION                </t>
  </si>
  <si>
    <t xml:space="preserve">COCA-COLA BEVERAGE SOUTH AFRICA         </t>
  </si>
  <si>
    <t xml:space="preserve">NR EXTREME ENGINEERING &amp; PIPING         </t>
  </si>
  <si>
    <t>CONGELLA</t>
  </si>
  <si>
    <t xml:space="preserve">NATIONAL PACKAGING SYSTEMS              </t>
  </si>
  <si>
    <t xml:space="preserve">ELUMATEC SOUTH AFRICA                   </t>
  </si>
  <si>
    <t>BOOYSENS RESERVE</t>
  </si>
  <si>
    <t xml:space="preserve">BMR BRAND                               </t>
  </si>
  <si>
    <t>HONEY DEW</t>
  </si>
  <si>
    <t xml:space="preserve">METERMATIC                              </t>
  </si>
  <si>
    <t xml:space="preserve">STAR BAKKER                             </t>
  </si>
  <si>
    <t xml:space="preserve">COCA - COLA FORTUNE (PTY) LTD           </t>
  </si>
  <si>
    <t xml:space="preserve">SMA ENGINEERING S.A. (PTY) LTD          </t>
  </si>
  <si>
    <t>WOODBROOK</t>
  </si>
  <si>
    <t xml:space="preserve">CORNING PRODUCTS                        </t>
  </si>
  <si>
    <t xml:space="preserve">BRIDGESTONE FIRESTONE                   </t>
  </si>
  <si>
    <t xml:space="preserve">FOXOLUTION SYSTEMS ENG CC               </t>
  </si>
  <si>
    <t>SUNNYDALE</t>
  </si>
  <si>
    <t xml:space="preserve">FOXTEC-IKHWEZI PTY LTD                  </t>
  </si>
  <si>
    <t>WEST BANK</t>
  </si>
  <si>
    <t xml:space="preserve">DEVCOTECH ELECTRICAL ENG                </t>
  </si>
  <si>
    <t xml:space="preserve">VOLKSWAGEN OF SA                        </t>
  </si>
  <si>
    <t xml:space="preserve">CLIFFORD WELDING SYSTEMS PTY LTD        </t>
  </si>
  <si>
    <t xml:space="preserve">ILLOVO SUGAR                            </t>
  </si>
  <si>
    <t xml:space="preserve">ABI BOTTLING                            </t>
  </si>
  <si>
    <t>PHOENIX</t>
  </si>
  <si>
    <t xml:space="preserve">FEDERAL MOGUL ENGINE BEARINGS (PTY) LTD </t>
  </si>
  <si>
    <t xml:space="preserve">MONDI LIMITED                           </t>
  </si>
  <si>
    <t>MEREBANK</t>
  </si>
  <si>
    <t xml:space="preserve">MARLEY SA PTY LTD                       </t>
  </si>
  <si>
    <t>TRUROLANDS</t>
  </si>
  <si>
    <t xml:space="preserve">JOHN THOMSON A DIV OF ACTOM (PTY) LTD   </t>
  </si>
  <si>
    <t>BELLVILLE</t>
  </si>
  <si>
    <t xml:space="preserve">BELGOTEX FLOORCOVERINGS PTY LTD         </t>
  </si>
  <si>
    <t>WILLOWTON</t>
  </si>
  <si>
    <t xml:space="preserve">SA STEELPACK SYSTEM SOLUTION            </t>
  </si>
  <si>
    <t>TONGAAT</t>
  </si>
  <si>
    <t xml:space="preserve">TROPICAL PLASTICS &amp; PACKAGING (PTY) LTD </t>
  </si>
  <si>
    <t xml:space="preserve">GRW ENGINERING                          </t>
  </si>
  <si>
    <t>WORCESTER</t>
  </si>
  <si>
    <t xml:space="preserve">B M S C ENGINEERING CC                  </t>
  </si>
  <si>
    <t>DURBANVILLE</t>
  </si>
  <si>
    <t xml:space="preserve">SMITHS PLASTICS PTY LTD                 </t>
  </si>
  <si>
    <t>NEW GERMANY</t>
  </si>
  <si>
    <t xml:space="preserve">ILLOVO SUGAR LTD-ESTON MILL             </t>
  </si>
  <si>
    <t xml:space="preserve">BEARINGS ON CC                          </t>
  </si>
  <si>
    <t>ROBERTSHAM</t>
  </si>
  <si>
    <t>PROSPECTON</t>
  </si>
  <si>
    <t xml:space="preserve">NEOPAK                                  </t>
  </si>
  <si>
    <t xml:space="preserve">BOWLER PLASTICS (PTY) LTD               </t>
  </si>
  <si>
    <t>OTTERY</t>
  </si>
  <si>
    <t xml:space="preserve">FILKRAFT (PTY)LTD                       </t>
  </si>
  <si>
    <t xml:space="preserve">RCL FOODS CONSUMER PTY                  </t>
  </si>
  <si>
    <t xml:space="preserve">RHEINMETALL LAINGSDALE (PTY) LTD        </t>
  </si>
  <si>
    <t xml:space="preserve">BROADWAY SWEETS                         </t>
  </si>
  <si>
    <t>BENONI SOUTH</t>
  </si>
  <si>
    <t xml:space="preserve">AFRISAM SA PTY LTD                      </t>
  </si>
  <si>
    <t>VULCANIA</t>
  </si>
  <si>
    <t xml:space="preserve">MCCAIN FOOD SOUTH AFRICA PTY LTD        </t>
  </si>
  <si>
    <t xml:space="preserve">REEF CONSTRUCTION MACHINERY             </t>
  </si>
  <si>
    <t xml:space="preserve">KIMBERLEY-CLARK S.A                     </t>
  </si>
  <si>
    <t xml:space="preserve">AVION EAST RAND PTY LTD                 </t>
  </si>
  <si>
    <t xml:space="preserve">BADER SA PTY LTD                        </t>
  </si>
  <si>
    <t>GARANKUWA</t>
  </si>
  <si>
    <t xml:space="preserve">M &amp; C BEARINGS &amp; TRANSMISSION           </t>
  </si>
  <si>
    <t>NIGEL</t>
  </si>
  <si>
    <t xml:space="preserve">RAPID INDUSTRIAL SUPPLIES PTY LTD       </t>
  </si>
  <si>
    <t xml:space="preserve">BULK TECHNIK CC                         </t>
  </si>
  <si>
    <t>NORTHCLIFF</t>
  </si>
  <si>
    <t xml:space="preserve">KEMIN INDUSTRIAL SA                     </t>
  </si>
  <si>
    <t>STERKFONTEIN</t>
  </si>
  <si>
    <t xml:space="preserve">Slk Bolt And Nuts                       </t>
  </si>
  <si>
    <t>SELBY</t>
  </si>
  <si>
    <t>BENROSE</t>
  </si>
  <si>
    <t xml:space="preserve">MIDA BAKKERY SUPPLIES                   </t>
  </si>
  <si>
    <t>EAST LYNNE</t>
  </si>
  <si>
    <t xml:space="preserve">PFG BUILDING GLASS                      </t>
  </si>
  <si>
    <t>SPRINGS</t>
  </si>
  <si>
    <t xml:space="preserve">ISANDO FOODS                            </t>
  </si>
  <si>
    <t xml:space="preserve">MEXAN PRODUCTS                          </t>
  </si>
  <si>
    <t xml:space="preserve">STRIDENT ENGINEERING CC                 </t>
  </si>
  <si>
    <t xml:space="preserve">SASOL CHEMICALS SA                      </t>
  </si>
  <si>
    <t xml:space="preserve">FINE BLANKING (PTY)LTD                  </t>
  </si>
  <si>
    <t>DEVLAND</t>
  </si>
  <si>
    <t xml:space="preserve">NAMPAK LIQUID PACKAGING                 </t>
  </si>
  <si>
    <t xml:space="preserve">T.R.W OCCUPANT RESTRIANT SYST           </t>
  </si>
  <si>
    <t xml:space="preserve">BUILD IT BETLHEHEM                      </t>
  </si>
  <si>
    <t>BETHLEHEM</t>
  </si>
  <si>
    <t xml:space="preserve">SIMERA TECHNOLOGY GROUP                 </t>
  </si>
  <si>
    <t>SOMERSET WEST</t>
  </si>
  <si>
    <t xml:space="preserve">THE SIMBA GROUP LTD                     </t>
  </si>
  <si>
    <t>PAROW INDUSTRIA</t>
  </si>
  <si>
    <t xml:space="preserve">HYDRABERG HYDRAULICS CC                 </t>
  </si>
  <si>
    <t xml:space="preserve">G.R.W ENGINEERING (PTY) LTD             </t>
  </si>
  <si>
    <t xml:space="preserve">CBI ELECTRIC TELECOM CABLES             </t>
  </si>
  <si>
    <t xml:space="preserve">INDECON CC                              </t>
  </si>
  <si>
    <t>FIRGROVE</t>
  </si>
  <si>
    <t xml:space="preserve">QUANTUM MECHANICAL CC                   </t>
  </si>
  <si>
    <t xml:space="preserve">AFRI WELDING &amp; TOOLS CC                 </t>
  </si>
  <si>
    <t xml:space="preserve">ESENCI CC                               </t>
  </si>
  <si>
    <t>BEAULIEU</t>
  </si>
  <si>
    <t xml:space="preserve">AFRICAN HERITAGE CONTRACT PACKERS CC    </t>
  </si>
  <si>
    <t xml:space="preserve">OMNIA FERTILIZER A DIVISION OF          </t>
  </si>
  <si>
    <t>DELMAS</t>
  </si>
  <si>
    <t xml:space="preserve">PREMIER BAKERY                          </t>
  </si>
  <si>
    <t>Durban</t>
  </si>
  <si>
    <t xml:space="preserve">BARNES REINFORCING INDUSTRIES           </t>
  </si>
  <si>
    <t xml:space="preserve">GRAZO CC                                </t>
  </si>
  <si>
    <t xml:space="preserve">JADEC STEEL PROJECT CC                  </t>
  </si>
  <si>
    <t xml:space="preserve">PREMIER FMCG (PTY) LTD                  </t>
  </si>
  <si>
    <t>KROONSTAD</t>
  </si>
  <si>
    <t xml:space="preserve">MARCOM PLASTICS CC                      </t>
  </si>
  <si>
    <t xml:space="preserve">CHET CHEMICALS A DIV OF                 </t>
  </si>
  <si>
    <t xml:space="preserve">BEVCAN A DIV OF NAMPAK PRODUCT LTD      </t>
  </si>
  <si>
    <t xml:space="preserve">BMG UITENHAGE 0143                      </t>
  </si>
  <si>
    <t xml:space="preserve">BBF SAFETY GROUP PTY LTD                </t>
  </si>
  <si>
    <t xml:space="preserve">CROSSLEY HOLDINGS                       </t>
  </si>
  <si>
    <t>REUNION</t>
  </si>
  <si>
    <t xml:space="preserve">FESTO DUR OFFICE                        </t>
  </si>
  <si>
    <t>SPRINGFIELD PARK</t>
  </si>
  <si>
    <t>FORT JACKSON</t>
  </si>
  <si>
    <t xml:space="preserve">HI CALIBRE ENGINEERING (PTY) LTD        </t>
  </si>
  <si>
    <t xml:space="preserve">KHP HYDRAULICS &amp; PNEUMATICS (PTY) LTD   </t>
  </si>
  <si>
    <t xml:space="preserve">REVLON SA                               </t>
  </si>
  <si>
    <t xml:space="preserve">ACEPAK PACKAGING SYSTEMS                </t>
  </si>
  <si>
    <t xml:space="preserve">HP HOSE &amp; FITTING SPECIALIST CC         </t>
  </si>
  <si>
    <t>CANELANDS</t>
  </si>
  <si>
    <t xml:space="preserve">EKHAMANZI SPRINGS                       </t>
  </si>
  <si>
    <t>FRANSCHHOEK</t>
  </si>
  <si>
    <t xml:space="preserve">TONGAAT HULLET STARCH                   </t>
  </si>
  <si>
    <t>RANDVAAL</t>
  </si>
  <si>
    <t xml:space="preserve">EAST COAST INSTRUMENTATION SALES        </t>
  </si>
  <si>
    <t xml:space="preserve">ROCBOLT TECHNOLGIES                     </t>
  </si>
  <si>
    <t>ELANDSFONTEIN</t>
  </si>
  <si>
    <t xml:space="preserve">GRIPPER &amp; CO (PTY) LTD                  </t>
  </si>
  <si>
    <t>OBSERVATORY</t>
  </si>
  <si>
    <t xml:space="preserve">EVRIGARD PTY LTD                        </t>
  </si>
  <si>
    <t>HAMMARSDALE</t>
  </si>
  <si>
    <t xml:space="preserve">PRODUCTIVE ENGINEERING CC               </t>
  </si>
  <si>
    <t xml:space="preserve">RCL FOODS CONSUMER (PTY)LTD             </t>
  </si>
  <si>
    <t xml:space="preserve">MAHLE BEHR SOUTH AFRCA (PTY) LTD        </t>
  </si>
  <si>
    <t xml:space="preserve">DFS PROCESS SOLUTIONS (PTY0 LTD         </t>
  </si>
  <si>
    <t xml:space="preserve">CLOVER S.A                              </t>
  </si>
  <si>
    <t xml:space="preserve">PINCLIP INDUSTRIES                      </t>
  </si>
  <si>
    <t xml:space="preserve">THUNDERBOLT GRAPHICS (PTY)LTD           </t>
  </si>
  <si>
    <t xml:space="preserve">FUEL INDUSTRY SERVICES PTY LTD          </t>
  </si>
  <si>
    <t xml:space="preserve">AL'S PROJECTS SPECIALIZED               </t>
  </si>
  <si>
    <t>BRACKENFELL</t>
  </si>
  <si>
    <t xml:space="preserve">FORMEX ENGINEERING                      </t>
  </si>
  <si>
    <t xml:space="preserve">ADCOCK INGRASM CRITICAL CARE PTY LTD    </t>
  </si>
  <si>
    <t xml:space="preserve">MEGA - PAK                              </t>
  </si>
  <si>
    <t xml:space="preserve">SHUKELA TRAINING CENTRE P/L             </t>
  </si>
  <si>
    <t xml:space="preserve">CTP WEB PRINTERS JOHANNESBURG           </t>
  </si>
  <si>
    <t xml:space="preserve">POLYOAK PACKAGING PTY LTD               </t>
  </si>
  <si>
    <t xml:space="preserve">MITTAL STEEL SOUTH AFRICA LIMITED       </t>
  </si>
  <si>
    <t xml:space="preserve">FERRERO SOUTH AFRICA (PTY) LTD          </t>
  </si>
  <si>
    <t xml:space="preserve">MPACT PLASTICS COMPRESSION MOULDING     </t>
  </si>
  <si>
    <t xml:space="preserve">KAYLA AFRICA SUPLIERS &amp; DISTRIBUTERS CC </t>
  </si>
  <si>
    <t xml:space="preserve">PERFECTION TOOL AND DIE PTY LTD         </t>
  </si>
  <si>
    <t xml:space="preserve">AMKA PRODUCTS                           </t>
  </si>
  <si>
    <t xml:space="preserve">TOTAL MINING CC                         </t>
  </si>
  <si>
    <t xml:space="preserve">SCOTT BADER                             </t>
  </si>
  <si>
    <t>TIGER BRANDS SNACKS &amp; TREATS &amp; BEVERAGES</t>
  </si>
  <si>
    <t>TIGER CONSUMER BRANDS LTD T/A TIGER MILL</t>
  </si>
  <si>
    <t xml:space="preserve">DALEIN AGRI PLAN PTY LTD                </t>
  </si>
  <si>
    <t>LEEUWFONTEIN</t>
  </si>
  <si>
    <t xml:space="preserve">QUALITECHS                              </t>
  </si>
  <si>
    <t>STEELEDALE</t>
  </si>
  <si>
    <t>ENTERPRISE FOOD AN DIV OF TIGER CONSUMER</t>
  </si>
  <si>
    <t>GERMISTON</t>
  </si>
  <si>
    <t xml:space="preserve">PHARMA - Q PTY LTD                      </t>
  </si>
  <si>
    <t>INDUSTRIA WEST</t>
  </si>
  <si>
    <t xml:space="preserve">DIVFOOD / NAMPAK                        </t>
  </si>
  <si>
    <t xml:space="preserve">K-QUIP                                  </t>
  </si>
  <si>
    <t>BUSHWILLOW PARK</t>
  </si>
  <si>
    <t xml:space="preserve">DISTELL (PTY) LTD                       </t>
  </si>
  <si>
    <t xml:space="preserve">POWER WORKS                             </t>
  </si>
  <si>
    <t xml:space="preserve">NORTH STAR INDUSTRIAL SUPPLIES CC       </t>
  </si>
  <si>
    <t xml:space="preserve">TRU GAGE MACHINES                       </t>
  </si>
  <si>
    <t>KNIGHTS</t>
  </si>
  <si>
    <t xml:space="preserve">TIGER BRANDS CHOCOLATE UNIT             </t>
  </si>
  <si>
    <t xml:space="preserve">PAIL PAC                                </t>
  </si>
  <si>
    <t xml:space="preserve">CIRCUIT BREAKER INDUSTRIES PTY LTD      </t>
  </si>
  <si>
    <t xml:space="preserve">PAILPRINT PTY LTD                       </t>
  </si>
  <si>
    <t xml:space="preserve">CITRASHINE                              </t>
  </si>
  <si>
    <t xml:space="preserve">CLOVER SA (PTY) LTD                     </t>
  </si>
  <si>
    <t xml:space="preserve">RCL FOODS CONSUMER (PTY) LTD            </t>
  </si>
  <si>
    <t xml:space="preserve">TENNECO RIDE CONTROL SA                 </t>
  </si>
  <si>
    <t xml:space="preserve">SMITHS MANUFACTURING PTY LTD            </t>
  </si>
  <si>
    <t xml:space="preserve">SHATTERPRUFE TRADING AS A               </t>
  </si>
  <si>
    <t xml:space="preserve">S4 INTERGRATION (PTY)LTD                </t>
  </si>
  <si>
    <t xml:space="preserve">EVEREADY (PTY) LTD                      </t>
  </si>
  <si>
    <t xml:space="preserve">BOYSEN EXHAUST TECHNOLOGY RSA (PTY) LTD </t>
  </si>
  <si>
    <t xml:space="preserve">REPMA ENGINEERING PTY LTD               </t>
  </si>
  <si>
    <t>INDUSTRIA NORTH</t>
  </si>
  <si>
    <t xml:space="preserve">DIRECTECH                               </t>
  </si>
  <si>
    <t xml:space="preserve">T3 PLASTIC PACKAGING                    </t>
  </si>
  <si>
    <t xml:space="preserve">R.A. DISTRIBUTORS CC                    </t>
  </si>
  <si>
    <t>RACEVIEW</t>
  </si>
  <si>
    <t xml:space="preserve">TOPLINE TOOLING (PTY) LTD               </t>
  </si>
  <si>
    <t xml:space="preserve">GOSSAMER STRUCTURES CC                  </t>
  </si>
  <si>
    <t xml:space="preserve">GLENCAROL                               </t>
  </si>
  <si>
    <t>BABELEGI</t>
  </si>
  <si>
    <t xml:space="preserve">TRANSDUCTER DEVELOPMENTS                </t>
  </si>
  <si>
    <t xml:space="preserve">TOSAS PTY LTD                           </t>
  </si>
  <si>
    <t xml:space="preserve">B.T. ENTERPRISES                        </t>
  </si>
  <si>
    <t>ORMONDE</t>
  </si>
  <si>
    <t xml:space="preserve">KELLOGGS CO OF SA                       </t>
  </si>
  <si>
    <t>NEW ERA</t>
  </si>
  <si>
    <t xml:space="preserve">WEIR MINERALS AFRICA                    </t>
  </si>
  <si>
    <t xml:space="preserve">SWIFT ENGINEERING SA                    </t>
  </si>
  <si>
    <t xml:space="preserve">APPLETISER sa (PTY) LTD                 </t>
  </si>
  <si>
    <t>GRABOUW</t>
  </si>
  <si>
    <t xml:space="preserve">PAARL PNEUMATICS CC                     </t>
  </si>
  <si>
    <t>PAROW EAST</t>
  </si>
  <si>
    <t xml:space="preserve">COCA COLA CANNERS OF SA                 </t>
  </si>
  <si>
    <t xml:space="preserve">CDP MANUFACTURING CC                    </t>
  </si>
  <si>
    <t xml:space="preserve">SEMICONDUCTOR SOLUTIONS                 </t>
  </si>
  <si>
    <t xml:space="preserve">HANSENS ENGENNERING                     </t>
  </si>
  <si>
    <t>SIDWELL</t>
  </si>
  <si>
    <t xml:space="preserve">CALDEIRA ENGENEERING                    </t>
  </si>
  <si>
    <t xml:space="preserve">BEARING &amp; HYDRAULIC SPARES              </t>
  </si>
  <si>
    <t xml:space="preserve">SIGNAL INSTRUMENTATION CC               </t>
  </si>
  <si>
    <t>EFFINGHAM HEIGHTS</t>
  </si>
  <si>
    <t xml:space="preserve">POLYOAK PACKAGING (PTY) LTD             </t>
  </si>
  <si>
    <t xml:space="preserve">BBF SAFETY GROUP (PTY)LTD               </t>
  </si>
  <si>
    <t xml:space="preserve">ARCTURUS MANUFACTURING                  </t>
  </si>
  <si>
    <t xml:space="preserve">ABI DIV OF SAB LTD                      </t>
  </si>
  <si>
    <t>PHOENIX INDUSTRIAL AREA</t>
  </si>
  <si>
    <t xml:space="preserve">JESSOP &amp; ASSOCIATES (PTY) LTD           </t>
  </si>
  <si>
    <t>THREE RIVERS</t>
  </si>
  <si>
    <t xml:space="preserve">COMMUTER TRANSPORT ENGINEERING DUR      </t>
  </si>
  <si>
    <t>MASONS MILL</t>
  </si>
  <si>
    <t xml:space="preserve">ACOUSTEX  TRIM                          </t>
  </si>
  <si>
    <t xml:space="preserve">CONTROL IT                              </t>
  </si>
  <si>
    <t xml:space="preserve">COCA -COLA BEVERAGES SA (PTY) LTD       </t>
  </si>
  <si>
    <t xml:space="preserve">UNIVERSITY OF STELLENBOSCH CREDITORS    </t>
  </si>
  <si>
    <t xml:space="preserve">THE SIMBA GROUP                         </t>
  </si>
  <si>
    <t xml:space="preserve">ETVAAL MEUBELVERVAARDIGERS              </t>
  </si>
  <si>
    <t>BRONKHORSTSPRUIT</t>
  </si>
  <si>
    <t xml:space="preserve">CAPE OIL AND MARGRAINE                  </t>
  </si>
  <si>
    <t xml:space="preserve">WICTRA HOLDINGS (PTY)LTD                </t>
  </si>
  <si>
    <t xml:space="preserve">ALBANY BAKERIES                         </t>
  </si>
  <si>
    <t xml:space="preserve">I M E SA                                </t>
  </si>
  <si>
    <t>HONEYDEW</t>
  </si>
  <si>
    <t xml:space="preserve">ALPINE LOUNGE A DIV OF BRAVO GROUP      </t>
  </si>
  <si>
    <t xml:space="preserve">PAK 2000 (PTY) LTD                      </t>
  </si>
  <si>
    <t xml:space="preserve">BRIDGESTONE FIRESTONE SA PTY LTD        </t>
  </si>
  <si>
    <t xml:space="preserve">BULKMATIC SOLIDS MACH                   </t>
  </si>
  <si>
    <t xml:space="preserve">WILMAR CONTINENTAL EDIBLE OILS          </t>
  </si>
  <si>
    <t xml:space="preserve">SWARTLAND BOUDIENSTE PTY LTD            </t>
  </si>
  <si>
    <t>KLEINBOS</t>
  </si>
  <si>
    <t xml:space="preserve">PRODUCTIVE SYSTEMS CC                   </t>
  </si>
  <si>
    <t xml:space="preserve">COBRA WATERTECH (PTY)LTD                </t>
  </si>
  <si>
    <t>KRUGERSDORP</t>
  </si>
  <si>
    <t xml:space="preserve">HELLERMANN TYTON                        </t>
  </si>
  <si>
    <t>MARLBORO</t>
  </si>
  <si>
    <t xml:space="preserve">BRM BRAND                               </t>
  </si>
  <si>
    <t>FAIRLAND</t>
  </si>
  <si>
    <t xml:space="preserve">BANDINI CHEESE PTY LTD                  </t>
  </si>
  <si>
    <t>DOORNKOP</t>
  </si>
  <si>
    <t xml:space="preserve">DATA ELECTRICAL INSTRUMANTATION         </t>
  </si>
  <si>
    <t xml:space="preserve">CONSUMER A DIV OF TIGER BRANDS          </t>
  </si>
  <si>
    <t xml:space="preserve">WICTRA HOLDINGS PTY                     </t>
  </si>
  <si>
    <t>DUNSWART</t>
  </si>
  <si>
    <t xml:space="preserve">MARTIN &amp; MARTIN (PTY) LTD               </t>
  </si>
  <si>
    <t>NDABENI</t>
  </si>
  <si>
    <t xml:space="preserve">CPC STSTEMS CC                          </t>
  </si>
  <si>
    <t>DOORNBULT</t>
  </si>
  <si>
    <t xml:space="preserve">ZF LEMFOERDER SA                        </t>
  </si>
  <si>
    <t xml:space="preserve">ASPEN NUTRITIONALS                      </t>
  </si>
  <si>
    <t xml:space="preserve">COREL INSTRUMENTATION &amp; CONTRO          </t>
  </si>
  <si>
    <t>VAALPARK</t>
  </si>
  <si>
    <t xml:space="preserve">SAR ELECTRONIC SA PTY LTD               </t>
  </si>
  <si>
    <t>MONTANA PARK</t>
  </si>
  <si>
    <t xml:space="preserve">PFERD SA PTY LTD                        </t>
  </si>
  <si>
    <t xml:space="preserve">ELDERWOOD TRADING CC                    </t>
  </si>
  <si>
    <t>STRAND</t>
  </si>
  <si>
    <t xml:space="preserve">ITHUBA VALVES &amp; INDUSTRIAL SUPPLIES     </t>
  </si>
  <si>
    <t xml:space="preserve">CLOVER S.A (PTY) LTD                    </t>
  </si>
  <si>
    <t>FRANKFORT</t>
  </si>
  <si>
    <t xml:space="preserve">DALE SPIRAL SYSTEMS &amp; BAKERY AUTOMATION </t>
  </si>
  <si>
    <t xml:space="preserve">PILOT FURNITURE MANUFACTURERS           </t>
  </si>
  <si>
    <t xml:space="preserve">PPC CEMENT SA (PTY)LTD                  </t>
  </si>
  <si>
    <t>HERIOTDALE</t>
  </si>
  <si>
    <t xml:space="preserve">P.J.ENGINEERING                         </t>
  </si>
  <si>
    <t>SOMERSET EAST</t>
  </si>
  <si>
    <t xml:space="preserve">SPICER AXLE (PTY) LTD                   </t>
  </si>
  <si>
    <t xml:space="preserve">MAXION WHEELS SA                        </t>
  </si>
  <si>
    <t xml:space="preserve">TI GROUP AUTOMOTIVE SYSTEM              </t>
  </si>
  <si>
    <t xml:space="preserve">BOLT &amp; ENG (PLATPROV)                   </t>
  </si>
  <si>
    <t>RUSTENBURG</t>
  </si>
  <si>
    <t xml:space="preserve">VARELEC DISTRIBUTORS CC                 </t>
  </si>
  <si>
    <t xml:space="preserve">ADIENT PASDEC PTY                       </t>
  </si>
  <si>
    <t xml:space="preserve">AEL MINING SERVICES LTD                 </t>
  </si>
  <si>
    <t xml:space="preserve">SCHENK'S ELECTRICAL CC                  </t>
  </si>
  <si>
    <t>CRADOCK</t>
  </si>
  <si>
    <t xml:space="preserve">UNIVERSAL AUTOMATED SYSTEMS PTY LTD     </t>
  </si>
  <si>
    <t xml:space="preserve">BOXMORE SPECIALITY PLASTIC              </t>
  </si>
  <si>
    <t xml:space="preserve">CB PNEUMATICS PTY LTD                   </t>
  </si>
  <si>
    <t xml:space="preserve">FILKRAFT ( PTY) LTD                     </t>
  </si>
  <si>
    <t xml:space="preserve">TECHQUIP DEVELOPMENTS CC                </t>
  </si>
  <si>
    <t xml:space="preserve">FLUID SYSTEMS                           </t>
  </si>
  <si>
    <t>BEACONVALE</t>
  </si>
  <si>
    <t xml:space="preserve">WICTRA HOLDINGS PTY LTD                 </t>
  </si>
  <si>
    <t xml:space="preserve">FELTEX FEHRER                           </t>
  </si>
  <si>
    <t xml:space="preserve">TRUDA SNACKS CAPE CC                    </t>
  </si>
  <si>
    <t xml:space="preserve">TECHNOVAA PACKAGING                     </t>
  </si>
  <si>
    <t xml:space="preserve">PORTLAND PACKAGING MANUFACTURING        </t>
  </si>
  <si>
    <t>SOUTHPORT</t>
  </si>
  <si>
    <t xml:space="preserve">MAGNACORP 397 CC/TA CONCEPT             </t>
  </si>
  <si>
    <t xml:space="preserve">ISLAND VIEW STORAGE                     </t>
  </si>
  <si>
    <t>ISLAND VIEW</t>
  </si>
  <si>
    <t xml:space="preserve">AWESOME SNACKS                          </t>
  </si>
  <si>
    <t>WILBERT</t>
  </si>
  <si>
    <t xml:space="preserve">AIR LIQUIDE HOSPITAL                    </t>
  </si>
  <si>
    <t xml:space="preserve">DOUGLASDALE DAIRY PTY LTD               </t>
  </si>
  <si>
    <t>BRYANSTON</t>
  </si>
  <si>
    <t xml:space="preserve">ARCH WATER PRODUCTS SA                  </t>
  </si>
  <si>
    <t xml:space="preserve">TUGWELL TOOLING &amp; DESING                </t>
  </si>
  <si>
    <t xml:space="preserve">LINDE + WIEMANN (PTY) LTD               </t>
  </si>
  <si>
    <t xml:space="preserve">CHEVRON SOUTH AFRICA                    </t>
  </si>
  <si>
    <t xml:space="preserve">DORMAS                                  </t>
  </si>
  <si>
    <t xml:space="preserve">PREMIER FOODS (PTY) LTD                 </t>
  </si>
  <si>
    <t>VEREENIGING</t>
  </si>
  <si>
    <t xml:space="preserve">SMITHS MANUFACTURING                    </t>
  </si>
  <si>
    <t xml:space="preserve">ITM                                     </t>
  </si>
  <si>
    <t xml:space="preserve">Ctp Flexibles                           </t>
  </si>
  <si>
    <t xml:space="preserve">AIR PRODUCTS                            </t>
  </si>
  <si>
    <t xml:space="preserve">ANDREW MENTIS PTY                       </t>
  </si>
  <si>
    <t>ACTIVIA PARK</t>
  </si>
  <si>
    <t xml:space="preserve">PE HYDRAULIC &amp; PNEUMATICS               </t>
  </si>
  <si>
    <t xml:space="preserve">EUREKA CONSTRUCTION                     </t>
  </si>
  <si>
    <t>HENNENMAN</t>
  </si>
  <si>
    <t xml:space="preserve">ROBOTIC HANDLING SYSTEM Cc              </t>
  </si>
  <si>
    <t xml:space="preserve">PAILPAC PTY LTD                         </t>
  </si>
  <si>
    <t xml:space="preserve">ALL ENGINEERING SERVICES CC             </t>
  </si>
  <si>
    <t>MUIZENBERG</t>
  </si>
  <si>
    <t xml:space="preserve">HMT MECHATRONICS CC                     </t>
  </si>
  <si>
    <t xml:space="preserve">ERA STENE / ROSEMA BRICKS PTY LTD       </t>
  </si>
  <si>
    <t>LEEUFONTEIN</t>
  </si>
  <si>
    <t xml:space="preserve">SHATTERPRUFE TRADING                    </t>
  </si>
  <si>
    <t>GA-RANKUWA EXT</t>
  </si>
  <si>
    <t xml:space="preserve">CSM ENGINEERING CC                      </t>
  </si>
  <si>
    <t xml:space="preserve">RAND BUILDING HYDRAULICS PTY LTD        </t>
  </si>
  <si>
    <t xml:space="preserve">ADCOCK INGRAM HEALTHCARE (PTY)LTD       </t>
  </si>
  <si>
    <t xml:space="preserve">BUFFALO CITY TVT COLLEGE                </t>
  </si>
  <si>
    <t xml:space="preserve">KLT AUTOMATION &amp; TUBLAR PRODUCT PTY LTD </t>
  </si>
  <si>
    <t xml:space="preserve">MORDERN PROCESSING EQUIPMENT CC         </t>
  </si>
  <si>
    <t xml:space="preserve">FAIR PRICE FUNISHERS PTY LTD            </t>
  </si>
  <si>
    <t xml:space="preserve">ERGO MINING                             </t>
  </si>
  <si>
    <t xml:space="preserve">BANTEX SA                               </t>
  </si>
  <si>
    <t>INDUSTRIA</t>
  </si>
  <si>
    <t xml:space="preserve">FORD MOTOR CO. SA MANUFACTURING         </t>
  </si>
  <si>
    <t xml:space="preserve">INDUSTRIAL PACKAGING MACHINERY          </t>
  </si>
  <si>
    <t xml:space="preserve">CONSIGNMENT ACC- MSG                    </t>
  </si>
  <si>
    <t xml:space="preserve">INTAKA TECH PTY LTD                     </t>
  </si>
  <si>
    <t>WESTLAKE</t>
  </si>
  <si>
    <t xml:space="preserve">OILCO (PTY) LTD                         </t>
  </si>
  <si>
    <t xml:space="preserve">COMPTECH ELECTRONICS                    </t>
  </si>
  <si>
    <t>NEWTON PARK</t>
  </si>
  <si>
    <t xml:space="preserve">TWIZZA CC                               </t>
  </si>
  <si>
    <t>QUEENSTOWN</t>
  </si>
  <si>
    <t xml:space="preserve">HULAMIN OPERATIONS PTY LTD              </t>
  </si>
  <si>
    <t xml:space="preserve">ACT LOGISTICS                           </t>
  </si>
  <si>
    <t xml:space="preserve">SPIRAX SARCO SA                         </t>
  </si>
  <si>
    <t xml:space="preserve">NATIONAL BRANDS BIS / SNK DIV           </t>
  </si>
  <si>
    <t xml:space="preserve">APR AUTOMATION                          </t>
  </si>
  <si>
    <t xml:space="preserve">DONALDSON FIL.SYS.(PTY)LTD              </t>
  </si>
  <si>
    <t xml:space="preserve">IRVIN &amp; JOHNSON LTD                     </t>
  </si>
  <si>
    <t xml:space="preserve">COCA-COLA BEVERGES SOUTH AFRICA PTY LTD </t>
  </si>
  <si>
    <t xml:space="preserve">BMG PRETORIA 0169                       </t>
  </si>
  <si>
    <t xml:space="preserve">TRASNSPACO SPECIALISED FILMS (PTY)LTD   </t>
  </si>
  <si>
    <t xml:space="preserve">IMPALA PLATINIUM REFINERIES LTD         </t>
  </si>
  <si>
    <t>EAST GEDULD</t>
  </si>
  <si>
    <t xml:space="preserve">COCA - COLA POLOKWANE                   </t>
  </si>
  <si>
    <t>POLOKWANE</t>
  </si>
  <si>
    <t xml:space="preserve">KW BREAD PACKAGING SYSTEMS CC           </t>
  </si>
  <si>
    <t xml:space="preserve">EVOLVE PRODUCTION SUPPORT PTY LTD       </t>
  </si>
  <si>
    <t xml:space="preserve">AUTOMA MULTI STYRENE                    </t>
  </si>
  <si>
    <t xml:space="preserve">BASF SA PTY LTD                         </t>
  </si>
  <si>
    <t xml:space="preserve">TENNECO EMISSION CONTROL                </t>
  </si>
  <si>
    <t xml:space="preserve">OILCO ENGENEERING                       </t>
  </si>
  <si>
    <t xml:space="preserve">ANDERSON ENGINEERING &amp;                  </t>
  </si>
  <si>
    <t xml:space="preserve">MARLEY PIPE SYSTEMS SA PTY LTD          </t>
  </si>
  <si>
    <t xml:space="preserve">PG BISON A DIV OF KAP DIVERSIFIED       </t>
  </si>
  <si>
    <t xml:space="preserve">G.R.W COMMERCIALS PTY LTD               </t>
  </si>
  <si>
    <t>WITFIELD</t>
  </si>
  <si>
    <t>NORTHDENE</t>
  </si>
  <si>
    <t xml:space="preserve">PACIFIC FLUID COMPONENTS CC             </t>
  </si>
  <si>
    <t>QUEENSBURGH</t>
  </si>
  <si>
    <t xml:space="preserve">LUNGILE PACKAGING CC                    </t>
  </si>
  <si>
    <t>ACORN</t>
  </si>
  <si>
    <t>KROMBERG &amp; SCHUBERT CABLE &amp; WIRE PTY LTD</t>
  </si>
  <si>
    <t xml:space="preserve">ILLOVO SUGAR LTD                        </t>
  </si>
  <si>
    <t xml:space="preserve">SAPPI SA LTD                            </t>
  </si>
  <si>
    <t xml:space="preserve">KIM TAYLOR ENTEPRISE                    </t>
  </si>
  <si>
    <t>MAYVILLE</t>
  </si>
  <si>
    <t xml:space="preserve">CROWN CHICKENS (PTY) LTD                </t>
  </si>
  <si>
    <t xml:space="preserve">VAN NIEKERK PACKAGING SUPPORT           </t>
  </si>
  <si>
    <t xml:space="preserve">FOODCORP PTY LTD                        </t>
  </si>
  <si>
    <t xml:space="preserve">PG BISON PTY LTD UGIE BOARD PLANT       </t>
  </si>
  <si>
    <t>UGIE</t>
  </si>
  <si>
    <t xml:space="preserve">FLUID CONTROL SERVICES CC               </t>
  </si>
  <si>
    <t>GLENANDA</t>
  </si>
  <si>
    <t xml:space="preserve">PIONEER FOODS                           </t>
  </si>
  <si>
    <t xml:space="preserve">PIONEER FOODS GROCERIES PTY             </t>
  </si>
  <si>
    <t xml:space="preserve">SMMF SOFTWARE TECHNOLOGIES              </t>
  </si>
  <si>
    <t xml:space="preserve">TLOU MATEBELE TRADING &amp; PROJECTS        </t>
  </si>
  <si>
    <t>MOKOPANE</t>
  </si>
  <si>
    <t xml:space="preserve">RHODES FOOD GROUP                       </t>
  </si>
  <si>
    <t xml:space="preserve">SHAUN PUCHERT                           </t>
  </si>
  <si>
    <t xml:space="preserve">NR EXTREME ENGINEERING AND PIPING       </t>
  </si>
  <si>
    <t>ALBERTON</t>
  </si>
  <si>
    <t>KEMPTON PARK</t>
  </si>
  <si>
    <t xml:space="preserve">NEOPAK PTY LTD                          </t>
  </si>
  <si>
    <t xml:space="preserve">GAYATRI PAPER MILLS PTY LTD             </t>
  </si>
  <si>
    <t>GERMISTON SOUTH</t>
  </si>
  <si>
    <t xml:space="preserve">FUSE - A - TRON CC                      </t>
  </si>
  <si>
    <t xml:space="preserve">UNIQUE HYDRA (PTY)LTD                   </t>
  </si>
  <si>
    <t xml:space="preserve">SILVER CONTROLS SYSTEM Cc               </t>
  </si>
  <si>
    <t xml:space="preserve">MINACO PTY LTD DIVISTION LASTRE         </t>
  </si>
  <si>
    <t>SAMSUNG ELECTRONICS SA PRODUCTION PTY PL</t>
  </si>
  <si>
    <t>LA MERCY</t>
  </si>
  <si>
    <t xml:space="preserve">COMMUTER TRANSPORT ENGINEERING          </t>
  </si>
  <si>
    <t>OKAVANGO PARK</t>
  </si>
  <si>
    <t xml:space="preserve">CORPCLO 1814 CC T/A BORDER FUEL         </t>
  </si>
  <si>
    <t xml:space="preserve">BOXMORE PLASTICS                        </t>
  </si>
  <si>
    <t>DENVER</t>
  </si>
  <si>
    <t xml:space="preserve">NATIONAL BRANDS LTD BECKETTS            </t>
  </si>
  <si>
    <t xml:space="preserve">DOPPTECH (PTY) LTD                      </t>
  </si>
  <si>
    <t xml:space="preserve">FOODCORP PTY LTD MILLING                </t>
  </si>
  <si>
    <t xml:space="preserve">COPMRESSED AIR                          </t>
  </si>
  <si>
    <t>EASTLEIGH</t>
  </si>
  <si>
    <t xml:space="preserve">ENTERPRISE FOODS                        </t>
  </si>
  <si>
    <t xml:space="preserve">TRANSVAAL HYDRAULICS                    </t>
  </si>
  <si>
    <t xml:space="preserve">FESTO PLZ                               </t>
  </si>
  <si>
    <t xml:space="preserve">XPANDA PTY LTD                          </t>
  </si>
  <si>
    <t>ASHWOOD</t>
  </si>
  <si>
    <t xml:space="preserve">MONITECH                                </t>
  </si>
  <si>
    <t>BRENTWOOD PARK</t>
  </si>
  <si>
    <t xml:space="preserve">AUTO X PTY LTD                          </t>
  </si>
  <si>
    <t xml:space="preserve">MOTION TRONIC Cc                        </t>
  </si>
  <si>
    <t>WATERFALL</t>
  </si>
  <si>
    <t xml:space="preserve">DUNLOP INDUSTRIAL PRODUCTS PTY LTD      </t>
  </si>
  <si>
    <t xml:space="preserve">ACAP HYDRO PNEUMATIC SUPPLY CC          </t>
  </si>
  <si>
    <t xml:space="preserve">SPRING MEADOW DAIRY FARM (PTY)LTD       </t>
  </si>
  <si>
    <t>NOTTINGHAM ROAD</t>
  </si>
  <si>
    <t xml:space="preserve">TALT-TEC CC                             </t>
  </si>
  <si>
    <t xml:space="preserve">Rand Refinery                           </t>
  </si>
  <si>
    <t>Germiston</t>
  </si>
  <si>
    <t xml:space="preserve">ALUVIN SECURISEAL                       </t>
  </si>
  <si>
    <t xml:space="preserve">SUPREME SPRING                          </t>
  </si>
  <si>
    <t xml:space="preserve">INK JET PRINTERS                        </t>
  </si>
  <si>
    <t xml:space="preserve">ROBOTIC INNOVATIONS PTY                 </t>
  </si>
  <si>
    <t xml:space="preserve">DICKIE &amp; STOCKLER                       </t>
  </si>
  <si>
    <t>VILLAGE DEEP</t>
  </si>
  <si>
    <t xml:space="preserve">TRANSNET ENGINEERING                    </t>
  </si>
  <si>
    <t>KOEDOESPOORT</t>
  </si>
  <si>
    <t xml:space="preserve">J F EQUIPMENT                           </t>
  </si>
  <si>
    <t>ROODEPOORT</t>
  </si>
  <si>
    <t xml:space="preserve">HEINEKEN SOUTH AFRICA (PTY) LTD         </t>
  </si>
  <si>
    <t xml:space="preserve">AFRICAN RAIL &amp; TRACTION SERI            </t>
  </si>
  <si>
    <t xml:space="preserve">SABRIX PTY LTD                          </t>
  </si>
  <si>
    <t xml:space="preserve">EAST COAST MOTOR SPARES                 </t>
  </si>
  <si>
    <t>CHATSWORTH</t>
  </si>
  <si>
    <t xml:space="preserve">AGRIPLAS                                </t>
  </si>
  <si>
    <t xml:space="preserve">KLEVAN DEVELOPMENT CC                   </t>
  </si>
  <si>
    <t>PHALABORWA</t>
  </si>
  <si>
    <t xml:space="preserve">VAAL FLUID SYSTEMS SA (PTY) LTD         </t>
  </si>
  <si>
    <t xml:space="preserve">PHARMACEUTICAL CONTRACTORS              </t>
  </si>
  <si>
    <t xml:space="preserve">ELINEM ENGINEERING PTY LTD              </t>
  </si>
  <si>
    <t xml:space="preserve">HARVARD PROJECTS                        </t>
  </si>
  <si>
    <t>MARAISBURG</t>
  </si>
  <si>
    <t xml:space="preserve">DARLING BREW                            </t>
  </si>
  <si>
    <t>DARLING</t>
  </si>
  <si>
    <t xml:space="preserve">BOND STREET                             </t>
  </si>
  <si>
    <t>GLEN AUSTIN</t>
  </si>
  <si>
    <t xml:space="preserve">LATHAM FILTARTION TECHNOLOGY PTY LTD    </t>
  </si>
  <si>
    <t xml:space="preserve">TSWANE MOTLHAGASE DISTRUBUTORS          </t>
  </si>
  <si>
    <t xml:space="preserve">CORRUSEAL CORRUGATED                    </t>
  </si>
  <si>
    <t xml:space="preserve">AFRISAM SA                              </t>
  </si>
  <si>
    <t xml:space="preserve">JAM INTERNATIONAL                       </t>
  </si>
  <si>
    <t xml:space="preserve">MED AUTOMATION                          </t>
  </si>
  <si>
    <t xml:space="preserve">SAFAL STEEL                             </t>
  </si>
  <si>
    <t>CATO RIDGE</t>
  </si>
  <si>
    <t xml:space="preserve">OMNIRAIPD MINING &amp; INDUSTRIAL SUPPLER   </t>
  </si>
  <si>
    <t xml:space="preserve">JOHNSON MATTHEY PTY LTD                 </t>
  </si>
  <si>
    <t xml:space="preserve">PURION  NETWORX                         </t>
  </si>
  <si>
    <t>IFAFI</t>
  </si>
  <si>
    <t xml:space="preserve">PREMIER CAPE TOWN WHEAT MILL            </t>
  </si>
  <si>
    <t>SALT RIVER</t>
  </si>
  <si>
    <t xml:space="preserve">L.B.E ELECTRICAL                        </t>
  </si>
  <si>
    <t xml:space="preserve">ELSTER KENT METERING                    </t>
  </si>
  <si>
    <t xml:space="preserve">BRANELL MANUFACTURING (PTY)LTD          </t>
  </si>
  <si>
    <t xml:space="preserve">CHEMPLUS CC                             </t>
  </si>
  <si>
    <t>KWA SITHEBE</t>
  </si>
  <si>
    <t xml:space="preserve">NON FERROUS METAL WORKS                 </t>
  </si>
  <si>
    <t xml:space="preserve">CULINARY A DIV OF TIGER CONSUMER BRANDS </t>
  </si>
  <si>
    <t>BOKSBURG EAST</t>
  </si>
  <si>
    <t xml:space="preserve">CONSOL GLASS (PTY) LTD                  </t>
  </si>
  <si>
    <t xml:space="preserve">CTP LTD T/A PACKAGING                   </t>
  </si>
  <si>
    <t xml:space="preserve">CRABTREE ELECTRICAL ACCESSORIE          </t>
  </si>
  <si>
    <t xml:space="preserve">CSIR CENTRAL PROCUREMENT OFFICE         </t>
  </si>
  <si>
    <t xml:space="preserve">SA SUGAR ASSOCIATION                    </t>
  </si>
  <si>
    <t xml:space="preserve">MBSA # PASSENGER CARS                   </t>
  </si>
  <si>
    <t xml:space="preserve">VACUFORM 2000 (PTY)LTD                  </t>
  </si>
  <si>
    <t xml:space="preserve">BANDAG SOUHT AFRICA PTY LTD             </t>
  </si>
  <si>
    <t>ALRODE EXT 2</t>
  </si>
  <si>
    <t xml:space="preserve">BMG GEORGE 0122                         </t>
  </si>
  <si>
    <t>GEORGE</t>
  </si>
  <si>
    <t xml:space="preserve">EBERSPACHER ROSSLYN                     </t>
  </si>
  <si>
    <t xml:space="preserve">RHEINMETALL DENEL MUNITION              </t>
  </si>
  <si>
    <t xml:space="preserve">SUNBAKE BENONI                          </t>
  </si>
  <si>
    <t>COCA-COCAL BEVERAGES SOTH AFRICA PTY LTD</t>
  </si>
  <si>
    <t xml:space="preserve">S.A. ASTRONOMICAL OBSERVATORY           </t>
  </si>
  <si>
    <t xml:space="preserve">AGM 2 TRUST                             </t>
  </si>
  <si>
    <t>LOTHAIR</t>
  </si>
  <si>
    <t xml:space="preserve">SUPPLYRITE CC                           </t>
  </si>
  <si>
    <t>GOSFORTH PARK</t>
  </si>
  <si>
    <t xml:space="preserve">SAINT GOBAIN CONSTRUCTION PRODUCTS      </t>
  </si>
  <si>
    <t xml:space="preserve">BERFLEX                                 </t>
  </si>
  <si>
    <t xml:space="preserve">SCHOEMAN BOEDERY EDM BEPERK             </t>
  </si>
  <si>
    <t>MARBLE HALL</t>
  </si>
  <si>
    <t xml:space="preserve">METROCAS CC                             </t>
  </si>
  <si>
    <t>VORNA VALLEY</t>
  </si>
  <si>
    <t xml:space="preserve">PAMODZI UNIQUE ENGINEERING              </t>
  </si>
  <si>
    <t>LILIANTON</t>
  </si>
  <si>
    <t xml:space="preserve">THERMAL FUSION CC                       </t>
  </si>
  <si>
    <t xml:space="preserve">CLOVER SA (PTY)LTD                      </t>
  </si>
  <si>
    <t xml:space="preserve">MACSTEEL TUBE &amp; PIPE PTY LTD            </t>
  </si>
  <si>
    <t xml:space="preserve">CCG CABLE TERMINATIONS                  </t>
  </si>
  <si>
    <t xml:space="preserve">VIDEX WIRE PRODUCTS PTY LTD             </t>
  </si>
  <si>
    <t xml:space="preserve">BORBET SA (PTY) LTD                     </t>
  </si>
  <si>
    <t xml:space="preserve">SCHAFER ENGINEERING CC                  </t>
  </si>
  <si>
    <t xml:space="preserve">TEC SOUTH &amp; CENTRAL AFRICA (PTY)LTD     </t>
  </si>
  <si>
    <t xml:space="preserve">SINGISI FOREST                          </t>
  </si>
  <si>
    <t>MEYERTON</t>
  </si>
  <si>
    <t xml:space="preserve">MACSTEEL FLUID CONTROL                  </t>
  </si>
  <si>
    <t xml:space="preserve">LABTECH AFRICA PTY LTD                  </t>
  </si>
  <si>
    <t xml:space="preserve">AGV MANAGEMENT                          </t>
  </si>
  <si>
    <t xml:space="preserve">ATC INNOVATION (PTY) LTD                </t>
  </si>
  <si>
    <t xml:space="preserve">PNEUMATIC TANKER EQUIPMENT CC           </t>
  </si>
  <si>
    <t xml:space="preserve">PATERSON HUGHES ENGINEERING             </t>
  </si>
  <si>
    <t xml:space="preserve">TIGER CONSUMER BRANDS LTD               </t>
  </si>
  <si>
    <t xml:space="preserve">KOLOR WORLD                             </t>
  </si>
  <si>
    <t xml:space="preserve">FIRST NATIONAL BATTERY                  </t>
  </si>
  <si>
    <t xml:space="preserve">ESKORT MEAT                             </t>
  </si>
  <si>
    <t>HEIDELBERG</t>
  </si>
  <si>
    <t xml:space="preserve">REEF ENGINEERING &amp; MNFG CO.             </t>
  </si>
  <si>
    <t xml:space="preserve">SHATTERPRUFE NEAVE PLANT                </t>
  </si>
  <si>
    <t xml:space="preserve">Business Connexion Pty Lt               </t>
  </si>
  <si>
    <t xml:space="preserve">IMPROCHEM PTY LTD                       </t>
  </si>
  <si>
    <t>PAARDEN ISLAND</t>
  </si>
  <si>
    <t xml:space="preserve">PIONEER FOOD PTY LTD                    </t>
  </si>
  <si>
    <t xml:space="preserve">TONGAAT HULLET STARCH (PTY) LTD         </t>
  </si>
  <si>
    <t xml:space="preserve">NESTLE SOUTH AFRICA (PTY) LTD           </t>
  </si>
  <si>
    <t xml:space="preserve">DIGN ENGINEERING                        </t>
  </si>
  <si>
    <t>LORRAINE</t>
  </si>
  <si>
    <t xml:space="preserve">TORGA OPTICAL LENS MANUFACTURING        </t>
  </si>
  <si>
    <t xml:space="preserve">MS SERV CC                              </t>
  </si>
  <si>
    <t>PAARDEKRAAL</t>
  </si>
  <si>
    <t xml:space="preserve">TAURUS PAPER PRODUCTS (PTY)LTD          </t>
  </si>
  <si>
    <t>ISITHEBE</t>
  </si>
  <si>
    <t xml:space="preserve">PHARMACER LTD                           </t>
  </si>
  <si>
    <t xml:space="preserve">UNIVERSITY OF FREE STATE                </t>
  </si>
  <si>
    <t>BLOEMFONTEIN</t>
  </si>
  <si>
    <t xml:space="preserve">GRW ENGINEERING PTY LTD                 </t>
  </si>
  <si>
    <t xml:space="preserve">XMECO HEAVY ENGINEERING PTY LT (XMM)    </t>
  </si>
  <si>
    <t>MARKMAN</t>
  </si>
  <si>
    <t xml:space="preserve">PRIME INTERNATIONAL TRADING PTY LTD     </t>
  </si>
  <si>
    <t xml:space="preserve">REHAU POLYMER (PTY) LTD                 </t>
  </si>
  <si>
    <t xml:space="preserve">ROBIN COSS AVIATION CC                  </t>
  </si>
  <si>
    <t>CAPE TOWN AIRPORT</t>
  </si>
  <si>
    <t xml:space="preserve">GSK CONSUMER HEALTHCARE SA PTY LTD      </t>
  </si>
  <si>
    <t xml:space="preserve">FELTEX AUTOMOTIVE DIVISION              </t>
  </si>
  <si>
    <t xml:space="preserve">INKUNI PLASTICS                         </t>
  </si>
  <si>
    <t xml:space="preserve">KDP HYDRAULIC SERVICES &amp; ENG CC         </t>
  </si>
  <si>
    <t xml:space="preserve">GRINAKER -LTA                           </t>
  </si>
  <si>
    <t xml:space="preserve">NON FERROUS METAL WORKS SA PTY          </t>
  </si>
  <si>
    <t>ISIPINGO</t>
  </si>
  <si>
    <t xml:space="preserve">NORTHFIELD ENGINEERING (PTY) LTD        </t>
  </si>
  <si>
    <t xml:space="preserve">ILAMBU INDUSTRIAL SUPPLIERS             </t>
  </si>
  <si>
    <t xml:space="preserve">BME PACKAGING CC                        </t>
  </si>
  <si>
    <t>LONGMEADOW EXT 8</t>
  </si>
  <si>
    <t xml:space="preserve">ASSA ABLOY (SA)(PTY) LTD                </t>
  </si>
  <si>
    <t xml:space="preserve">ABERDARE CABLES PTY LTD                 </t>
  </si>
  <si>
    <t xml:space="preserve">BSN MEDICAL (PTY) LTD                   </t>
  </si>
  <si>
    <t xml:space="preserve">SOMTA TOOLS PTY LTD                     </t>
  </si>
  <si>
    <t xml:space="preserve">ERECH ROOS                              </t>
  </si>
  <si>
    <t xml:space="preserve">NEDBANK (NEDFLEET)                      </t>
  </si>
  <si>
    <t xml:space="preserve">COCA-COCAL POLOKWANE                    </t>
  </si>
  <si>
    <t xml:space="preserve">ALPHA HYDRAULICS                        </t>
  </si>
  <si>
    <t xml:space="preserve">TECHNICRETE ISG                         </t>
  </si>
  <si>
    <t xml:space="preserve">MCCAIN FOODS SA PTY LTD                 </t>
  </si>
  <si>
    <t xml:space="preserve">SASOL COBALT CATALYST MNFR PTY LTD      </t>
  </si>
  <si>
    <t xml:space="preserve">HANFIT PTY LTD                          </t>
  </si>
  <si>
    <t xml:space="preserve">BUILD IT HARRISMITH                     </t>
  </si>
  <si>
    <t>HARRISMITH</t>
  </si>
  <si>
    <t xml:space="preserve">FRESENIUS KABI MANUFACTURING            </t>
  </si>
  <si>
    <t xml:space="preserve">AL ZEHRI INVESTMENTS PTY LTD            </t>
  </si>
  <si>
    <t xml:space="preserve">WOOL TESTING BUREAU SA                  </t>
  </si>
  <si>
    <t>SUMMERSTRAND</t>
  </si>
  <si>
    <t xml:space="preserve">MORTIMER OFFSET (PTY)LTD                </t>
  </si>
  <si>
    <t xml:space="preserve">STANDING PTY LTD                        </t>
  </si>
  <si>
    <t>CHANCLIFF EXT 19</t>
  </si>
  <si>
    <t xml:space="preserve">GEMU VALUES AFRICA                      </t>
  </si>
  <si>
    <t>RANDBURG</t>
  </si>
  <si>
    <t xml:space="preserve">BIC SA PTY LTD                          </t>
  </si>
  <si>
    <t xml:space="preserve">KENRU FIRE PROTECTION                   </t>
  </si>
  <si>
    <t>KIMBERLEY</t>
  </si>
  <si>
    <t xml:space="preserve">CLOVER SA                               </t>
  </si>
  <si>
    <t xml:space="preserve">BEARINGS INTERNATIONAL                  </t>
  </si>
  <si>
    <t xml:space="preserve">FINLAR FINE FOODS (PTY) LTD             </t>
  </si>
  <si>
    <t xml:space="preserve">SAMANCOR LTD                            </t>
  </si>
  <si>
    <t xml:space="preserve">RHEEM SA PTY LTD                        </t>
  </si>
  <si>
    <t xml:space="preserve">ECHO FLOORS (PTY)LTD                    </t>
  </si>
  <si>
    <t>DRIEFONTEIN</t>
  </si>
  <si>
    <t xml:space="preserve">PROF ENGINEERING PTY LTD                </t>
  </si>
  <si>
    <t xml:space="preserve">TRIPLE OPTION TRADING 583 CC            </t>
  </si>
  <si>
    <t xml:space="preserve">DELPHIUS TECHNOLOGIES Cc                </t>
  </si>
  <si>
    <t xml:space="preserve">DK COURIERS                             </t>
  </si>
  <si>
    <t xml:space="preserve">RIDGE DISTRIBUTORS CC                   </t>
  </si>
  <si>
    <t xml:space="preserve">CAVALIER FOODS                          </t>
  </si>
  <si>
    <t>CULLINAN</t>
  </si>
  <si>
    <t xml:space="preserve">SOUTHERN PULP MACHINERY                 </t>
  </si>
  <si>
    <t xml:space="preserve">LEGHORN PRODUCTS PTY LTD                </t>
  </si>
  <si>
    <t xml:space="preserve">GREIF SA PTY LTD                        </t>
  </si>
  <si>
    <t xml:space="preserve">COOKHOUSE CREAMY (PTY)LTD               </t>
  </si>
  <si>
    <t>COOKHOUSE</t>
  </si>
  <si>
    <t xml:space="preserve">MARCE FIRE FIGHTING TECHNOLOGY          </t>
  </si>
  <si>
    <t>LYTTELTON</t>
  </si>
  <si>
    <t xml:space="preserve">TAL A DIV OF NARCROS SA (PTY)LTD        </t>
  </si>
  <si>
    <t xml:space="preserve">MINOVA SA                               </t>
  </si>
  <si>
    <t xml:space="preserve">CLOVER WATERS PTY LTD                   </t>
  </si>
  <si>
    <t xml:space="preserve">PIONEER PLASTICS                        </t>
  </si>
  <si>
    <t xml:space="preserve">PAARL MEDIA                             </t>
  </si>
  <si>
    <t>LINBRO PARK</t>
  </si>
  <si>
    <t xml:space="preserve">THUNDERBOLT PRINTING EQUIPMENT          </t>
  </si>
  <si>
    <t xml:space="preserve">YANFENG SA AUTOMOTIVE                   </t>
  </si>
  <si>
    <t xml:space="preserve">ROUTE MANAGEMENT PTY LTD                </t>
  </si>
  <si>
    <t xml:space="preserve">GOLDMANN ENGINEERING CC                 </t>
  </si>
  <si>
    <t xml:space="preserve">CHEMLINK SA (PTY) LTD                   </t>
  </si>
  <si>
    <t>DALESIDE</t>
  </si>
  <si>
    <t xml:space="preserve">ABERDARE CABLES (PTY) LTD               </t>
  </si>
  <si>
    <t xml:space="preserve">ROMATEX HOME TEXTILES PTY LTD           </t>
  </si>
  <si>
    <t>ALBANY BAKERY A DIVISION OF TIGER BRANDS</t>
  </si>
  <si>
    <t xml:space="preserve">ZENTIVA SA PTY LTD                      </t>
  </si>
  <si>
    <t>WALTLOO</t>
  </si>
  <si>
    <t xml:space="preserve">NORTHWEST BUS AND COACH SUPLIERS        </t>
  </si>
  <si>
    <t>SAMRAND</t>
  </si>
  <si>
    <t xml:space="preserve">Bosal Afrika Pty                        </t>
  </si>
  <si>
    <t xml:space="preserve">PRAGA TECHNICAL PTY LTD                 </t>
  </si>
  <si>
    <t xml:space="preserve">SUNNY MACHINES MANUFACTURING PTY LTD    </t>
  </si>
  <si>
    <t xml:space="preserve">RMG GROUP PTY LTD                       </t>
  </si>
  <si>
    <t>GREENSTONE HILL</t>
  </si>
  <si>
    <t xml:space="preserve">IMANA FOODS SA (PTY) LTD                </t>
  </si>
  <si>
    <t xml:space="preserve">GRUPO ANTOLIN (PTY) LTD                 </t>
  </si>
  <si>
    <t xml:space="preserve">UNIVERSAL PAPER MANUFATUCRERS           </t>
  </si>
  <si>
    <t xml:space="preserve">GEDORE TOOLS (PTY) LTD                  </t>
  </si>
  <si>
    <t xml:space="preserve">AUTOMATION WORKS GAUTENG (PTY)LTD       </t>
  </si>
  <si>
    <t>GLEN MARAIS</t>
  </si>
  <si>
    <t xml:space="preserve">CLYDE BERGEMAN AFRICA (PTY)LTD          </t>
  </si>
  <si>
    <t xml:space="preserve">GPU MECHANICAL SERVICES (PTY) LTD       </t>
  </si>
  <si>
    <t xml:space="preserve">STANDIG PTY LTD                         </t>
  </si>
  <si>
    <t xml:space="preserve">T M ENGINEERING                         </t>
  </si>
  <si>
    <t xml:space="preserve">STEINHOBEL INSTRUMENTATION (PTY)LTD     </t>
  </si>
  <si>
    <t xml:space="preserve">DRYTECH INTERNATIONAL PTY LTD           </t>
  </si>
  <si>
    <t xml:space="preserve">VIN BAG                                 </t>
  </si>
  <si>
    <t>BLACKHEATH</t>
  </si>
  <si>
    <t xml:space="preserve">HALL LONGMORE HOLDINGS PTY LTD          </t>
  </si>
  <si>
    <t xml:space="preserve">HOME OF CUT RAG                         </t>
  </si>
  <si>
    <t xml:space="preserve">TECHTRONIC TECHNOLOGY SOLUTION          </t>
  </si>
  <si>
    <t xml:space="preserve">DEFY APPLIANCES (PTY) LTD               </t>
  </si>
  <si>
    <t xml:space="preserve">ADP MARINE &amp; MODULOR (PTY)LTD           </t>
  </si>
  <si>
    <t xml:space="preserve">TECHMATIC ENGINEERING PTY               </t>
  </si>
  <si>
    <t>KAYA SAND</t>
  </si>
  <si>
    <t xml:space="preserve">CONTINENTAL BISCUITS (PTY)LTD           </t>
  </si>
  <si>
    <t xml:space="preserve">ATS 2000 PTY LTD                        </t>
  </si>
  <si>
    <t>WYNBERG</t>
  </si>
  <si>
    <t xml:space="preserve">WEST END CLAY BRICKS (PTY) LTD          </t>
  </si>
  <si>
    <t>WESTONARIA</t>
  </si>
  <si>
    <t xml:space="preserve">MCG INDUSTRIES (PTY)LTD                 </t>
  </si>
  <si>
    <t xml:space="preserve">4 BYTES AUTOMATION CC                   </t>
  </si>
  <si>
    <t xml:space="preserve">RICE &amp; PASTA A DIV OF                   </t>
  </si>
  <si>
    <t xml:space="preserve">ALBANY BAKERY RANDFONTEIN               </t>
  </si>
  <si>
    <t xml:space="preserve">ETERNIT BUILDING SYSTEM (PTY)LTD        </t>
  </si>
  <si>
    <t xml:space="preserve">FRONERI SOUTH AFRICA (PTY)LTD           </t>
  </si>
  <si>
    <t xml:space="preserve">AMETIS PROJECTS CC                      </t>
  </si>
  <si>
    <t xml:space="preserve">H BIRKENMAYER (PTY) LTD                 </t>
  </si>
  <si>
    <t xml:space="preserve">CMH GREEN MACHINE PTY LTD               </t>
  </si>
  <si>
    <t xml:space="preserve">ELECTRO TECHNICAL AGENCIES              </t>
  </si>
  <si>
    <t xml:space="preserve">BAYER PTY LTD                           </t>
  </si>
  <si>
    <t>VORSTERSKROON</t>
  </si>
  <si>
    <t xml:space="preserve">REGRADE MASTERS                         </t>
  </si>
  <si>
    <t>BOKSBURG NORTH</t>
  </si>
  <si>
    <t xml:space="preserve">AFRIPOWER PTY LTD                       </t>
  </si>
  <si>
    <t>WITBANK</t>
  </si>
  <si>
    <t xml:space="preserve">NATIONAL BRANDS BUSCUITS &amp; SNACKS       </t>
  </si>
  <si>
    <t xml:space="preserve">MERCEDES BENZ TRAINING CENTRE           </t>
  </si>
  <si>
    <t xml:space="preserve">LEVEL  PRODUCTS CC                      </t>
  </si>
  <si>
    <t xml:space="preserve">HOT PLATINUM                            </t>
  </si>
  <si>
    <t>ATHLONE INDUSTRIA 1</t>
  </si>
  <si>
    <t xml:space="preserve">SHERLO TRONICS                          </t>
  </si>
  <si>
    <t xml:space="preserve">PILOT TOOLS                             </t>
  </si>
  <si>
    <t xml:space="preserve">INVENTAPROM (PTY) LTD                   </t>
  </si>
  <si>
    <t xml:space="preserve">UNIVERSAL PAPER MANUFACTURERS           </t>
  </si>
  <si>
    <t xml:space="preserve">CLOVER S.A PTY LTD                      </t>
  </si>
  <si>
    <t xml:space="preserve">SPEC TOOL &amp; DIE &amp; GENERAL ENGINEERING   </t>
  </si>
  <si>
    <t xml:space="preserve">UMKOMAAS LIGNIN                         </t>
  </si>
  <si>
    <t xml:space="preserve">ESKORT LTD                              </t>
  </si>
  <si>
    <t xml:space="preserve">MPACT OPERATIONS PROPERTY LTD           </t>
  </si>
  <si>
    <t xml:space="preserve">ACK SOLUTIONS PTY LTD                   </t>
  </si>
  <si>
    <t xml:space="preserve">STRAIT ACCESS TECHNOLOGIES HOLDINGS     </t>
  </si>
  <si>
    <t xml:space="preserve">HENDOK DISTRIBUTION (PTY) LTD           </t>
  </si>
  <si>
    <t xml:space="preserve">LEDA ENGINEERING SERVICES CC           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</si>
</sst>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77"/>
  <sheetViews>
    <sheetView tabSelected="1" topLeftCell="A2535" workbookViewId="0">
      <selection activeCell="H2788" sqref="H2788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43263</v>
      </c>
      <c r="C2" s="3" t="s">
        <v>4</v>
      </c>
    </row>
    <row r="3" spans="1:13">
      <c r="A3" s="1" t="s">
        <v>5</v>
      </c>
      <c r="B3" s="4">
        <v>0.35625000000000001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43262</v>
      </c>
      <c r="B6" s="9">
        <v>0.6958333333333333</v>
      </c>
      <c r="C6" s="10" t="str">
        <f>"FES1162628816"</f>
        <v>FES1162628816</v>
      </c>
      <c r="D6" s="10" t="s">
        <v>19</v>
      </c>
      <c r="E6" s="10" t="s">
        <v>20</v>
      </c>
      <c r="F6" s="10" t="str">
        <f>"2170635916 "</f>
        <v xml:space="preserve">2170635916 </v>
      </c>
      <c r="G6" s="10" t="str">
        <f t="shared" ref="G6:G47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"PFES1162628816_0001"</f>
        <v>PFES1162628816_0001</v>
      </c>
      <c r="L6" s="10">
        <v>1</v>
      </c>
      <c r="M6" s="10">
        <v>1</v>
      </c>
    </row>
    <row r="7" spans="1:13">
      <c r="A7" s="8">
        <v>43262</v>
      </c>
      <c r="B7" s="9">
        <v>0.69513888888888886</v>
      </c>
      <c r="C7" s="10" t="str">
        <f>"FES1162628804"</f>
        <v>FES1162628804</v>
      </c>
      <c r="D7" s="10" t="s">
        <v>19</v>
      </c>
      <c r="E7" s="10" t="s">
        <v>23</v>
      </c>
      <c r="F7" s="10" t="str">
        <f>"2170635902 "</f>
        <v xml:space="preserve">2170635902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"PFES1162628804_0001"</f>
        <v>PFES1162628804_0001</v>
      </c>
      <c r="L7" s="10">
        <v>1</v>
      </c>
      <c r="M7" s="10">
        <v>1</v>
      </c>
    </row>
    <row r="8" spans="1:13">
      <c r="A8" s="8">
        <v>43262</v>
      </c>
      <c r="B8" s="9">
        <v>0.69513888888888886</v>
      </c>
      <c r="C8" s="10" t="str">
        <f>"FES1162628866"</f>
        <v>FES1162628866</v>
      </c>
      <c r="D8" s="10" t="s">
        <v>19</v>
      </c>
      <c r="E8" s="10" t="s">
        <v>25</v>
      </c>
      <c r="F8" s="10" t="str">
        <f>"2170635976 "</f>
        <v xml:space="preserve">2170635976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"PFES1162628866_0001"</f>
        <v>PFES1162628866_0001</v>
      </c>
      <c r="L8" s="10">
        <v>1</v>
      </c>
      <c r="M8" s="10">
        <v>1</v>
      </c>
    </row>
    <row r="9" spans="1:13">
      <c r="A9" s="8">
        <v>43262</v>
      </c>
      <c r="B9" s="9">
        <v>0.69374999999999998</v>
      </c>
      <c r="C9" s="10" t="str">
        <f>"FES1162628799"</f>
        <v>FES1162628799</v>
      </c>
      <c r="D9" s="10" t="s">
        <v>19</v>
      </c>
      <c r="E9" s="10" t="s">
        <v>27</v>
      </c>
      <c r="F9" s="10" t="str">
        <f>"2170635897 "</f>
        <v xml:space="preserve">2170635897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"PFES1162628799_0001"</f>
        <v>PFES1162628799_0001</v>
      </c>
      <c r="L9" s="10">
        <v>1</v>
      </c>
      <c r="M9" s="10">
        <v>2</v>
      </c>
    </row>
    <row r="10" spans="1:13">
      <c r="A10" s="8">
        <v>43262</v>
      </c>
      <c r="B10" s="9">
        <v>0.69374999999999998</v>
      </c>
      <c r="C10" s="10" t="str">
        <f>"FES1162628848"</f>
        <v>FES1162628848</v>
      </c>
      <c r="D10" s="10" t="s">
        <v>19</v>
      </c>
      <c r="E10" s="10" t="s">
        <v>29</v>
      </c>
      <c r="F10" s="10" t="str">
        <f>"2170635956 "</f>
        <v xml:space="preserve">2170635956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"PFES1162628848_0001"</f>
        <v>PFES1162628848_0001</v>
      </c>
      <c r="L10" s="10">
        <v>1</v>
      </c>
      <c r="M10" s="10">
        <v>1</v>
      </c>
    </row>
    <row r="11" spans="1:13">
      <c r="A11" s="8">
        <v>43262</v>
      </c>
      <c r="B11" s="9">
        <v>0.69305555555555554</v>
      </c>
      <c r="C11" s="10" t="str">
        <f>"FES1162628865"</f>
        <v>FES1162628865</v>
      </c>
      <c r="D11" s="10" t="s">
        <v>19</v>
      </c>
      <c r="E11" s="10" t="s">
        <v>29</v>
      </c>
      <c r="F11" s="10" t="str">
        <f>"2170635975 "</f>
        <v xml:space="preserve">2170635975 </v>
      </c>
      <c r="G11" s="10" t="str">
        <f t="shared" si="0"/>
        <v>ON1</v>
      </c>
      <c r="H11" s="10" t="s">
        <v>21</v>
      </c>
      <c r="I11" s="10" t="s">
        <v>30</v>
      </c>
      <c r="J11" s="10" t="str">
        <f>""</f>
        <v/>
      </c>
      <c r="K11" s="10" t="str">
        <f>"PFES1162628865_0001"</f>
        <v>PFES1162628865_0001</v>
      </c>
      <c r="L11" s="10">
        <v>1</v>
      </c>
      <c r="M11" s="10">
        <v>1</v>
      </c>
    </row>
    <row r="12" spans="1:13">
      <c r="A12" s="8">
        <v>43262</v>
      </c>
      <c r="B12" s="9">
        <v>0.69236111111111109</v>
      </c>
      <c r="C12" s="10" t="str">
        <f>"FES1162628850"</f>
        <v>FES1162628850</v>
      </c>
      <c r="D12" s="10" t="s">
        <v>19</v>
      </c>
      <c r="E12" s="10" t="s">
        <v>31</v>
      </c>
      <c r="F12" s="10" t="str">
        <f>"2170635962 "</f>
        <v xml:space="preserve">2170635962 </v>
      </c>
      <c r="G12" s="10" t="str">
        <f t="shared" si="0"/>
        <v>ON1</v>
      </c>
      <c r="H12" s="10" t="s">
        <v>21</v>
      </c>
      <c r="I12" s="10" t="s">
        <v>32</v>
      </c>
      <c r="J12" s="10" t="str">
        <f>""</f>
        <v/>
      </c>
      <c r="K12" s="10" t="str">
        <f>"PFES1162628850_0001"</f>
        <v>PFES1162628850_0001</v>
      </c>
      <c r="L12" s="10">
        <v>1</v>
      </c>
      <c r="M12" s="10">
        <v>1</v>
      </c>
    </row>
    <row r="13" spans="1:13">
      <c r="A13" s="8">
        <v>43262</v>
      </c>
      <c r="B13" s="9">
        <v>0.69166666666666676</v>
      </c>
      <c r="C13" s="10" t="str">
        <f>"FES1162628815"</f>
        <v>FES1162628815</v>
      </c>
      <c r="D13" s="10" t="s">
        <v>19</v>
      </c>
      <c r="E13" s="10" t="s">
        <v>33</v>
      </c>
      <c r="F13" s="10" t="str">
        <f>"2170635914 "</f>
        <v xml:space="preserve">2170635914 </v>
      </c>
      <c r="G13" s="10" t="str">
        <f t="shared" si="0"/>
        <v>ON1</v>
      </c>
      <c r="H13" s="10" t="s">
        <v>21</v>
      </c>
      <c r="I13" s="10" t="s">
        <v>34</v>
      </c>
      <c r="J13" s="10" t="str">
        <f>""</f>
        <v/>
      </c>
      <c r="K13" s="10" t="str">
        <f>"PFES1162628815_0001"</f>
        <v>PFES1162628815_0001</v>
      </c>
      <c r="L13" s="10">
        <v>1</v>
      </c>
      <c r="M13" s="10">
        <v>2</v>
      </c>
    </row>
    <row r="14" spans="1:13">
      <c r="A14" s="8">
        <v>43262</v>
      </c>
      <c r="B14" s="9">
        <v>0.69166666666666676</v>
      </c>
      <c r="C14" s="10" t="str">
        <f>"FES1162628826"</f>
        <v>FES1162628826</v>
      </c>
      <c r="D14" s="10" t="s">
        <v>19</v>
      </c>
      <c r="E14" s="10" t="s">
        <v>35</v>
      </c>
      <c r="F14" s="10" t="str">
        <f>"2170635929 "</f>
        <v xml:space="preserve">2170635929 </v>
      </c>
      <c r="G14" s="10" t="str">
        <f t="shared" si="0"/>
        <v>ON1</v>
      </c>
      <c r="H14" s="10" t="s">
        <v>21</v>
      </c>
      <c r="I14" s="10" t="s">
        <v>36</v>
      </c>
      <c r="J14" s="10" t="str">
        <f>""</f>
        <v/>
      </c>
      <c r="K14" s="10" t="str">
        <f>"PFES1162628826_0001"</f>
        <v>PFES1162628826_0001</v>
      </c>
      <c r="L14" s="10">
        <v>1</v>
      </c>
      <c r="M14" s="10">
        <v>1</v>
      </c>
    </row>
    <row r="15" spans="1:13">
      <c r="A15" s="8">
        <v>43262</v>
      </c>
      <c r="B15" s="9">
        <v>0.69097222222222221</v>
      </c>
      <c r="C15" s="10" t="str">
        <f>"FES1162628843"</f>
        <v>FES1162628843</v>
      </c>
      <c r="D15" s="10" t="s">
        <v>19</v>
      </c>
      <c r="E15" s="10" t="s">
        <v>37</v>
      </c>
      <c r="F15" s="10" t="str">
        <f>"2170635949 "</f>
        <v xml:space="preserve">2170635949 </v>
      </c>
      <c r="G15" s="10" t="str">
        <f t="shared" si="0"/>
        <v>ON1</v>
      </c>
      <c r="H15" s="10" t="s">
        <v>21</v>
      </c>
      <c r="I15" s="10" t="s">
        <v>38</v>
      </c>
      <c r="J15" s="10" t="str">
        <f>""</f>
        <v/>
      </c>
      <c r="K15" s="10" t="str">
        <f>"PFES1162628843_0001"</f>
        <v>PFES1162628843_0001</v>
      </c>
      <c r="L15" s="10">
        <v>1</v>
      </c>
      <c r="M15" s="10">
        <v>1</v>
      </c>
    </row>
    <row r="16" spans="1:13">
      <c r="A16" s="8">
        <v>43262</v>
      </c>
      <c r="B16" s="9">
        <v>0.69027777777777777</v>
      </c>
      <c r="C16" s="10" t="str">
        <f>"FES1162628854"</f>
        <v>FES1162628854</v>
      </c>
      <c r="D16" s="10" t="s">
        <v>19</v>
      </c>
      <c r="E16" s="10" t="s">
        <v>39</v>
      </c>
      <c r="F16" s="10" t="str">
        <f>"2170635969 "</f>
        <v xml:space="preserve">2170635969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"PFES1162628854_0001"</f>
        <v>PFES1162628854_0001</v>
      </c>
      <c r="L16" s="10">
        <v>1</v>
      </c>
      <c r="M16" s="10">
        <v>1</v>
      </c>
    </row>
    <row r="17" spans="1:13">
      <c r="A17" s="8">
        <v>43262</v>
      </c>
      <c r="B17" s="9">
        <v>0.68958333333333333</v>
      </c>
      <c r="C17" s="10" t="str">
        <f>"FES1162628862"</f>
        <v>FES1162628862</v>
      </c>
      <c r="D17" s="10" t="s">
        <v>19</v>
      </c>
      <c r="E17" s="10" t="s">
        <v>41</v>
      </c>
      <c r="F17" s="10" t="str">
        <f>"2170635389 "</f>
        <v xml:space="preserve">2170635389 </v>
      </c>
      <c r="G17" s="10" t="str">
        <f t="shared" si="0"/>
        <v>ON1</v>
      </c>
      <c r="H17" s="10" t="s">
        <v>21</v>
      </c>
      <c r="I17" s="10" t="s">
        <v>42</v>
      </c>
      <c r="J17" s="10" t="str">
        <f>""</f>
        <v/>
      </c>
      <c r="K17" s="10" t="str">
        <f>"PFES1162628862_0001"</f>
        <v>PFES1162628862_0001</v>
      </c>
      <c r="L17" s="10">
        <v>1</v>
      </c>
      <c r="M17" s="10">
        <v>1</v>
      </c>
    </row>
    <row r="18" spans="1:13">
      <c r="A18" s="8">
        <v>43262</v>
      </c>
      <c r="B18" s="9">
        <v>0.6875</v>
      </c>
      <c r="C18" s="10" t="str">
        <f>"FES1162628863"</f>
        <v>FES1162628863</v>
      </c>
      <c r="D18" s="10" t="s">
        <v>19</v>
      </c>
      <c r="E18" s="10" t="s">
        <v>43</v>
      </c>
      <c r="F18" s="10" t="str">
        <f>"2170635968 "</f>
        <v xml:space="preserve">2170635968 </v>
      </c>
      <c r="G18" s="10" t="str">
        <f t="shared" si="0"/>
        <v>ON1</v>
      </c>
      <c r="H18" s="10" t="s">
        <v>21</v>
      </c>
      <c r="I18" s="10" t="s">
        <v>44</v>
      </c>
      <c r="J18" s="10" t="str">
        <f>""</f>
        <v/>
      </c>
      <c r="K18" s="10" t="str">
        <f>"PFES1162628863_0001"</f>
        <v>PFES1162628863_0001</v>
      </c>
      <c r="L18" s="10">
        <v>1</v>
      </c>
      <c r="M18" s="10">
        <v>17</v>
      </c>
    </row>
    <row r="19" spans="1:13">
      <c r="A19" s="8">
        <v>43262</v>
      </c>
      <c r="B19" s="9">
        <v>0.68680555555555556</v>
      </c>
      <c r="C19" s="10" t="str">
        <f>"FES1162628795"</f>
        <v>FES1162628795</v>
      </c>
      <c r="D19" s="10" t="s">
        <v>19</v>
      </c>
      <c r="E19" s="10" t="s">
        <v>45</v>
      </c>
      <c r="F19" s="10" t="str">
        <f>"2170635478 "</f>
        <v xml:space="preserve">2170635478 </v>
      </c>
      <c r="G19" s="10" t="str">
        <f t="shared" si="0"/>
        <v>ON1</v>
      </c>
      <c r="H19" s="10" t="s">
        <v>21</v>
      </c>
      <c r="I19" s="10" t="s">
        <v>46</v>
      </c>
      <c r="J19" s="10" t="str">
        <f>""</f>
        <v/>
      </c>
      <c r="K19" s="10" t="str">
        <f>"PFES1162628795_0001"</f>
        <v>PFES1162628795_0001</v>
      </c>
      <c r="L19" s="10">
        <v>1</v>
      </c>
      <c r="M19" s="10">
        <v>7</v>
      </c>
    </row>
    <row r="20" spans="1:13">
      <c r="A20" s="8">
        <v>43262</v>
      </c>
      <c r="B20" s="9">
        <v>0.68611111111111101</v>
      </c>
      <c r="C20" s="10" t="str">
        <f>"FES1162628852"</f>
        <v>FES1162628852</v>
      </c>
      <c r="D20" s="10" t="s">
        <v>19</v>
      </c>
      <c r="E20" s="10" t="s">
        <v>47</v>
      </c>
      <c r="F20" s="10" t="str">
        <f>"2170635966 "</f>
        <v xml:space="preserve">2170635966 </v>
      </c>
      <c r="G20" s="10" t="str">
        <f t="shared" si="0"/>
        <v>ON1</v>
      </c>
      <c r="H20" s="10" t="s">
        <v>21</v>
      </c>
      <c r="I20" s="10" t="s">
        <v>30</v>
      </c>
      <c r="J20" s="10" t="str">
        <f>""</f>
        <v/>
      </c>
      <c r="K20" s="10" t="str">
        <f>"PFES1162628852_0001"</f>
        <v>PFES1162628852_0001</v>
      </c>
      <c r="L20" s="10">
        <v>1</v>
      </c>
      <c r="M20" s="10">
        <v>2</v>
      </c>
    </row>
    <row r="21" spans="1:13">
      <c r="A21" s="8">
        <v>43262</v>
      </c>
      <c r="B21" s="9">
        <v>0.68541666666666667</v>
      </c>
      <c r="C21" s="10" t="str">
        <f>"FES1162628861"</f>
        <v>FES1162628861</v>
      </c>
      <c r="D21" s="10" t="s">
        <v>19</v>
      </c>
      <c r="E21" s="10" t="s">
        <v>48</v>
      </c>
      <c r="F21" s="10" t="str">
        <f>"2170635977 "</f>
        <v xml:space="preserve">2170635977 </v>
      </c>
      <c r="G21" s="10" t="str">
        <f t="shared" si="0"/>
        <v>ON1</v>
      </c>
      <c r="H21" s="10" t="s">
        <v>21</v>
      </c>
      <c r="I21" s="10" t="s">
        <v>46</v>
      </c>
      <c r="J21" s="10" t="str">
        <f>""</f>
        <v/>
      </c>
      <c r="K21" s="10" t="str">
        <f>"PFES1162628861_0001"</f>
        <v>PFES1162628861_0001</v>
      </c>
      <c r="L21" s="10">
        <v>1</v>
      </c>
      <c r="M21" s="10">
        <v>15</v>
      </c>
    </row>
    <row r="22" spans="1:13">
      <c r="A22" s="8">
        <v>43262</v>
      </c>
      <c r="B22" s="9">
        <v>0.68472222222222223</v>
      </c>
      <c r="C22" s="10" t="str">
        <f>"FES1162628828"</f>
        <v>FES1162628828</v>
      </c>
      <c r="D22" s="10" t="s">
        <v>19</v>
      </c>
      <c r="E22" s="10" t="s">
        <v>49</v>
      </c>
      <c r="F22" s="10" t="str">
        <f>"2170635935 "</f>
        <v xml:space="preserve">2170635935 </v>
      </c>
      <c r="G22" s="10" t="str">
        <f t="shared" si="0"/>
        <v>ON1</v>
      </c>
      <c r="H22" s="10" t="s">
        <v>21</v>
      </c>
      <c r="I22" s="10" t="s">
        <v>32</v>
      </c>
      <c r="J22" s="10" t="str">
        <f>""</f>
        <v/>
      </c>
      <c r="K22" s="10" t="str">
        <f>"PFES1162628828_0001"</f>
        <v>PFES1162628828_0001</v>
      </c>
      <c r="L22" s="10">
        <v>1</v>
      </c>
      <c r="M22" s="10">
        <v>4</v>
      </c>
    </row>
    <row r="23" spans="1:13">
      <c r="A23" s="8">
        <v>43262</v>
      </c>
      <c r="B23" s="9">
        <v>0.68333333333333324</v>
      </c>
      <c r="C23" s="10" t="str">
        <f>"FES1162628811"</f>
        <v>FES1162628811</v>
      </c>
      <c r="D23" s="10" t="s">
        <v>19</v>
      </c>
      <c r="E23" s="10" t="s">
        <v>50</v>
      </c>
      <c r="F23" s="10" t="str">
        <f>"2170626487 "</f>
        <v xml:space="preserve">2170626487 </v>
      </c>
      <c r="G23" s="10" t="str">
        <f t="shared" si="0"/>
        <v>ON1</v>
      </c>
      <c r="H23" s="10" t="s">
        <v>21</v>
      </c>
      <c r="I23" s="10" t="s">
        <v>51</v>
      </c>
      <c r="J23" s="10" t="str">
        <f>""</f>
        <v/>
      </c>
      <c r="K23" s="10" t="str">
        <f>"PFES1162628811_0001"</f>
        <v>PFES1162628811_0001</v>
      </c>
      <c r="L23" s="10">
        <v>1</v>
      </c>
      <c r="M23" s="10">
        <v>4</v>
      </c>
    </row>
    <row r="24" spans="1:13">
      <c r="A24" s="8">
        <v>43262</v>
      </c>
      <c r="B24" s="9">
        <v>0.68263888888888891</v>
      </c>
      <c r="C24" s="10" t="str">
        <f>"FES1162628864"</f>
        <v>FES1162628864</v>
      </c>
      <c r="D24" s="10" t="s">
        <v>19</v>
      </c>
      <c r="E24" s="10" t="s">
        <v>52</v>
      </c>
      <c r="F24" s="10" t="str">
        <f>"2170635974 "</f>
        <v xml:space="preserve">2170635974 </v>
      </c>
      <c r="G24" s="10" t="str">
        <f t="shared" si="0"/>
        <v>ON1</v>
      </c>
      <c r="H24" s="10" t="s">
        <v>21</v>
      </c>
      <c r="I24" s="10" t="s">
        <v>53</v>
      </c>
      <c r="J24" s="10" t="str">
        <f>""</f>
        <v/>
      </c>
      <c r="K24" s="10" t="str">
        <f>"PFES1162628864_0001"</f>
        <v>PFES1162628864_0001</v>
      </c>
      <c r="L24" s="10">
        <v>1</v>
      </c>
      <c r="M24" s="10">
        <v>6</v>
      </c>
    </row>
    <row r="25" spans="1:13">
      <c r="A25" s="8">
        <v>43262</v>
      </c>
      <c r="B25" s="9">
        <v>0.66805555555555562</v>
      </c>
      <c r="C25" s="10" t="str">
        <f>"FES1162628824"</f>
        <v>FES1162628824</v>
      </c>
      <c r="D25" s="10" t="s">
        <v>19</v>
      </c>
      <c r="E25" s="10" t="s">
        <v>54</v>
      </c>
      <c r="F25" s="10" t="str">
        <f>"2170635922 "</f>
        <v xml:space="preserve">2170635922 </v>
      </c>
      <c r="G25" s="10" t="str">
        <f t="shared" si="0"/>
        <v>ON1</v>
      </c>
      <c r="H25" s="10" t="s">
        <v>21</v>
      </c>
      <c r="I25" s="10" t="s">
        <v>55</v>
      </c>
      <c r="J25" s="10" t="str">
        <f>""</f>
        <v/>
      </c>
      <c r="K25" s="10" t="str">
        <f>"PFES1162628824_0001"</f>
        <v>PFES1162628824_0001</v>
      </c>
      <c r="L25" s="10">
        <v>1</v>
      </c>
      <c r="M25" s="10">
        <v>1</v>
      </c>
    </row>
    <row r="26" spans="1:13">
      <c r="A26" s="8">
        <v>43262</v>
      </c>
      <c r="B26" s="9">
        <v>0.66736111111111107</v>
      </c>
      <c r="C26" s="10" t="str">
        <f>"FES1162628803"</f>
        <v>FES1162628803</v>
      </c>
      <c r="D26" s="10" t="s">
        <v>19</v>
      </c>
      <c r="E26" s="10" t="s">
        <v>56</v>
      </c>
      <c r="F26" s="10" t="str">
        <f>"2170635901 "</f>
        <v xml:space="preserve">2170635901 </v>
      </c>
      <c r="G26" s="10" t="str">
        <f t="shared" si="0"/>
        <v>ON1</v>
      </c>
      <c r="H26" s="10" t="s">
        <v>21</v>
      </c>
      <c r="I26" s="10" t="s">
        <v>57</v>
      </c>
      <c r="J26" s="10" t="str">
        <f>""</f>
        <v/>
      </c>
      <c r="K26" s="10" t="str">
        <f>"PFES1162628803_0001"</f>
        <v>PFES1162628803_0001</v>
      </c>
      <c r="L26" s="10">
        <v>1</v>
      </c>
      <c r="M26" s="10">
        <v>1</v>
      </c>
    </row>
    <row r="27" spans="1:13">
      <c r="A27" s="8">
        <v>43262</v>
      </c>
      <c r="B27" s="9">
        <v>0.66736111111111107</v>
      </c>
      <c r="C27" s="10" t="str">
        <f>"FES1162628812"</f>
        <v>FES1162628812</v>
      </c>
      <c r="D27" s="10" t="s">
        <v>19</v>
      </c>
      <c r="E27" s="10" t="s">
        <v>58</v>
      </c>
      <c r="F27" s="10" t="str">
        <f>"2170635911 "</f>
        <v xml:space="preserve">2170635911 </v>
      </c>
      <c r="G27" s="10" t="str">
        <f t="shared" si="0"/>
        <v>ON1</v>
      </c>
      <c r="H27" s="10" t="s">
        <v>21</v>
      </c>
      <c r="I27" s="10" t="s">
        <v>59</v>
      </c>
      <c r="J27" s="10" t="str">
        <f>""</f>
        <v/>
      </c>
      <c r="K27" s="10" t="str">
        <f>"PFES1162628812_0001"</f>
        <v>PFES1162628812_0001</v>
      </c>
      <c r="L27" s="10">
        <v>1</v>
      </c>
      <c r="M27" s="10">
        <v>1</v>
      </c>
    </row>
    <row r="28" spans="1:13">
      <c r="A28" s="8">
        <v>43262</v>
      </c>
      <c r="B28" s="9">
        <v>0.66666666666666663</v>
      </c>
      <c r="C28" s="10" t="str">
        <f>"FES1162628797"</f>
        <v>FES1162628797</v>
      </c>
      <c r="D28" s="10" t="s">
        <v>19</v>
      </c>
      <c r="E28" s="10" t="s">
        <v>60</v>
      </c>
      <c r="F28" s="10" t="str">
        <f>"2170635895 "</f>
        <v xml:space="preserve">2170635895 </v>
      </c>
      <c r="G28" s="10" t="str">
        <f t="shared" si="0"/>
        <v>ON1</v>
      </c>
      <c r="H28" s="10" t="s">
        <v>21</v>
      </c>
      <c r="I28" s="10" t="s">
        <v>61</v>
      </c>
      <c r="J28" s="10" t="str">
        <f>""</f>
        <v/>
      </c>
      <c r="K28" s="10" t="str">
        <f>"PFES1162628797_0001"</f>
        <v>PFES1162628797_0001</v>
      </c>
      <c r="L28" s="10">
        <v>1</v>
      </c>
      <c r="M28" s="10">
        <v>1</v>
      </c>
    </row>
    <row r="29" spans="1:13">
      <c r="A29" s="8">
        <v>43262</v>
      </c>
      <c r="B29" s="9">
        <v>0.66597222222222219</v>
      </c>
      <c r="C29" s="10" t="str">
        <f>"FES1162628821"</f>
        <v>FES1162628821</v>
      </c>
      <c r="D29" s="10" t="s">
        <v>19</v>
      </c>
      <c r="E29" s="10" t="s">
        <v>62</v>
      </c>
      <c r="F29" s="10" t="str">
        <f>"2170635919 "</f>
        <v xml:space="preserve">2170635919 </v>
      </c>
      <c r="G29" s="10" t="str">
        <f t="shared" si="0"/>
        <v>ON1</v>
      </c>
      <c r="H29" s="10" t="s">
        <v>21</v>
      </c>
      <c r="I29" s="10" t="s">
        <v>63</v>
      </c>
      <c r="J29" s="10" t="str">
        <f>""</f>
        <v/>
      </c>
      <c r="K29" s="10" t="str">
        <f>"PFES1162628821_0001"</f>
        <v>PFES1162628821_0001</v>
      </c>
      <c r="L29" s="10">
        <v>1</v>
      </c>
      <c r="M29" s="10">
        <v>1</v>
      </c>
    </row>
    <row r="30" spans="1:13">
      <c r="A30" s="8">
        <v>43262</v>
      </c>
      <c r="B30" s="9">
        <v>0.66527777777777775</v>
      </c>
      <c r="C30" s="10" t="str">
        <f>"FES1162628617"</f>
        <v>FES1162628617</v>
      </c>
      <c r="D30" s="10" t="s">
        <v>19</v>
      </c>
      <c r="E30" s="10" t="s">
        <v>64</v>
      </c>
      <c r="F30" s="10" t="str">
        <f>"2170628958 "</f>
        <v xml:space="preserve">2170628958 </v>
      </c>
      <c r="G30" s="10" t="str">
        <f t="shared" si="0"/>
        <v>ON1</v>
      </c>
      <c r="H30" s="10" t="s">
        <v>21</v>
      </c>
      <c r="I30" s="10" t="s">
        <v>40</v>
      </c>
      <c r="J30" s="10" t="str">
        <f>""</f>
        <v/>
      </c>
      <c r="K30" s="10" t="str">
        <f>"PFES1162628617_0001"</f>
        <v>PFES1162628617_0001</v>
      </c>
      <c r="L30" s="10">
        <v>1</v>
      </c>
      <c r="M30" s="10">
        <v>1</v>
      </c>
    </row>
    <row r="31" spans="1:13">
      <c r="A31" s="8">
        <v>43262</v>
      </c>
      <c r="B31" s="9">
        <v>0.66527777777777775</v>
      </c>
      <c r="C31" s="10" t="str">
        <f>"FES1162628837"</f>
        <v>FES1162628837</v>
      </c>
      <c r="D31" s="10" t="s">
        <v>19</v>
      </c>
      <c r="E31" s="10" t="s">
        <v>65</v>
      </c>
      <c r="F31" s="10" t="str">
        <f>"2170635941 "</f>
        <v xml:space="preserve">2170635941 </v>
      </c>
      <c r="G31" s="10" t="str">
        <f t="shared" si="0"/>
        <v>ON1</v>
      </c>
      <c r="H31" s="10" t="s">
        <v>21</v>
      </c>
      <c r="I31" s="10" t="s">
        <v>66</v>
      </c>
      <c r="J31" s="10" t="str">
        <f>""</f>
        <v/>
      </c>
      <c r="K31" s="10" t="str">
        <f>"PFES1162628837_0001"</f>
        <v>PFES1162628837_0001</v>
      </c>
      <c r="L31" s="10">
        <v>1</v>
      </c>
      <c r="M31" s="10">
        <v>1</v>
      </c>
    </row>
    <row r="32" spans="1:13">
      <c r="A32" s="8">
        <v>43262</v>
      </c>
      <c r="B32" s="9">
        <v>0.6645833333333333</v>
      </c>
      <c r="C32" s="10" t="str">
        <f>"FES1162628809"</f>
        <v>FES1162628809</v>
      </c>
      <c r="D32" s="10" t="s">
        <v>19</v>
      </c>
      <c r="E32" s="10" t="s">
        <v>67</v>
      </c>
      <c r="F32" s="10" t="str">
        <f>"2170635907 "</f>
        <v xml:space="preserve">2170635907 </v>
      </c>
      <c r="G32" s="10" t="str">
        <f t="shared" si="0"/>
        <v>ON1</v>
      </c>
      <c r="H32" s="10" t="s">
        <v>21</v>
      </c>
      <c r="I32" s="10" t="s">
        <v>32</v>
      </c>
      <c r="J32" s="10" t="str">
        <f>""</f>
        <v/>
      </c>
      <c r="K32" s="10" t="str">
        <f>"PFES1162628809_0001"</f>
        <v>PFES1162628809_0001</v>
      </c>
      <c r="L32" s="10">
        <v>1</v>
      </c>
      <c r="M32" s="10">
        <v>1</v>
      </c>
    </row>
    <row r="33" spans="1:13">
      <c r="A33" s="8">
        <v>43262</v>
      </c>
      <c r="B33" s="9">
        <v>0.66388888888888886</v>
      </c>
      <c r="C33" s="10" t="str">
        <f>"FES1162628648"</f>
        <v>FES1162628648</v>
      </c>
      <c r="D33" s="10" t="s">
        <v>19</v>
      </c>
      <c r="E33" s="10" t="s">
        <v>68</v>
      </c>
      <c r="F33" s="10" t="str">
        <f>"2170635747 "</f>
        <v xml:space="preserve">2170635747 </v>
      </c>
      <c r="G33" s="10" t="str">
        <f t="shared" si="0"/>
        <v>ON1</v>
      </c>
      <c r="H33" s="10" t="s">
        <v>21</v>
      </c>
      <c r="I33" s="10" t="s">
        <v>69</v>
      </c>
      <c r="J33" s="10" t="str">
        <f>""</f>
        <v/>
      </c>
      <c r="K33" s="10" t="str">
        <f>"PFES1162628648_0001"</f>
        <v>PFES1162628648_0001</v>
      </c>
      <c r="L33" s="10">
        <v>1</v>
      </c>
      <c r="M33" s="10">
        <v>1</v>
      </c>
    </row>
    <row r="34" spans="1:13">
      <c r="A34" s="8">
        <v>43262</v>
      </c>
      <c r="B34" s="9">
        <v>0.66319444444444442</v>
      </c>
      <c r="C34" s="10" t="str">
        <f>"FES1162628814"</f>
        <v>FES1162628814</v>
      </c>
      <c r="D34" s="10" t="s">
        <v>19</v>
      </c>
      <c r="E34" s="10" t="s">
        <v>70</v>
      </c>
      <c r="F34" s="10" t="str">
        <f>"2170635913 "</f>
        <v xml:space="preserve">2170635913 </v>
      </c>
      <c r="G34" s="10" t="str">
        <f t="shared" si="0"/>
        <v>ON1</v>
      </c>
      <c r="H34" s="10" t="s">
        <v>21</v>
      </c>
      <c r="I34" s="10" t="s">
        <v>71</v>
      </c>
      <c r="J34" s="10" t="str">
        <f>""</f>
        <v/>
      </c>
      <c r="K34" s="10" t="str">
        <f>"PFES1162628814_0001"</f>
        <v>PFES1162628814_0001</v>
      </c>
      <c r="L34" s="10">
        <v>1</v>
      </c>
      <c r="M34" s="10">
        <v>3</v>
      </c>
    </row>
    <row r="35" spans="1:13">
      <c r="A35" s="8">
        <v>43262</v>
      </c>
      <c r="B35" s="9">
        <v>0.66249999999999998</v>
      </c>
      <c r="C35" s="10" t="str">
        <f>"FES1162628813"</f>
        <v>FES1162628813</v>
      </c>
      <c r="D35" s="10" t="s">
        <v>19</v>
      </c>
      <c r="E35" s="10" t="s">
        <v>72</v>
      </c>
      <c r="F35" s="10" t="str">
        <f>"2170635912 "</f>
        <v xml:space="preserve">2170635912 </v>
      </c>
      <c r="G35" s="10" t="str">
        <f t="shared" si="0"/>
        <v>ON1</v>
      </c>
      <c r="H35" s="10" t="s">
        <v>21</v>
      </c>
      <c r="I35" s="10" t="s">
        <v>73</v>
      </c>
      <c r="J35" s="10" t="str">
        <f>""</f>
        <v/>
      </c>
      <c r="K35" s="10" t="str">
        <f>"PFES1162628813_0001"</f>
        <v>PFES1162628813_0001</v>
      </c>
      <c r="L35" s="10">
        <v>1</v>
      </c>
      <c r="M35" s="10">
        <v>1</v>
      </c>
    </row>
    <row r="36" spans="1:13">
      <c r="A36" s="8">
        <v>43262</v>
      </c>
      <c r="B36" s="9">
        <v>0.66180555555555554</v>
      </c>
      <c r="C36" s="10" t="str">
        <f>"FES1162628808"</f>
        <v>FES1162628808</v>
      </c>
      <c r="D36" s="10" t="s">
        <v>19</v>
      </c>
      <c r="E36" s="10" t="s">
        <v>74</v>
      </c>
      <c r="F36" s="10" t="str">
        <f>"2170635906 "</f>
        <v xml:space="preserve">2170635906 </v>
      </c>
      <c r="G36" s="10" t="str">
        <f t="shared" si="0"/>
        <v>ON1</v>
      </c>
      <c r="H36" s="10" t="s">
        <v>21</v>
      </c>
      <c r="I36" s="10" t="s">
        <v>75</v>
      </c>
      <c r="J36" s="10" t="str">
        <f>""</f>
        <v/>
      </c>
      <c r="K36" s="10" t="str">
        <f>"PFES1162628808_0001"</f>
        <v>PFES1162628808_0001</v>
      </c>
      <c r="L36" s="10">
        <v>1</v>
      </c>
      <c r="M36" s="10">
        <v>1</v>
      </c>
    </row>
    <row r="37" spans="1:13">
      <c r="A37" s="8">
        <v>43262</v>
      </c>
      <c r="B37" s="9">
        <v>0.66111111111111109</v>
      </c>
      <c r="C37" s="10" t="str">
        <f>"FES1162628800"</f>
        <v>FES1162628800</v>
      </c>
      <c r="D37" s="10" t="s">
        <v>19</v>
      </c>
      <c r="E37" s="10" t="s">
        <v>76</v>
      </c>
      <c r="F37" s="10" t="str">
        <f>"2170635898 "</f>
        <v xml:space="preserve">2170635898 </v>
      </c>
      <c r="G37" s="10" t="str">
        <f t="shared" si="0"/>
        <v>ON1</v>
      </c>
      <c r="H37" s="10" t="s">
        <v>21</v>
      </c>
      <c r="I37" s="10" t="s">
        <v>77</v>
      </c>
      <c r="J37" s="10" t="str">
        <f>""</f>
        <v/>
      </c>
      <c r="K37" s="10" t="str">
        <f>"PFES1162628800_0001"</f>
        <v>PFES1162628800_0001</v>
      </c>
      <c r="L37" s="10">
        <v>1</v>
      </c>
      <c r="M37" s="10">
        <v>1</v>
      </c>
    </row>
    <row r="38" spans="1:13">
      <c r="A38" s="8">
        <v>43262</v>
      </c>
      <c r="B38" s="9">
        <v>0.66111111111111109</v>
      </c>
      <c r="C38" s="10" t="str">
        <f>"FES1162628792"</f>
        <v>FES1162628792</v>
      </c>
      <c r="D38" s="10" t="s">
        <v>19</v>
      </c>
      <c r="E38" s="10" t="s">
        <v>78</v>
      </c>
      <c r="F38" s="10" t="str">
        <f>"2170635892 "</f>
        <v xml:space="preserve">2170635892 </v>
      </c>
      <c r="G38" s="10" t="str">
        <f t="shared" si="0"/>
        <v>ON1</v>
      </c>
      <c r="H38" s="10" t="s">
        <v>21</v>
      </c>
      <c r="I38" s="10" t="s">
        <v>79</v>
      </c>
      <c r="J38" s="10" t="str">
        <f>""</f>
        <v/>
      </c>
      <c r="K38" s="10" t="str">
        <f>"PFES1162628792_0001"</f>
        <v>PFES1162628792_0001</v>
      </c>
      <c r="L38" s="10">
        <v>1</v>
      </c>
      <c r="M38" s="10">
        <v>1</v>
      </c>
    </row>
    <row r="39" spans="1:13">
      <c r="A39" s="8">
        <v>43262</v>
      </c>
      <c r="B39" s="9">
        <v>0.66041666666666665</v>
      </c>
      <c r="C39" s="10" t="str">
        <f>"FES1162628838"</f>
        <v>FES1162628838</v>
      </c>
      <c r="D39" s="10" t="s">
        <v>19</v>
      </c>
      <c r="E39" s="10" t="s">
        <v>80</v>
      </c>
      <c r="F39" s="10" t="str">
        <f>"2170635942 "</f>
        <v xml:space="preserve">2170635942 </v>
      </c>
      <c r="G39" s="10" t="str">
        <f t="shared" si="0"/>
        <v>ON1</v>
      </c>
      <c r="H39" s="10" t="s">
        <v>21</v>
      </c>
      <c r="I39" s="10" t="s">
        <v>81</v>
      </c>
      <c r="J39" s="10" t="str">
        <f>""</f>
        <v/>
      </c>
      <c r="K39" s="10" t="str">
        <f>"PFES1162628838_0001"</f>
        <v>PFES1162628838_0001</v>
      </c>
      <c r="L39" s="10">
        <v>1</v>
      </c>
      <c r="M39" s="10">
        <v>1</v>
      </c>
    </row>
    <row r="40" spans="1:13">
      <c r="A40" s="8">
        <v>43262</v>
      </c>
      <c r="B40" s="9">
        <v>0.65972222222222221</v>
      </c>
      <c r="C40" s="10" t="str">
        <f>"FES1162628742"</f>
        <v>FES1162628742</v>
      </c>
      <c r="D40" s="10" t="s">
        <v>19</v>
      </c>
      <c r="E40" s="10" t="s">
        <v>82</v>
      </c>
      <c r="F40" s="10" t="str">
        <f>"2170635831 "</f>
        <v xml:space="preserve">2170635831 </v>
      </c>
      <c r="G40" s="10" t="str">
        <f t="shared" si="0"/>
        <v>ON1</v>
      </c>
      <c r="H40" s="10" t="s">
        <v>21</v>
      </c>
      <c r="I40" s="10" t="s">
        <v>83</v>
      </c>
      <c r="J40" s="10" t="str">
        <f>""</f>
        <v/>
      </c>
      <c r="K40" s="10" t="str">
        <f>"PFES1162628742_0001"</f>
        <v>PFES1162628742_0001</v>
      </c>
      <c r="L40" s="10">
        <v>1</v>
      </c>
      <c r="M40" s="10">
        <v>1</v>
      </c>
    </row>
    <row r="41" spans="1:13">
      <c r="A41" s="8">
        <v>43262</v>
      </c>
      <c r="B41" s="9">
        <v>0.65902777777777777</v>
      </c>
      <c r="C41" s="10" t="str">
        <f>"FES1162628778"</f>
        <v>FES1162628778</v>
      </c>
      <c r="D41" s="10" t="s">
        <v>19</v>
      </c>
      <c r="E41" s="10" t="s">
        <v>84</v>
      </c>
      <c r="F41" s="10" t="str">
        <f>"2170635869 "</f>
        <v xml:space="preserve">2170635869 </v>
      </c>
      <c r="G41" s="10" t="str">
        <f t="shared" si="0"/>
        <v>ON1</v>
      </c>
      <c r="H41" s="10" t="s">
        <v>21</v>
      </c>
      <c r="I41" s="10" t="s">
        <v>85</v>
      </c>
      <c r="J41" s="10" t="str">
        <f>""</f>
        <v/>
      </c>
      <c r="K41" s="10" t="str">
        <f>"PFES1162628778_0001"</f>
        <v>PFES1162628778_0001</v>
      </c>
      <c r="L41" s="10">
        <v>1</v>
      </c>
      <c r="M41" s="10">
        <v>1</v>
      </c>
    </row>
    <row r="42" spans="1:13">
      <c r="A42" s="8">
        <v>43262</v>
      </c>
      <c r="B42" s="9">
        <v>0.65833333333333333</v>
      </c>
      <c r="C42" s="10" t="str">
        <f>"FES1162628775"</f>
        <v>FES1162628775</v>
      </c>
      <c r="D42" s="10" t="s">
        <v>19</v>
      </c>
      <c r="E42" s="10" t="s">
        <v>74</v>
      </c>
      <c r="F42" s="10" t="str">
        <f>"2170635866 "</f>
        <v xml:space="preserve">2170635866 </v>
      </c>
      <c r="G42" s="10" t="str">
        <f t="shared" si="0"/>
        <v>ON1</v>
      </c>
      <c r="H42" s="10" t="s">
        <v>21</v>
      </c>
      <c r="I42" s="10" t="s">
        <v>75</v>
      </c>
      <c r="J42" s="10" t="str">
        <f>""</f>
        <v/>
      </c>
      <c r="K42" s="10" t="str">
        <f>"PFES1162628775_0001"</f>
        <v>PFES1162628775_0001</v>
      </c>
      <c r="L42" s="10">
        <v>1</v>
      </c>
      <c r="M42" s="10">
        <v>1</v>
      </c>
    </row>
    <row r="43" spans="1:13">
      <c r="A43" s="8">
        <v>43262</v>
      </c>
      <c r="B43" s="9">
        <v>0.65763888888888888</v>
      </c>
      <c r="C43" s="10" t="str">
        <f>"FES1162628802"</f>
        <v>FES1162628802</v>
      </c>
      <c r="D43" s="10" t="s">
        <v>19</v>
      </c>
      <c r="E43" s="10" t="s">
        <v>62</v>
      </c>
      <c r="F43" s="10" t="str">
        <f>"2170635900 "</f>
        <v xml:space="preserve">2170635900 </v>
      </c>
      <c r="G43" s="10" t="str">
        <f t="shared" si="0"/>
        <v>ON1</v>
      </c>
      <c r="H43" s="10" t="s">
        <v>21</v>
      </c>
      <c r="I43" s="10" t="s">
        <v>63</v>
      </c>
      <c r="J43" s="10" t="str">
        <f>""</f>
        <v/>
      </c>
      <c r="K43" s="10" t="str">
        <f>"PFES1162628802_0001"</f>
        <v>PFES1162628802_0001</v>
      </c>
      <c r="L43" s="10">
        <v>1</v>
      </c>
      <c r="M43" s="10">
        <v>1</v>
      </c>
    </row>
    <row r="44" spans="1:13">
      <c r="A44" s="8">
        <v>43262</v>
      </c>
      <c r="B44" s="9">
        <v>0.65763888888888888</v>
      </c>
      <c r="C44" s="10" t="str">
        <f>"FES1162628840"</f>
        <v>FES1162628840</v>
      </c>
      <c r="D44" s="10" t="s">
        <v>19</v>
      </c>
      <c r="E44" s="10" t="s">
        <v>86</v>
      </c>
      <c r="F44" s="10" t="str">
        <f>"2170635944 "</f>
        <v xml:space="preserve">2170635944 </v>
      </c>
      <c r="G44" s="10" t="str">
        <f t="shared" si="0"/>
        <v>ON1</v>
      </c>
      <c r="H44" s="10" t="s">
        <v>21</v>
      </c>
      <c r="I44" s="10" t="s">
        <v>32</v>
      </c>
      <c r="J44" s="10" t="str">
        <f>""</f>
        <v/>
      </c>
      <c r="K44" s="10" t="str">
        <f>"PFES1162628840_0001"</f>
        <v>PFES1162628840_0001</v>
      </c>
      <c r="L44" s="10">
        <v>1</v>
      </c>
      <c r="M44" s="10">
        <v>1</v>
      </c>
    </row>
    <row r="45" spans="1:13">
      <c r="A45" s="8">
        <v>43262</v>
      </c>
      <c r="B45" s="9">
        <v>0.65694444444444444</v>
      </c>
      <c r="C45" s="10" t="str">
        <f>"FES1162628856"</f>
        <v>FES1162628856</v>
      </c>
      <c r="D45" s="10" t="s">
        <v>19</v>
      </c>
      <c r="E45" s="10" t="s">
        <v>87</v>
      </c>
      <c r="F45" s="10" t="str">
        <f>"2170635973 "</f>
        <v xml:space="preserve">2170635973 </v>
      </c>
      <c r="G45" s="10" t="str">
        <f t="shared" si="0"/>
        <v>ON1</v>
      </c>
      <c r="H45" s="10" t="s">
        <v>21</v>
      </c>
      <c r="I45" s="10" t="s">
        <v>61</v>
      </c>
      <c r="J45" s="10" t="str">
        <f>""</f>
        <v/>
      </c>
      <c r="K45" s="10" t="str">
        <f>"PFES1162628856_0001"</f>
        <v>PFES1162628856_0001</v>
      </c>
      <c r="L45" s="10">
        <v>1</v>
      </c>
      <c r="M45" s="10">
        <v>1</v>
      </c>
    </row>
    <row r="46" spans="1:13">
      <c r="A46" s="8">
        <v>43262</v>
      </c>
      <c r="B46" s="9">
        <v>0.65625</v>
      </c>
      <c r="C46" s="10" t="str">
        <f>"FES1162628855"</f>
        <v>FES1162628855</v>
      </c>
      <c r="D46" s="10" t="s">
        <v>19</v>
      </c>
      <c r="E46" s="10" t="s">
        <v>88</v>
      </c>
      <c r="F46" s="10" t="str">
        <f>"2170635972 "</f>
        <v xml:space="preserve">2170635972 </v>
      </c>
      <c r="G46" s="10" t="str">
        <f t="shared" si="0"/>
        <v>ON1</v>
      </c>
      <c r="H46" s="10" t="s">
        <v>21</v>
      </c>
      <c r="I46" s="10" t="s">
        <v>89</v>
      </c>
      <c r="J46" s="10" t="str">
        <f>""</f>
        <v/>
      </c>
      <c r="K46" s="10" t="str">
        <f>"PFES1162628855_0001"</f>
        <v>PFES1162628855_0001</v>
      </c>
      <c r="L46" s="10">
        <v>1</v>
      </c>
      <c r="M46" s="10">
        <v>1</v>
      </c>
    </row>
    <row r="47" spans="1:13">
      <c r="A47" s="8">
        <v>43262</v>
      </c>
      <c r="B47" s="9">
        <v>0.65486111111111112</v>
      </c>
      <c r="C47" s="10" t="str">
        <f>"FES1162628851"</f>
        <v>FES1162628851</v>
      </c>
      <c r="D47" s="10" t="s">
        <v>19</v>
      </c>
      <c r="E47" s="10" t="s">
        <v>60</v>
      </c>
      <c r="F47" s="10" t="str">
        <f>"2170635964 "</f>
        <v xml:space="preserve">2170635964 </v>
      </c>
      <c r="G47" s="10" t="str">
        <f t="shared" si="0"/>
        <v>ON1</v>
      </c>
      <c r="H47" s="10" t="s">
        <v>21</v>
      </c>
      <c r="I47" s="10" t="s">
        <v>61</v>
      </c>
      <c r="J47" s="10" t="str">
        <f>""</f>
        <v/>
      </c>
      <c r="K47" s="10" t="str">
        <f>"PFES1162628851_0001"</f>
        <v>PFES1162628851_0001</v>
      </c>
      <c r="L47" s="10">
        <v>1</v>
      </c>
      <c r="M47" s="10">
        <v>1</v>
      </c>
    </row>
    <row r="48" spans="1:13">
      <c r="A48" s="8">
        <v>43262</v>
      </c>
      <c r="B48" s="9">
        <v>0.65208333333333335</v>
      </c>
      <c r="C48" s="10" t="str">
        <f>"FES1162628841"</f>
        <v>FES1162628841</v>
      </c>
      <c r="D48" s="10" t="s">
        <v>19</v>
      </c>
      <c r="E48" s="10" t="s">
        <v>90</v>
      </c>
      <c r="F48" s="10" t="str">
        <f>"2170635954 "</f>
        <v xml:space="preserve">2170635954 </v>
      </c>
      <c r="G48" s="10" t="str">
        <f>"ON2"</f>
        <v>ON2</v>
      </c>
      <c r="H48" s="10" t="s">
        <v>21</v>
      </c>
      <c r="I48" s="10" t="s">
        <v>91</v>
      </c>
      <c r="J48" s="10" t="str">
        <f>"FRAGILE OIL"</f>
        <v>FRAGILE OIL</v>
      </c>
      <c r="K48" s="10" t="str">
        <f>"PFES1162628841_0001"</f>
        <v>PFES1162628841_0001</v>
      </c>
      <c r="L48" s="10">
        <v>1</v>
      </c>
      <c r="M48" s="10">
        <v>10</v>
      </c>
    </row>
    <row r="49" spans="1:13">
      <c r="A49" s="8">
        <v>43262</v>
      </c>
      <c r="B49" s="9">
        <v>0.64930555555555558</v>
      </c>
      <c r="C49" s="10" t="str">
        <f>"FES1162628667"</f>
        <v>FES1162628667</v>
      </c>
      <c r="D49" s="10" t="s">
        <v>19</v>
      </c>
      <c r="E49" s="10" t="s">
        <v>92</v>
      </c>
      <c r="F49" s="10" t="str">
        <f>"2170635775 "</f>
        <v xml:space="preserve">2170635775 </v>
      </c>
      <c r="G49" s="10" t="str">
        <f t="shared" ref="G49:G59" si="1">"ON1"</f>
        <v>ON1</v>
      </c>
      <c r="H49" s="10" t="s">
        <v>21</v>
      </c>
      <c r="I49" s="10" t="s">
        <v>93</v>
      </c>
      <c r="J49" s="10" t="str">
        <f>""</f>
        <v/>
      </c>
      <c r="K49" s="10" t="str">
        <f>"PFES1162628667_0001"</f>
        <v>PFES1162628667_0001</v>
      </c>
      <c r="L49" s="10">
        <v>1</v>
      </c>
      <c r="M49" s="10">
        <v>8</v>
      </c>
    </row>
    <row r="50" spans="1:13">
      <c r="A50" s="8">
        <v>43262</v>
      </c>
      <c r="B50" s="9">
        <v>0.64861111111111114</v>
      </c>
      <c r="C50" s="10" t="str">
        <f>"FES1162628835"</f>
        <v>FES1162628835</v>
      </c>
      <c r="D50" s="10" t="s">
        <v>19</v>
      </c>
      <c r="E50" s="10" t="s">
        <v>37</v>
      </c>
      <c r="F50" s="10" t="str">
        <f>"2170635939 "</f>
        <v xml:space="preserve">2170635939 </v>
      </c>
      <c r="G50" s="10" t="str">
        <f t="shared" si="1"/>
        <v>ON1</v>
      </c>
      <c r="H50" s="10" t="s">
        <v>21</v>
      </c>
      <c r="I50" s="10" t="s">
        <v>38</v>
      </c>
      <c r="J50" s="10" t="str">
        <f>""</f>
        <v/>
      </c>
      <c r="K50" s="10" t="str">
        <f>"PFES1162628835_0001"</f>
        <v>PFES1162628835_0001</v>
      </c>
      <c r="L50" s="10">
        <v>1</v>
      </c>
      <c r="M50" s="10">
        <v>1</v>
      </c>
    </row>
    <row r="51" spans="1:13">
      <c r="A51" s="8">
        <v>43262</v>
      </c>
      <c r="B51" s="9">
        <v>0.6479166666666667</v>
      </c>
      <c r="C51" s="10" t="str">
        <f>"FES1162628823"</f>
        <v>FES1162628823</v>
      </c>
      <c r="D51" s="10" t="s">
        <v>19</v>
      </c>
      <c r="E51" s="10" t="s">
        <v>62</v>
      </c>
      <c r="F51" s="10" t="str">
        <f>"2170635921 "</f>
        <v xml:space="preserve">2170635921 </v>
      </c>
      <c r="G51" s="10" t="str">
        <f t="shared" si="1"/>
        <v>ON1</v>
      </c>
      <c r="H51" s="10" t="s">
        <v>21</v>
      </c>
      <c r="I51" s="10" t="s">
        <v>63</v>
      </c>
      <c r="J51" s="10" t="str">
        <f>""</f>
        <v/>
      </c>
      <c r="K51" s="10" t="str">
        <f>"PFES1162628823_0001"</f>
        <v>PFES1162628823_0001</v>
      </c>
      <c r="L51" s="10">
        <v>1</v>
      </c>
      <c r="M51" s="10">
        <v>1</v>
      </c>
    </row>
    <row r="52" spans="1:13">
      <c r="A52" s="8">
        <v>43262</v>
      </c>
      <c r="B52" s="9">
        <v>0.64722222222222225</v>
      </c>
      <c r="C52" s="10" t="str">
        <f>"FES1162628787"</f>
        <v>FES1162628787</v>
      </c>
      <c r="D52" s="10" t="s">
        <v>19</v>
      </c>
      <c r="E52" s="10" t="s">
        <v>94</v>
      </c>
      <c r="F52" s="10" t="str">
        <f>"2170635891 "</f>
        <v xml:space="preserve">2170635891 </v>
      </c>
      <c r="G52" s="10" t="str">
        <f t="shared" si="1"/>
        <v>ON1</v>
      </c>
      <c r="H52" s="10" t="s">
        <v>21</v>
      </c>
      <c r="I52" s="10" t="s">
        <v>55</v>
      </c>
      <c r="J52" s="10" t="str">
        <f>""</f>
        <v/>
      </c>
      <c r="K52" s="10" t="str">
        <f>"PFES1162628787_0001"</f>
        <v>PFES1162628787_0001</v>
      </c>
      <c r="L52" s="10">
        <v>1</v>
      </c>
      <c r="M52" s="10">
        <v>2</v>
      </c>
    </row>
    <row r="53" spans="1:13">
      <c r="A53" s="8">
        <v>43262</v>
      </c>
      <c r="B53" s="9">
        <v>0.64652777777777781</v>
      </c>
      <c r="C53" s="10" t="str">
        <f>"FES1162628847"</f>
        <v>FES1162628847</v>
      </c>
      <c r="D53" s="10" t="s">
        <v>19</v>
      </c>
      <c r="E53" s="10" t="s">
        <v>95</v>
      </c>
      <c r="F53" s="10" t="str">
        <f>"2170635899 "</f>
        <v xml:space="preserve">2170635899 </v>
      </c>
      <c r="G53" s="10" t="str">
        <f t="shared" si="1"/>
        <v>ON1</v>
      </c>
      <c r="H53" s="10" t="s">
        <v>21</v>
      </c>
      <c r="I53" s="10" t="s">
        <v>96</v>
      </c>
      <c r="J53" s="10" t="str">
        <f>""</f>
        <v/>
      </c>
      <c r="K53" s="10" t="str">
        <f>"PFES1162628847_0001"</f>
        <v>PFES1162628847_0001</v>
      </c>
      <c r="L53" s="10">
        <v>1</v>
      </c>
      <c r="M53" s="10">
        <v>2</v>
      </c>
    </row>
    <row r="54" spans="1:13">
      <c r="A54" s="8">
        <v>43262</v>
      </c>
      <c r="B54" s="9">
        <v>0.64513888888888882</v>
      </c>
      <c r="C54" s="10" t="str">
        <f>"FES1162628845"</f>
        <v>FES1162628845</v>
      </c>
      <c r="D54" s="10" t="s">
        <v>19</v>
      </c>
      <c r="E54" s="10" t="s">
        <v>95</v>
      </c>
      <c r="F54" s="10" t="str">
        <f>"2170635952 "</f>
        <v xml:space="preserve">2170635952 </v>
      </c>
      <c r="G54" s="10" t="str">
        <f t="shared" si="1"/>
        <v>ON1</v>
      </c>
      <c r="H54" s="10" t="s">
        <v>21</v>
      </c>
      <c r="I54" s="10" t="s">
        <v>96</v>
      </c>
      <c r="J54" s="10" t="str">
        <f>""</f>
        <v/>
      </c>
      <c r="K54" s="10" t="str">
        <f>"PFES1162628845_0001"</f>
        <v>PFES1162628845_0001</v>
      </c>
      <c r="L54" s="10">
        <v>1</v>
      </c>
      <c r="M54" s="10">
        <v>3</v>
      </c>
    </row>
    <row r="55" spans="1:13">
      <c r="A55" s="8">
        <v>43262</v>
      </c>
      <c r="B55" s="9">
        <v>0.64444444444444449</v>
      </c>
      <c r="C55" s="10" t="str">
        <f>"FES1162628806"</f>
        <v>FES1162628806</v>
      </c>
      <c r="D55" s="10" t="s">
        <v>19</v>
      </c>
      <c r="E55" s="10" t="s">
        <v>97</v>
      </c>
      <c r="F55" s="10" t="str">
        <f>"2170635549 "</f>
        <v xml:space="preserve">2170635549 </v>
      </c>
      <c r="G55" s="10" t="str">
        <f t="shared" si="1"/>
        <v>ON1</v>
      </c>
      <c r="H55" s="10" t="s">
        <v>21</v>
      </c>
      <c r="I55" s="10" t="s">
        <v>98</v>
      </c>
      <c r="J55" s="10" t="str">
        <f>""</f>
        <v/>
      </c>
      <c r="K55" s="10" t="str">
        <f>"PFES1162628806_0001"</f>
        <v>PFES1162628806_0001</v>
      </c>
      <c r="L55" s="10">
        <v>1</v>
      </c>
      <c r="M55" s="10">
        <v>4</v>
      </c>
    </row>
    <row r="56" spans="1:13">
      <c r="A56" s="8">
        <v>43262</v>
      </c>
      <c r="B56" s="9">
        <v>0.64374999999999993</v>
      </c>
      <c r="C56" s="10" t="str">
        <f>"FES1162628794"</f>
        <v>FES1162628794</v>
      </c>
      <c r="D56" s="10" t="s">
        <v>19</v>
      </c>
      <c r="E56" s="10" t="s">
        <v>97</v>
      </c>
      <c r="F56" s="10" t="str">
        <f>"2170635555 "</f>
        <v xml:space="preserve">2170635555 </v>
      </c>
      <c r="G56" s="10" t="str">
        <f t="shared" si="1"/>
        <v>ON1</v>
      </c>
      <c r="H56" s="10" t="s">
        <v>21</v>
      </c>
      <c r="I56" s="10" t="s">
        <v>98</v>
      </c>
      <c r="J56" s="10" t="str">
        <f>""</f>
        <v/>
      </c>
      <c r="K56" s="10" t="str">
        <f>"PFES1162628794_0001"</f>
        <v>PFES1162628794_0001</v>
      </c>
      <c r="L56" s="10">
        <v>1</v>
      </c>
      <c r="M56" s="10">
        <v>1</v>
      </c>
    </row>
    <row r="57" spans="1:13">
      <c r="A57" s="8">
        <v>43262</v>
      </c>
      <c r="B57" s="9">
        <v>0.6430555555555556</v>
      </c>
      <c r="C57" s="10" t="str">
        <f>"FES1162628807"</f>
        <v>FES1162628807</v>
      </c>
      <c r="D57" s="10" t="s">
        <v>19</v>
      </c>
      <c r="E57" s="10" t="s">
        <v>99</v>
      </c>
      <c r="F57" s="10" t="str">
        <f>"2170614482 "</f>
        <v xml:space="preserve">2170614482 </v>
      </c>
      <c r="G57" s="10" t="str">
        <f t="shared" si="1"/>
        <v>ON1</v>
      </c>
      <c r="H57" s="10" t="s">
        <v>21</v>
      </c>
      <c r="I57" s="10" t="s">
        <v>100</v>
      </c>
      <c r="J57" s="10" t="str">
        <f>""</f>
        <v/>
      </c>
      <c r="K57" s="10" t="str">
        <f>"PFES1162628807_0001"</f>
        <v>PFES1162628807_0001</v>
      </c>
      <c r="L57" s="10">
        <v>1</v>
      </c>
      <c r="M57" s="10">
        <v>19</v>
      </c>
    </row>
    <row r="58" spans="1:13">
      <c r="A58" s="8">
        <v>43262</v>
      </c>
      <c r="B58" s="9">
        <v>0.64236111111111105</v>
      </c>
      <c r="C58" s="10" t="str">
        <f>"FES1162628805"</f>
        <v>FES1162628805</v>
      </c>
      <c r="D58" s="10" t="s">
        <v>19</v>
      </c>
      <c r="E58" s="10" t="s">
        <v>101</v>
      </c>
      <c r="F58" s="10" t="str">
        <f>"2170635903 "</f>
        <v xml:space="preserve">2170635903 </v>
      </c>
      <c r="G58" s="10" t="str">
        <f t="shared" si="1"/>
        <v>ON1</v>
      </c>
      <c r="H58" s="10" t="s">
        <v>21</v>
      </c>
      <c r="I58" s="10" t="s">
        <v>102</v>
      </c>
      <c r="J58" s="10" t="str">
        <f>""</f>
        <v/>
      </c>
      <c r="K58" s="10" t="str">
        <f>"PFES1162628805_0001"</f>
        <v>PFES1162628805_0001</v>
      </c>
      <c r="L58" s="10">
        <v>1</v>
      </c>
      <c r="M58" s="10">
        <v>4</v>
      </c>
    </row>
    <row r="59" spans="1:13">
      <c r="A59" s="8">
        <v>43262</v>
      </c>
      <c r="B59" s="9">
        <v>0.64027777777777783</v>
      </c>
      <c r="C59" s="10" t="str">
        <f>"FES1162628839"</f>
        <v>FES1162628839</v>
      </c>
      <c r="D59" s="10" t="s">
        <v>19</v>
      </c>
      <c r="E59" s="10" t="s">
        <v>103</v>
      </c>
      <c r="F59" s="10" t="str">
        <f>"2170635943 "</f>
        <v xml:space="preserve">2170635943 </v>
      </c>
      <c r="G59" s="10" t="str">
        <f t="shared" si="1"/>
        <v>ON1</v>
      </c>
      <c r="H59" s="10" t="s">
        <v>21</v>
      </c>
      <c r="I59" s="10" t="s">
        <v>104</v>
      </c>
      <c r="J59" s="10" t="str">
        <f>""</f>
        <v/>
      </c>
      <c r="K59" s="10" t="str">
        <f>"PFES1162628839_0001"</f>
        <v>PFES1162628839_0001</v>
      </c>
      <c r="L59" s="10">
        <v>1</v>
      </c>
      <c r="M59" s="10">
        <v>9</v>
      </c>
    </row>
    <row r="60" spans="1:13">
      <c r="A60" s="8">
        <v>43262</v>
      </c>
      <c r="B60" s="9">
        <v>0.60972222222222217</v>
      </c>
      <c r="C60" s="10" t="str">
        <f>"FES1162628736"</f>
        <v>FES1162628736</v>
      </c>
      <c r="D60" s="10" t="s">
        <v>19</v>
      </c>
      <c r="E60" s="10" t="s">
        <v>105</v>
      </c>
      <c r="F60" s="10" t="str">
        <f>"2170635824 "</f>
        <v xml:space="preserve">2170635824 </v>
      </c>
      <c r="G60" s="10" t="str">
        <f>"DBC"</f>
        <v>DBC</v>
      </c>
      <c r="H60" s="10" t="s">
        <v>21</v>
      </c>
      <c r="I60" s="10" t="s">
        <v>106</v>
      </c>
      <c r="J60" s="10" t="str">
        <f>""</f>
        <v/>
      </c>
      <c r="K60" s="10" t="str">
        <f>"PFES1162628736_0001"</f>
        <v>PFES1162628736_0001</v>
      </c>
      <c r="L60" s="10">
        <v>1</v>
      </c>
      <c r="M60" s="10">
        <v>28</v>
      </c>
    </row>
    <row r="61" spans="1:13">
      <c r="A61" s="8">
        <v>43262</v>
      </c>
      <c r="B61" s="9">
        <v>0.60833333333333328</v>
      </c>
      <c r="C61" s="10" t="str">
        <f>"FES1162628699"</f>
        <v>FES1162628699</v>
      </c>
      <c r="D61" s="10" t="s">
        <v>19</v>
      </c>
      <c r="E61" s="10" t="s">
        <v>107</v>
      </c>
      <c r="F61" s="10" t="str">
        <f>"2170625201 "</f>
        <v xml:space="preserve">2170625201 </v>
      </c>
      <c r="G61" s="10" t="str">
        <f t="shared" ref="G61:G91" si="2">"ON1"</f>
        <v>ON1</v>
      </c>
      <c r="H61" s="10" t="s">
        <v>21</v>
      </c>
      <c r="I61" s="10" t="s">
        <v>108</v>
      </c>
      <c r="J61" s="10" t="str">
        <f>""</f>
        <v/>
      </c>
      <c r="K61" s="10" t="str">
        <f>"PFES1162628699_0001"</f>
        <v>PFES1162628699_0001</v>
      </c>
      <c r="L61" s="10">
        <v>1</v>
      </c>
      <c r="M61" s="10">
        <v>3</v>
      </c>
    </row>
    <row r="62" spans="1:13">
      <c r="A62" s="8">
        <v>43262</v>
      </c>
      <c r="B62" s="9">
        <v>0.60833333333333328</v>
      </c>
      <c r="C62" s="10" t="str">
        <f>"FES1162628629"</f>
        <v>FES1162628629</v>
      </c>
      <c r="D62" s="10" t="s">
        <v>19</v>
      </c>
      <c r="E62" s="10" t="s">
        <v>109</v>
      </c>
      <c r="F62" s="10" t="str">
        <f>"2170634243 "</f>
        <v xml:space="preserve">2170634243 </v>
      </c>
      <c r="G62" s="10" t="str">
        <f t="shared" si="2"/>
        <v>ON1</v>
      </c>
      <c r="H62" s="10" t="s">
        <v>21</v>
      </c>
      <c r="I62" s="10" t="s">
        <v>110</v>
      </c>
      <c r="J62" s="10" t="str">
        <f>""</f>
        <v/>
      </c>
      <c r="K62" s="10" t="str">
        <f>"PFES1162628629_0001"</f>
        <v>PFES1162628629_0001</v>
      </c>
      <c r="L62" s="10">
        <v>1</v>
      </c>
      <c r="M62" s="10">
        <v>1</v>
      </c>
    </row>
    <row r="63" spans="1:13">
      <c r="A63" s="8">
        <v>43262</v>
      </c>
      <c r="B63" s="9">
        <v>0.60763888888888895</v>
      </c>
      <c r="C63" s="10" t="str">
        <f>"FES1162628782"</f>
        <v>FES1162628782</v>
      </c>
      <c r="D63" s="10" t="s">
        <v>19</v>
      </c>
      <c r="E63" s="10" t="s">
        <v>60</v>
      </c>
      <c r="F63" s="10" t="str">
        <f>"2170635872 "</f>
        <v xml:space="preserve">2170635872 </v>
      </c>
      <c r="G63" s="10" t="str">
        <f t="shared" si="2"/>
        <v>ON1</v>
      </c>
      <c r="H63" s="10" t="s">
        <v>21</v>
      </c>
      <c r="I63" s="10" t="s">
        <v>61</v>
      </c>
      <c r="J63" s="10" t="str">
        <f>""</f>
        <v/>
      </c>
      <c r="K63" s="10" t="str">
        <f>"PFES1162628782_0001"</f>
        <v>PFES1162628782_0001</v>
      </c>
      <c r="L63" s="10">
        <v>1</v>
      </c>
      <c r="M63" s="10">
        <v>1</v>
      </c>
    </row>
    <row r="64" spans="1:13">
      <c r="A64" s="8">
        <v>43262</v>
      </c>
      <c r="B64" s="9">
        <v>0.6069444444444444</v>
      </c>
      <c r="C64" s="10" t="str">
        <f>"FES1162628745"</f>
        <v>FES1162628745</v>
      </c>
      <c r="D64" s="10" t="s">
        <v>19</v>
      </c>
      <c r="E64" s="10" t="s">
        <v>111</v>
      </c>
      <c r="F64" s="10" t="str">
        <f>"2170632243 "</f>
        <v xml:space="preserve">2170632243 </v>
      </c>
      <c r="G64" s="10" t="str">
        <f t="shared" si="2"/>
        <v>ON1</v>
      </c>
      <c r="H64" s="10" t="s">
        <v>21</v>
      </c>
      <c r="I64" s="10" t="s">
        <v>112</v>
      </c>
      <c r="J64" s="10" t="str">
        <f>""</f>
        <v/>
      </c>
      <c r="K64" s="10" t="str">
        <f>"PFES1162628745_0001"</f>
        <v>PFES1162628745_0001</v>
      </c>
      <c r="L64" s="10">
        <v>1</v>
      </c>
      <c r="M64" s="10">
        <v>1</v>
      </c>
    </row>
    <row r="65" spans="1:13">
      <c r="A65" s="8">
        <v>43262</v>
      </c>
      <c r="B65" s="9">
        <v>0.60625000000000007</v>
      </c>
      <c r="C65" s="10" t="str">
        <f>"FES1162628734"</f>
        <v>FES1162628734</v>
      </c>
      <c r="D65" s="10" t="s">
        <v>19</v>
      </c>
      <c r="E65" s="10" t="s">
        <v>113</v>
      </c>
      <c r="F65" s="10" t="str">
        <f>"2170635822 "</f>
        <v xml:space="preserve">2170635822 </v>
      </c>
      <c r="G65" s="10" t="str">
        <f t="shared" si="2"/>
        <v>ON1</v>
      </c>
      <c r="H65" s="10" t="s">
        <v>21</v>
      </c>
      <c r="I65" s="10" t="s">
        <v>114</v>
      </c>
      <c r="J65" s="10" t="str">
        <f>""</f>
        <v/>
      </c>
      <c r="K65" s="10" t="str">
        <f>"PFES1162628734_0001"</f>
        <v>PFES1162628734_0001</v>
      </c>
      <c r="L65" s="10">
        <v>1</v>
      </c>
      <c r="M65" s="10">
        <v>1</v>
      </c>
    </row>
    <row r="66" spans="1:13">
      <c r="A66" s="8">
        <v>43262</v>
      </c>
      <c r="B66" s="9">
        <v>0.60555555555555551</v>
      </c>
      <c r="C66" s="10" t="str">
        <f>"FES1162628747"</f>
        <v>FES1162628747</v>
      </c>
      <c r="D66" s="10" t="s">
        <v>19</v>
      </c>
      <c r="E66" s="10" t="s">
        <v>111</v>
      </c>
      <c r="F66" s="10" t="str">
        <f>"2170634983 "</f>
        <v xml:space="preserve">2170634983 </v>
      </c>
      <c r="G66" s="10" t="str">
        <f t="shared" si="2"/>
        <v>ON1</v>
      </c>
      <c r="H66" s="10" t="s">
        <v>21</v>
      </c>
      <c r="I66" s="10" t="s">
        <v>112</v>
      </c>
      <c r="J66" s="10" t="str">
        <f>""</f>
        <v/>
      </c>
      <c r="K66" s="10" t="str">
        <f>"PFES1162628747_0001"</f>
        <v>PFES1162628747_0001</v>
      </c>
      <c r="L66" s="10">
        <v>1</v>
      </c>
      <c r="M66" s="10">
        <v>1</v>
      </c>
    </row>
    <row r="67" spans="1:13">
      <c r="A67" s="8">
        <v>43262</v>
      </c>
      <c r="B67" s="9">
        <v>0.60555555555555551</v>
      </c>
      <c r="C67" s="10" t="str">
        <f>"FES1162628781"</f>
        <v>FES1162628781</v>
      </c>
      <c r="D67" s="10" t="s">
        <v>19</v>
      </c>
      <c r="E67" s="10" t="s">
        <v>60</v>
      </c>
      <c r="F67" s="10" t="str">
        <f>"2170635872 "</f>
        <v xml:space="preserve">2170635872 </v>
      </c>
      <c r="G67" s="10" t="str">
        <f t="shared" si="2"/>
        <v>ON1</v>
      </c>
      <c r="H67" s="10" t="s">
        <v>21</v>
      </c>
      <c r="I67" s="10" t="s">
        <v>61</v>
      </c>
      <c r="J67" s="10" t="str">
        <f>""</f>
        <v/>
      </c>
      <c r="K67" s="10" t="str">
        <f>"PFES1162628781_0001"</f>
        <v>PFES1162628781_0001</v>
      </c>
      <c r="L67" s="10">
        <v>1</v>
      </c>
      <c r="M67" s="10">
        <v>1</v>
      </c>
    </row>
    <row r="68" spans="1:13">
      <c r="A68" s="8">
        <v>43262</v>
      </c>
      <c r="B68" s="9">
        <v>0.60486111111111118</v>
      </c>
      <c r="C68" s="10" t="str">
        <f>"FES1162628777"</f>
        <v>FES1162628777</v>
      </c>
      <c r="D68" s="10" t="s">
        <v>19</v>
      </c>
      <c r="E68" s="10" t="s">
        <v>115</v>
      </c>
      <c r="F68" s="10" t="str">
        <f>"2170635868 "</f>
        <v xml:space="preserve">2170635868 </v>
      </c>
      <c r="G68" s="10" t="str">
        <f t="shared" si="2"/>
        <v>ON1</v>
      </c>
      <c r="H68" s="10" t="s">
        <v>21</v>
      </c>
      <c r="I68" s="10" t="s">
        <v>116</v>
      </c>
      <c r="J68" s="10" t="str">
        <f>""</f>
        <v/>
      </c>
      <c r="K68" s="10" t="str">
        <f>"PFES1162628777_0001"</f>
        <v>PFES1162628777_0001</v>
      </c>
      <c r="L68" s="10">
        <v>1</v>
      </c>
      <c r="M68" s="10">
        <v>1</v>
      </c>
    </row>
    <row r="69" spans="1:13">
      <c r="A69" s="8">
        <v>43262</v>
      </c>
      <c r="B69" s="9">
        <v>0.60416666666666663</v>
      </c>
      <c r="C69" s="10" t="str">
        <f>"FES1162628743"</f>
        <v>FES1162628743</v>
      </c>
      <c r="D69" s="10" t="s">
        <v>19</v>
      </c>
      <c r="E69" s="10" t="s">
        <v>117</v>
      </c>
      <c r="F69" s="10" t="str">
        <f>"2170635832 "</f>
        <v xml:space="preserve">2170635832 </v>
      </c>
      <c r="G69" s="10" t="str">
        <f t="shared" si="2"/>
        <v>ON1</v>
      </c>
      <c r="H69" s="10" t="s">
        <v>21</v>
      </c>
      <c r="I69" s="10" t="s">
        <v>118</v>
      </c>
      <c r="J69" s="10" t="str">
        <f>""</f>
        <v/>
      </c>
      <c r="K69" s="10" t="str">
        <f>"PFES1162628743_0001"</f>
        <v>PFES1162628743_0001</v>
      </c>
      <c r="L69" s="10">
        <v>1</v>
      </c>
      <c r="M69" s="10">
        <v>1</v>
      </c>
    </row>
    <row r="70" spans="1:13">
      <c r="A70" s="8">
        <v>43262</v>
      </c>
      <c r="B70" s="9">
        <v>0.60347222222222219</v>
      </c>
      <c r="C70" s="10" t="str">
        <f>"FES1162628761"</f>
        <v>FES1162628761</v>
      </c>
      <c r="D70" s="10" t="s">
        <v>19</v>
      </c>
      <c r="E70" s="10" t="s">
        <v>117</v>
      </c>
      <c r="F70" s="10" t="str">
        <f>"2170635852 "</f>
        <v xml:space="preserve">2170635852 </v>
      </c>
      <c r="G70" s="10" t="str">
        <f t="shared" si="2"/>
        <v>ON1</v>
      </c>
      <c r="H70" s="10" t="s">
        <v>21</v>
      </c>
      <c r="I70" s="10" t="s">
        <v>118</v>
      </c>
      <c r="J70" s="10" t="str">
        <f>""</f>
        <v/>
      </c>
      <c r="K70" s="10" t="str">
        <f>"PFES1162628761_0001"</f>
        <v>PFES1162628761_0001</v>
      </c>
      <c r="L70" s="10">
        <v>1</v>
      </c>
      <c r="M70" s="10">
        <v>1</v>
      </c>
    </row>
    <row r="71" spans="1:13">
      <c r="A71" s="8">
        <v>43262</v>
      </c>
      <c r="B71" s="9">
        <v>0.60347222222222219</v>
      </c>
      <c r="C71" s="10" t="str">
        <f>"FES1162628757"</f>
        <v>FES1162628757</v>
      </c>
      <c r="D71" s="10" t="s">
        <v>19</v>
      </c>
      <c r="E71" s="10" t="s">
        <v>119</v>
      </c>
      <c r="F71" s="10" t="str">
        <f>"2170635843 "</f>
        <v xml:space="preserve">2170635843 </v>
      </c>
      <c r="G71" s="10" t="str">
        <f t="shared" si="2"/>
        <v>ON1</v>
      </c>
      <c r="H71" s="10" t="s">
        <v>21</v>
      </c>
      <c r="I71" s="10" t="s">
        <v>83</v>
      </c>
      <c r="J71" s="10" t="str">
        <f>""</f>
        <v/>
      </c>
      <c r="K71" s="10" t="str">
        <f>"PFES1162628757_0001"</f>
        <v>PFES1162628757_0001</v>
      </c>
      <c r="L71" s="10">
        <v>1</v>
      </c>
      <c r="M71" s="10">
        <v>1</v>
      </c>
    </row>
    <row r="72" spans="1:13">
      <c r="A72" s="8">
        <v>43262</v>
      </c>
      <c r="B72" s="9">
        <v>0.60277777777777775</v>
      </c>
      <c r="C72" s="10" t="str">
        <f>"FES1162628720"</f>
        <v>FES1162628720</v>
      </c>
      <c r="D72" s="10" t="s">
        <v>19</v>
      </c>
      <c r="E72" s="10" t="s">
        <v>120</v>
      </c>
      <c r="F72" s="10" t="str">
        <f>"2170635817 "</f>
        <v xml:space="preserve">2170635817 </v>
      </c>
      <c r="G72" s="10" t="str">
        <f t="shared" si="2"/>
        <v>ON1</v>
      </c>
      <c r="H72" s="10" t="s">
        <v>21</v>
      </c>
      <c r="I72" s="10" t="s">
        <v>38</v>
      </c>
      <c r="J72" s="10" t="str">
        <f>""</f>
        <v/>
      </c>
      <c r="K72" s="10" t="str">
        <f>"PFES1162628720_0001"</f>
        <v>PFES1162628720_0001</v>
      </c>
      <c r="L72" s="10">
        <v>1</v>
      </c>
      <c r="M72" s="10">
        <v>1</v>
      </c>
    </row>
    <row r="73" spans="1:13">
      <c r="A73" s="8">
        <v>43262</v>
      </c>
      <c r="B73" s="9">
        <v>0.6020833333333333</v>
      </c>
      <c r="C73" s="10" t="str">
        <f>"FES1162628746"</f>
        <v>FES1162628746</v>
      </c>
      <c r="D73" s="10" t="s">
        <v>19</v>
      </c>
      <c r="E73" s="10" t="s">
        <v>111</v>
      </c>
      <c r="F73" s="10" t="str">
        <f>"2170632261 "</f>
        <v xml:space="preserve">2170632261 </v>
      </c>
      <c r="G73" s="10" t="str">
        <f t="shared" si="2"/>
        <v>ON1</v>
      </c>
      <c r="H73" s="10" t="s">
        <v>21</v>
      </c>
      <c r="I73" s="10" t="s">
        <v>112</v>
      </c>
      <c r="J73" s="10" t="str">
        <f>""</f>
        <v/>
      </c>
      <c r="K73" s="10" t="str">
        <f>"PFES1162628746_0001"</f>
        <v>PFES1162628746_0001</v>
      </c>
      <c r="L73" s="10">
        <v>1</v>
      </c>
      <c r="M73" s="10">
        <v>1</v>
      </c>
    </row>
    <row r="74" spans="1:13">
      <c r="A74" s="8">
        <v>43262</v>
      </c>
      <c r="B74" s="9">
        <v>0.60138888888888886</v>
      </c>
      <c r="C74" s="10" t="str">
        <f>"FES1162628770"</f>
        <v>FES1162628770</v>
      </c>
      <c r="D74" s="10" t="s">
        <v>19</v>
      </c>
      <c r="E74" s="10" t="s">
        <v>121</v>
      </c>
      <c r="F74" s="10" t="str">
        <f>"2170635862 "</f>
        <v xml:space="preserve">2170635862 </v>
      </c>
      <c r="G74" s="10" t="str">
        <f t="shared" si="2"/>
        <v>ON1</v>
      </c>
      <c r="H74" s="10" t="s">
        <v>21</v>
      </c>
      <c r="I74" s="10" t="s">
        <v>79</v>
      </c>
      <c r="J74" s="10" t="str">
        <f>""</f>
        <v/>
      </c>
      <c r="K74" s="10" t="str">
        <f>"PFES1162628770_0001"</f>
        <v>PFES1162628770_0001</v>
      </c>
      <c r="L74" s="10">
        <v>1</v>
      </c>
      <c r="M74" s="10">
        <v>1</v>
      </c>
    </row>
    <row r="75" spans="1:13">
      <c r="A75" s="8">
        <v>43262</v>
      </c>
      <c r="B75" s="9">
        <v>0.60069444444444442</v>
      </c>
      <c r="C75" s="10" t="str">
        <f>"FES1162628767"</f>
        <v>FES1162628767</v>
      </c>
      <c r="D75" s="10" t="s">
        <v>19</v>
      </c>
      <c r="E75" s="10" t="s">
        <v>122</v>
      </c>
      <c r="F75" s="10" t="str">
        <f>"2170635857 "</f>
        <v xml:space="preserve">2170635857 </v>
      </c>
      <c r="G75" s="10" t="str">
        <f t="shared" si="2"/>
        <v>ON1</v>
      </c>
      <c r="H75" s="10" t="s">
        <v>21</v>
      </c>
      <c r="I75" s="10" t="s">
        <v>75</v>
      </c>
      <c r="J75" s="10" t="str">
        <f>""</f>
        <v/>
      </c>
      <c r="K75" s="10" t="str">
        <f>"PFES1162628767_0001"</f>
        <v>PFES1162628767_0001</v>
      </c>
      <c r="L75" s="10">
        <v>1</v>
      </c>
      <c r="M75" s="10">
        <v>1</v>
      </c>
    </row>
    <row r="76" spans="1:13">
      <c r="A76" s="8">
        <v>43262</v>
      </c>
      <c r="B76" s="9">
        <v>0.60069444444444442</v>
      </c>
      <c r="C76" s="10" t="str">
        <f>"FES1162628748"</f>
        <v>FES1162628748</v>
      </c>
      <c r="D76" s="10" t="s">
        <v>19</v>
      </c>
      <c r="E76" s="10" t="s">
        <v>111</v>
      </c>
      <c r="F76" s="10" t="str">
        <f>"2170635371 "</f>
        <v xml:space="preserve">2170635371 </v>
      </c>
      <c r="G76" s="10" t="str">
        <f t="shared" si="2"/>
        <v>ON1</v>
      </c>
      <c r="H76" s="10" t="s">
        <v>21</v>
      </c>
      <c r="I76" s="10" t="s">
        <v>112</v>
      </c>
      <c r="J76" s="10" t="str">
        <f>""</f>
        <v/>
      </c>
      <c r="K76" s="10" t="str">
        <f>"PFES1162628748_0001"</f>
        <v>PFES1162628748_0001</v>
      </c>
      <c r="L76" s="10">
        <v>1</v>
      </c>
      <c r="M76" s="10">
        <v>1</v>
      </c>
    </row>
    <row r="77" spans="1:13">
      <c r="A77" s="8">
        <v>43262</v>
      </c>
      <c r="B77" s="9">
        <v>0.59930555555555554</v>
      </c>
      <c r="C77" s="10" t="str">
        <f>"FES1162628783"</f>
        <v>FES1162628783</v>
      </c>
      <c r="D77" s="10" t="s">
        <v>19</v>
      </c>
      <c r="E77" s="10" t="s">
        <v>123</v>
      </c>
      <c r="F77" s="10" t="str">
        <f>"2170635874 "</f>
        <v xml:space="preserve">2170635874 </v>
      </c>
      <c r="G77" s="10" t="str">
        <f t="shared" si="2"/>
        <v>ON1</v>
      </c>
      <c r="H77" s="10" t="s">
        <v>21</v>
      </c>
      <c r="I77" s="10" t="s">
        <v>26</v>
      </c>
      <c r="J77" s="10" t="str">
        <f>""</f>
        <v/>
      </c>
      <c r="K77" s="10" t="str">
        <f>"PFES1162628783_0001"</f>
        <v>PFES1162628783_0001</v>
      </c>
      <c r="L77" s="10">
        <v>1</v>
      </c>
      <c r="M77" s="10">
        <v>1</v>
      </c>
    </row>
    <row r="78" spans="1:13">
      <c r="A78" s="8">
        <v>43262</v>
      </c>
      <c r="B78" s="9">
        <v>0.59861111111111109</v>
      </c>
      <c r="C78" s="10" t="str">
        <f>"FES1162628759"</f>
        <v>FES1162628759</v>
      </c>
      <c r="D78" s="10" t="s">
        <v>19</v>
      </c>
      <c r="E78" s="10" t="s">
        <v>124</v>
      </c>
      <c r="F78" s="10" t="str">
        <f>"2170635847 "</f>
        <v xml:space="preserve">2170635847 </v>
      </c>
      <c r="G78" s="10" t="str">
        <f t="shared" si="2"/>
        <v>ON1</v>
      </c>
      <c r="H78" s="10" t="s">
        <v>21</v>
      </c>
      <c r="I78" s="10" t="s">
        <v>40</v>
      </c>
      <c r="J78" s="10" t="str">
        <f>""</f>
        <v/>
      </c>
      <c r="K78" s="10" t="str">
        <f>"PFES1162628759_0001"</f>
        <v>PFES1162628759_0001</v>
      </c>
      <c r="L78" s="10">
        <v>1</v>
      </c>
      <c r="M78" s="10">
        <v>1</v>
      </c>
    </row>
    <row r="79" spans="1:13">
      <c r="A79" s="8">
        <v>43262</v>
      </c>
      <c r="B79" s="9">
        <v>0.59791666666666665</v>
      </c>
      <c r="C79" s="10" t="str">
        <f>"FES1162628766"</f>
        <v>FES1162628766</v>
      </c>
      <c r="D79" s="10" t="s">
        <v>19</v>
      </c>
      <c r="E79" s="10" t="s">
        <v>29</v>
      </c>
      <c r="F79" s="10" t="str">
        <f>"2170635855 "</f>
        <v xml:space="preserve">2170635855 </v>
      </c>
      <c r="G79" s="10" t="str">
        <f t="shared" si="2"/>
        <v>ON1</v>
      </c>
      <c r="H79" s="10" t="s">
        <v>21</v>
      </c>
      <c r="I79" s="10" t="s">
        <v>30</v>
      </c>
      <c r="J79" s="10" t="str">
        <f>""</f>
        <v/>
      </c>
      <c r="K79" s="10" t="str">
        <f>"PFES1162628766_0001"</f>
        <v>PFES1162628766_0001</v>
      </c>
      <c r="L79" s="10">
        <v>1</v>
      </c>
      <c r="M79" s="10">
        <v>1</v>
      </c>
    </row>
    <row r="80" spans="1:13">
      <c r="A80" s="8">
        <v>43262</v>
      </c>
      <c r="B80" s="9">
        <v>0.59791666666666665</v>
      </c>
      <c r="C80" s="10" t="str">
        <f>"FES1162628779"</f>
        <v>FES1162628779</v>
      </c>
      <c r="D80" s="10" t="s">
        <v>19</v>
      </c>
      <c r="E80" s="10" t="s">
        <v>125</v>
      </c>
      <c r="F80" s="10" t="str">
        <f>"2170635870 "</f>
        <v xml:space="preserve">2170635870 </v>
      </c>
      <c r="G80" s="10" t="str">
        <f t="shared" si="2"/>
        <v>ON1</v>
      </c>
      <c r="H80" s="10" t="s">
        <v>21</v>
      </c>
      <c r="I80" s="10" t="s">
        <v>57</v>
      </c>
      <c r="J80" s="10" t="str">
        <f>""</f>
        <v/>
      </c>
      <c r="K80" s="10" t="str">
        <f>"PFES1162628779_0001"</f>
        <v>PFES1162628779_0001</v>
      </c>
      <c r="L80" s="10">
        <v>1</v>
      </c>
      <c r="M80" s="10">
        <v>1</v>
      </c>
    </row>
    <row r="81" spans="1:13">
      <c r="A81" s="8">
        <v>43262</v>
      </c>
      <c r="B81" s="9">
        <v>0.59722222222222221</v>
      </c>
      <c r="C81" s="10" t="str">
        <f>"FES1162628758"</f>
        <v>FES1162628758</v>
      </c>
      <c r="D81" s="10" t="s">
        <v>19</v>
      </c>
      <c r="E81" s="10" t="s">
        <v>99</v>
      </c>
      <c r="F81" s="10" t="str">
        <f>"2170635844 "</f>
        <v xml:space="preserve">2170635844 </v>
      </c>
      <c r="G81" s="10" t="str">
        <f t="shared" si="2"/>
        <v>ON1</v>
      </c>
      <c r="H81" s="10" t="s">
        <v>21</v>
      </c>
      <c r="I81" s="10" t="s">
        <v>100</v>
      </c>
      <c r="J81" s="10" t="str">
        <f>""</f>
        <v/>
      </c>
      <c r="K81" s="10" t="str">
        <f>"PFES1162628758_0001"</f>
        <v>PFES1162628758_0001</v>
      </c>
      <c r="L81" s="10">
        <v>1</v>
      </c>
      <c r="M81" s="10">
        <v>1</v>
      </c>
    </row>
    <row r="82" spans="1:13">
      <c r="A82" s="8">
        <v>43262</v>
      </c>
      <c r="B82" s="9">
        <v>0.59652777777777777</v>
      </c>
      <c r="C82" s="10" t="str">
        <f>"FES1162628772"</f>
        <v>FES1162628772</v>
      </c>
      <c r="D82" s="10" t="s">
        <v>19</v>
      </c>
      <c r="E82" s="10" t="s">
        <v>126</v>
      </c>
      <c r="F82" s="10" t="str">
        <f>"2170635863 "</f>
        <v xml:space="preserve">2170635863 </v>
      </c>
      <c r="G82" s="10" t="str">
        <f t="shared" si="2"/>
        <v>ON1</v>
      </c>
      <c r="H82" s="10" t="s">
        <v>21</v>
      </c>
      <c r="I82" s="10" t="s">
        <v>127</v>
      </c>
      <c r="J82" s="10" t="str">
        <f>""</f>
        <v/>
      </c>
      <c r="K82" s="10" t="str">
        <f>"PFES1162628772_0001"</f>
        <v>PFES1162628772_0001</v>
      </c>
      <c r="L82" s="10">
        <v>1</v>
      </c>
      <c r="M82" s="10">
        <v>1</v>
      </c>
    </row>
    <row r="83" spans="1:13">
      <c r="A83" s="8">
        <v>43262</v>
      </c>
      <c r="B83" s="9">
        <v>0.59583333333333333</v>
      </c>
      <c r="C83" s="10" t="str">
        <f>"FES1162628755"</f>
        <v>FES1162628755</v>
      </c>
      <c r="D83" s="10" t="s">
        <v>19</v>
      </c>
      <c r="E83" s="10" t="s">
        <v>128</v>
      </c>
      <c r="F83" s="10" t="str">
        <f>"2170635840 "</f>
        <v xml:space="preserve">2170635840 </v>
      </c>
      <c r="G83" s="10" t="str">
        <f t="shared" si="2"/>
        <v>ON1</v>
      </c>
      <c r="H83" s="10" t="s">
        <v>21</v>
      </c>
      <c r="I83" s="10" t="s">
        <v>129</v>
      </c>
      <c r="J83" s="10" t="str">
        <f>""</f>
        <v/>
      </c>
      <c r="K83" s="10" t="str">
        <f>"PFES1162628755_0001"</f>
        <v>PFES1162628755_0001</v>
      </c>
      <c r="L83" s="10">
        <v>1</v>
      </c>
      <c r="M83" s="10">
        <v>1</v>
      </c>
    </row>
    <row r="84" spans="1:13">
      <c r="A84" s="8">
        <v>43262</v>
      </c>
      <c r="B84" s="9">
        <v>0.59513888888888888</v>
      </c>
      <c r="C84" s="10" t="str">
        <f>"FES1162628750"</f>
        <v>FES1162628750</v>
      </c>
      <c r="D84" s="10" t="s">
        <v>19</v>
      </c>
      <c r="E84" s="10" t="s">
        <v>124</v>
      </c>
      <c r="F84" s="10" t="str">
        <f>"2170635837 "</f>
        <v xml:space="preserve">2170635837 </v>
      </c>
      <c r="G84" s="10" t="str">
        <f t="shared" si="2"/>
        <v>ON1</v>
      </c>
      <c r="H84" s="10" t="s">
        <v>21</v>
      </c>
      <c r="I84" s="10" t="s">
        <v>40</v>
      </c>
      <c r="J84" s="10" t="str">
        <f>""</f>
        <v/>
      </c>
      <c r="K84" s="10" t="str">
        <f>"PFES1162628750_0001"</f>
        <v>PFES1162628750_0001</v>
      </c>
      <c r="L84" s="10">
        <v>1</v>
      </c>
      <c r="M84" s="10">
        <v>1</v>
      </c>
    </row>
    <row r="85" spans="1:13">
      <c r="A85" s="8">
        <v>43262</v>
      </c>
      <c r="B85" s="9">
        <v>0.59444444444444444</v>
      </c>
      <c r="C85" s="10" t="str">
        <f>"FES1162628753"</f>
        <v>FES1162628753</v>
      </c>
      <c r="D85" s="10" t="s">
        <v>19</v>
      </c>
      <c r="E85" s="10" t="s">
        <v>130</v>
      </c>
      <c r="F85" s="10" t="str">
        <f>"2170635845 "</f>
        <v xml:space="preserve">2170635845 </v>
      </c>
      <c r="G85" s="10" t="str">
        <f t="shared" si="2"/>
        <v>ON1</v>
      </c>
      <c r="H85" s="10" t="s">
        <v>21</v>
      </c>
      <c r="I85" s="10" t="s">
        <v>131</v>
      </c>
      <c r="J85" s="10" t="str">
        <f>""</f>
        <v/>
      </c>
      <c r="K85" s="10" t="str">
        <f>"PFES1162628753_0001"</f>
        <v>PFES1162628753_0001</v>
      </c>
      <c r="L85" s="10">
        <v>1</v>
      </c>
      <c r="M85" s="10">
        <v>1</v>
      </c>
    </row>
    <row r="86" spans="1:13">
      <c r="A86" s="8">
        <v>43262</v>
      </c>
      <c r="B86" s="9">
        <v>0.59375</v>
      </c>
      <c r="C86" s="10" t="str">
        <f>"FES1162628771"</f>
        <v>FES1162628771</v>
      </c>
      <c r="D86" s="10" t="s">
        <v>19</v>
      </c>
      <c r="E86" s="10" t="s">
        <v>132</v>
      </c>
      <c r="F86" s="10" t="str">
        <f>"2170635811 "</f>
        <v xml:space="preserve">2170635811 </v>
      </c>
      <c r="G86" s="10" t="str">
        <f t="shared" si="2"/>
        <v>ON1</v>
      </c>
      <c r="H86" s="10" t="s">
        <v>21</v>
      </c>
      <c r="I86" s="10" t="s">
        <v>69</v>
      </c>
      <c r="J86" s="10" t="str">
        <f>""</f>
        <v/>
      </c>
      <c r="K86" s="10" t="str">
        <f>"PFES1162628771_0001"</f>
        <v>PFES1162628771_0001</v>
      </c>
      <c r="L86" s="10">
        <v>1</v>
      </c>
      <c r="M86" s="10">
        <v>1</v>
      </c>
    </row>
    <row r="87" spans="1:13">
      <c r="A87" s="8">
        <v>43262</v>
      </c>
      <c r="B87" s="9">
        <v>0.59305555555555556</v>
      </c>
      <c r="C87" s="10" t="str">
        <f>"FES1162628689"</f>
        <v>FES1162628689</v>
      </c>
      <c r="D87" s="10" t="s">
        <v>19</v>
      </c>
      <c r="E87" s="10" t="s">
        <v>133</v>
      </c>
      <c r="F87" s="10" t="str">
        <f>"2170635801 "</f>
        <v xml:space="preserve">2170635801 </v>
      </c>
      <c r="G87" s="10" t="str">
        <f t="shared" si="2"/>
        <v>ON1</v>
      </c>
      <c r="H87" s="10" t="s">
        <v>21</v>
      </c>
      <c r="I87" s="10" t="s">
        <v>134</v>
      </c>
      <c r="J87" s="10" t="str">
        <f>""</f>
        <v/>
      </c>
      <c r="K87" s="10" t="str">
        <f>"PFES1162628689_0001"</f>
        <v>PFES1162628689_0001</v>
      </c>
      <c r="L87" s="10">
        <v>1</v>
      </c>
      <c r="M87" s="10">
        <v>1</v>
      </c>
    </row>
    <row r="88" spans="1:13">
      <c r="A88" s="8">
        <v>43262</v>
      </c>
      <c r="B88" s="9">
        <v>0.59236111111111112</v>
      </c>
      <c r="C88" s="10" t="str">
        <f>"FES1162628686"</f>
        <v>FES1162628686</v>
      </c>
      <c r="D88" s="10" t="s">
        <v>19</v>
      </c>
      <c r="E88" s="10" t="s">
        <v>64</v>
      </c>
      <c r="F88" s="10" t="str">
        <f>"2170635797 "</f>
        <v xml:space="preserve">2170635797 </v>
      </c>
      <c r="G88" s="10" t="str">
        <f t="shared" si="2"/>
        <v>ON1</v>
      </c>
      <c r="H88" s="10" t="s">
        <v>21</v>
      </c>
      <c r="I88" s="10" t="s">
        <v>40</v>
      </c>
      <c r="J88" s="10" t="str">
        <f>""</f>
        <v/>
      </c>
      <c r="K88" s="10" t="str">
        <f>"PFES1162628686_0001"</f>
        <v>PFES1162628686_0001</v>
      </c>
      <c r="L88" s="10">
        <v>1</v>
      </c>
      <c r="M88" s="10">
        <v>2</v>
      </c>
    </row>
    <row r="89" spans="1:13">
      <c r="A89" s="8">
        <v>43262</v>
      </c>
      <c r="B89" s="9">
        <v>0.59166666666666667</v>
      </c>
      <c r="C89" s="10" t="str">
        <f>"FES1162628776"</f>
        <v>FES1162628776</v>
      </c>
      <c r="D89" s="10" t="s">
        <v>19</v>
      </c>
      <c r="E89" s="10" t="s">
        <v>135</v>
      </c>
      <c r="F89" s="10" t="str">
        <f>"2170635867 "</f>
        <v xml:space="preserve">2170635867 </v>
      </c>
      <c r="G89" s="10" t="str">
        <f t="shared" si="2"/>
        <v>ON1</v>
      </c>
      <c r="H89" s="10" t="s">
        <v>21</v>
      </c>
      <c r="I89" s="10" t="s">
        <v>136</v>
      </c>
      <c r="J89" s="10" t="str">
        <f>""</f>
        <v/>
      </c>
      <c r="K89" s="10" t="str">
        <f>"PFES1162628776_0001"</f>
        <v>PFES1162628776_0001</v>
      </c>
      <c r="L89" s="10">
        <v>1</v>
      </c>
      <c r="M89" s="10">
        <v>1</v>
      </c>
    </row>
    <row r="90" spans="1:13">
      <c r="A90" s="8">
        <v>43262</v>
      </c>
      <c r="B90" s="9">
        <v>0.59097222222222223</v>
      </c>
      <c r="C90" s="10" t="str">
        <f>"FES1162628774"</f>
        <v>FES1162628774</v>
      </c>
      <c r="D90" s="10" t="s">
        <v>19</v>
      </c>
      <c r="E90" s="10" t="s">
        <v>137</v>
      </c>
      <c r="F90" s="10" t="str">
        <f>"2170635865 "</f>
        <v xml:space="preserve">2170635865 </v>
      </c>
      <c r="G90" s="10" t="str">
        <f t="shared" si="2"/>
        <v>ON1</v>
      </c>
      <c r="H90" s="10" t="s">
        <v>21</v>
      </c>
      <c r="I90" s="10" t="s">
        <v>93</v>
      </c>
      <c r="J90" s="10" t="str">
        <f>""</f>
        <v/>
      </c>
      <c r="K90" s="10" t="str">
        <f>"PFES1162628774_0001"</f>
        <v>PFES1162628774_0001</v>
      </c>
      <c r="L90" s="10">
        <v>1</v>
      </c>
      <c r="M90" s="10">
        <v>1</v>
      </c>
    </row>
    <row r="91" spans="1:13">
      <c r="A91" s="8">
        <v>43262</v>
      </c>
      <c r="B91" s="9">
        <v>0.58958333333333335</v>
      </c>
      <c r="C91" s="10" t="str">
        <f>"FES1162628744"</f>
        <v>FES1162628744</v>
      </c>
      <c r="D91" s="10" t="s">
        <v>19</v>
      </c>
      <c r="E91" s="10" t="s">
        <v>138</v>
      </c>
      <c r="F91" s="10" t="str">
        <f>"2170635835 "</f>
        <v xml:space="preserve">2170635835 </v>
      </c>
      <c r="G91" s="10" t="str">
        <f t="shared" si="2"/>
        <v>ON1</v>
      </c>
      <c r="H91" s="10" t="s">
        <v>21</v>
      </c>
      <c r="I91" s="10" t="s">
        <v>139</v>
      </c>
      <c r="J91" s="10" t="str">
        <f>""</f>
        <v/>
      </c>
      <c r="K91" s="10" t="str">
        <f>"PFES1162628744_0001"</f>
        <v>PFES1162628744_0001</v>
      </c>
      <c r="L91" s="10">
        <v>1</v>
      </c>
      <c r="M91" s="10">
        <v>1</v>
      </c>
    </row>
    <row r="92" spans="1:13">
      <c r="A92" s="8">
        <v>43262</v>
      </c>
      <c r="B92" s="9">
        <v>0.58750000000000002</v>
      </c>
      <c r="C92" s="10" t="str">
        <f>"009935791818"</f>
        <v>009935791818</v>
      </c>
      <c r="D92" s="10" t="s">
        <v>19</v>
      </c>
      <c r="E92" s="10" t="s">
        <v>140</v>
      </c>
      <c r="F92" s="10" t="str">
        <f>"TONY "</f>
        <v xml:space="preserve">TONY </v>
      </c>
      <c r="G92" s="10" t="str">
        <f>"DBC"</f>
        <v>DBC</v>
      </c>
      <c r="H92" s="10" t="s">
        <v>21</v>
      </c>
      <c r="I92" s="10" t="s">
        <v>141</v>
      </c>
      <c r="J92" s="10" t="str">
        <f>""</f>
        <v/>
      </c>
      <c r="K92" s="10" t="str">
        <f>"P009935791818_0001"</f>
        <v>P009935791818_0001</v>
      </c>
      <c r="L92" s="10">
        <v>1</v>
      </c>
      <c r="M92" s="10">
        <v>22</v>
      </c>
    </row>
    <row r="93" spans="1:13">
      <c r="A93" s="8">
        <v>43262</v>
      </c>
      <c r="B93" s="9">
        <v>0.57986111111111105</v>
      </c>
      <c r="C93" s="10" t="str">
        <f>"FES1162628725"</f>
        <v>FES1162628725</v>
      </c>
      <c r="D93" s="10" t="s">
        <v>19</v>
      </c>
      <c r="E93" s="10" t="s">
        <v>142</v>
      </c>
      <c r="F93" s="10" t="str">
        <f>"2170633321 "</f>
        <v xml:space="preserve">2170633321 </v>
      </c>
      <c r="G93" s="10" t="str">
        <f>"ON1"</f>
        <v>ON1</v>
      </c>
      <c r="H93" s="10" t="s">
        <v>21</v>
      </c>
      <c r="I93" s="10" t="s">
        <v>139</v>
      </c>
      <c r="J93" s="10" t="str">
        <f>""</f>
        <v/>
      </c>
      <c r="K93" s="10" t="str">
        <f>"PFES1162628725_0001"</f>
        <v>PFES1162628725_0001</v>
      </c>
      <c r="L93" s="10">
        <v>2</v>
      </c>
      <c r="M93" s="10">
        <v>16</v>
      </c>
    </row>
    <row r="94" spans="1:13">
      <c r="A94" s="8">
        <v>43262</v>
      </c>
      <c r="B94" s="9">
        <v>0.57916666666666672</v>
      </c>
      <c r="C94" s="10" t="str">
        <f>"FES1162628654"</f>
        <v>FES1162628654</v>
      </c>
      <c r="D94" s="10" t="s">
        <v>19</v>
      </c>
      <c r="E94" s="10" t="s">
        <v>143</v>
      </c>
      <c r="F94" s="10" t="str">
        <f>"2170635758 "</f>
        <v xml:space="preserve">2170635758 </v>
      </c>
      <c r="G94" s="10" t="str">
        <f t="shared" ref="G94:G108" si="3">"ON1"</f>
        <v>ON1</v>
      </c>
      <c r="H94" s="10" t="s">
        <v>21</v>
      </c>
      <c r="I94" s="10" t="s">
        <v>144</v>
      </c>
      <c r="J94" s="10" t="str">
        <f>""</f>
        <v/>
      </c>
      <c r="K94" s="10" t="str">
        <f>"PFES1162628654_0001"</f>
        <v>PFES1162628654_0001</v>
      </c>
      <c r="L94" s="10">
        <v>1</v>
      </c>
      <c r="M94" s="10">
        <v>8</v>
      </c>
    </row>
    <row r="95" spans="1:13">
      <c r="A95" s="8">
        <v>43262</v>
      </c>
      <c r="B95" s="9">
        <v>0.57847222222222217</v>
      </c>
      <c r="C95" s="10" t="str">
        <f>"FES1162628728"</f>
        <v>FES1162628728</v>
      </c>
      <c r="D95" s="10" t="s">
        <v>19</v>
      </c>
      <c r="E95" s="10" t="s">
        <v>145</v>
      </c>
      <c r="F95" s="10" t="str">
        <f>"2170633850 "</f>
        <v xml:space="preserve">2170633850 </v>
      </c>
      <c r="G95" s="10" t="str">
        <f t="shared" si="3"/>
        <v>ON1</v>
      </c>
      <c r="H95" s="10" t="s">
        <v>21</v>
      </c>
      <c r="I95" s="10" t="s">
        <v>146</v>
      </c>
      <c r="J95" s="10" t="str">
        <f>""</f>
        <v/>
      </c>
      <c r="K95" s="10" t="str">
        <f>"PFES1162628728_0001"</f>
        <v>PFES1162628728_0001</v>
      </c>
      <c r="L95" s="10">
        <v>1</v>
      </c>
      <c r="M95" s="10">
        <v>12</v>
      </c>
    </row>
    <row r="96" spans="1:13">
      <c r="A96" s="8">
        <v>43262</v>
      </c>
      <c r="B96" s="9">
        <v>0.57777777777777783</v>
      </c>
      <c r="C96" s="10" t="str">
        <f>"FES1162628700"</f>
        <v>FES1162628700</v>
      </c>
      <c r="D96" s="10" t="s">
        <v>19</v>
      </c>
      <c r="E96" s="10" t="s">
        <v>147</v>
      </c>
      <c r="F96" s="10" t="str">
        <f>"2170625888 "</f>
        <v xml:space="preserve">2170625888 </v>
      </c>
      <c r="G96" s="10" t="str">
        <f t="shared" si="3"/>
        <v>ON1</v>
      </c>
      <c r="H96" s="10" t="s">
        <v>21</v>
      </c>
      <c r="I96" s="10" t="s">
        <v>148</v>
      </c>
      <c r="J96" s="10" t="str">
        <f>""</f>
        <v/>
      </c>
      <c r="K96" s="10" t="str">
        <f>"PFES1162628700_0001"</f>
        <v>PFES1162628700_0001</v>
      </c>
      <c r="L96" s="10">
        <v>1</v>
      </c>
      <c r="M96" s="10">
        <v>9</v>
      </c>
    </row>
    <row r="97" spans="1:13">
      <c r="A97" s="8">
        <v>43262</v>
      </c>
      <c r="B97" s="9">
        <v>0.57708333333333328</v>
      </c>
      <c r="C97" s="10" t="str">
        <f>"FES1162628716"</f>
        <v>FES1162628716</v>
      </c>
      <c r="D97" s="10" t="s">
        <v>19</v>
      </c>
      <c r="E97" s="10" t="s">
        <v>149</v>
      </c>
      <c r="F97" s="10" t="str">
        <f>"2170633000 "</f>
        <v xml:space="preserve">2170633000 </v>
      </c>
      <c r="G97" s="10" t="str">
        <f t="shared" si="3"/>
        <v>ON1</v>
      </c>
      <c r="H97" s="10" t="s">
        <v>21</v>
      </c>
      <c r="I97" s="10" t="s">
        <v>96</v>
      </c>
      <c r="J97" s="10" t="str">
        <f>""</f>
        <v/>
      </c>
      <c r="K97" s="10" t="str">
        <f>"PFES1162628716_0001"</f>
        <v>PFES1162628716_0001</v>
      </c>
      <c r="L97" s="10">
        <v>1</v>
      </c>
      <c r="M97" s="10">
        <v>4</v>
      </c>
    </row>
    <row r="98" spans="1:13">
      <c r="A98" s="8">
        <v>43262</v>
      </c>
      <c r="B98" s="9">
        <v>0.57638888888888895</v>
      </c>
      <c r="C98" s="10" t="str">
        <f>"FES1162628702"</f>
        <v>FES1162628702</v>
      </c>
      <c r="D98" s="10" t="s">
        <v>19</v>
      </c>
      <c r="E98" s="10" t="s">
        <v>150</v>
      </c>
      <c r="F98" s="10" t="str">
        <f>"2170631433 "</f>
        <v xml:space="preserve">2170631433 </v>
      </c>
      <c r="G98" s="10" t="str">
        <f t="shared" si="3"/>
        <v>ON1</v>
      </c>
      <c r="H98" s="10" t="s">
        <v>21</v>
      </c>
      <c r="I98" s="10" t="s">
        <v>151</v>
      </c>
      <c r="J98" s="10" t="str">
        <f>""</f>
        <v/>
      </c>
      <c r="K98" s="10" t="str">
        <f>"PFES1162628702_0001"</f>
        <v>PFES1162628702_0001</v>
      </c>
      <c r="L98" s="10">
        <v>1</v>
      </c>
      <c r="M98" s="10">
        <v>4</v>
      </c>
    </row>
    <row r="99" spans="1:13">
      <c r="A99" s="8">
        <v>43262</v>
      </c>
      <c r="B99" s="9">
        <v>0.5756944444444444</v>
      </c>
      <c r="C99" s="10" t="str">
        <f>"FES1162628697"</f>
        <v>FES1162628697</v>
      </c>
      <c r="D99" s="10" t="s">
        <v>19</v>
      </c>
      <c r="E99" s="10" t="s">
        <v>152</v>
      </c>
      <c r="F99" s="10" t="str">
        <f>"2170622978 "</f>
        <v xml:space="preserve">2170622978 </v>
      </c>
      <c r="G99" s="10" t="str">
        <f t="shared" si="3"/>
        <v>ON1</v>
      </c>
      <c r="H99" s="10" t="s">
        <v>21</v>
      </c>
      <c r="I99" s="10" t="s">
        <v>106</v>
      </c>
      <c r="J99" s="10" t="str">
        <f>""</f>
        <v/>
      </c>
      <c r="K99" s="10" t="str">
        <f>"PFES1162628697_0001"</f>
        <v>PFES1162628697_0001</v>
      </c>
      <c r="L99" s="10">
        <v>1</v>
      </c>
      <c r="M99" s="10">
        <v>4</v>
      </c>
    </row>
    <row r="100" spans="1:13">
      <c r="A100" s="8">
        <v>43262</v>
      </c>
      <c r="B100" s="9">
        <v>0.57500000000000007</v>
      </c>
      <c r="C100" s="10" t="str">
        <f>"FES1162628704"</f>
        <v>FES1162628704</v>
      </c>
      <c r="D100" s="10" t="s">
        <v>19</v>
      </c>
      <c r="E100" s="10" t="s">
        <v>60</v>
      </c>
      <c r="F100" s="10" t="str">
        <f>"2170629971 "</f>
        <v xml:space="preserve">2170629971 </v>
      </c>
      <c r="G100" s="10" t="str">
        <f t="shared" si="3"/>
        <v>ON1</v>
      </c>
      <c r="H100" s="10" t="s">
        <v>21</v>
      </c>
      <c r="I100" s="10" t="s">
        <v>61</v>
      </c>
      <c r="J100" s="10" t="str">
        <f>""</f>
        <v/>
      </c>
      <c r="K100" s="10" t="str">
        <f>"PFES1162628704_0001"</f>
        <v>PFES1162628704_0001</v>
      </c>
      <c r="L100" s="10">
        <v>1</v>
      </c>
      <c r="M100" s="10">
        <v>2</v>
      </c>
    </row>
    <row r="101" spans="1:13">
      <c r="A101" s="8">
        <v>43262</v>
      </c>
      <c r="B101" s="9">
        <v>0.57430555555555551</v>
      </c>
      <c r="C101" s="10" t="str">
        <f>"FES1162628722"</f>
        <v>FES1162628722</v>
      </c>
      <c r="D101" s="10" t="s">
        <v>19</v>
      </c>
      <c r="E101" s="10" t="s">
        <v>153</v>
      </c>
      <c r="F101" s="10" t="str">
        <f>"2170635820 "</f>
        <v xml:space="preserve">2170635820 </v>
      </c>
      <c r="G101" s="10" t="str">
        <f t="shared" si="3"/>
        <v>ON1</v>
      </c>
      <c r="H101" s="10" t="s">
        <v>21</v>
      </c>
      <c r="I101" s="10" t="s">
        <v>154</v>
      </c>
      <c r="J101" s="10" t="str">
        <f>""</f>
        <v/>
      </c>
      <c r="K101" s="10" t="str">
        <f>"PFES1162628722_0001"</f>
        <v>PFES1162628722_0001</v>
      </c>
      <c r="L101" s="10">
        <v>1</v>
      </c>
      <c r="M101" s="10">
        <v>3</v>
      </c>
    </row>
    <row r="102" spans="1:13">
      <c r="A102" s="8">
        <v>43262</v>
      </c>
      <c r="B102" s="9">
        <v>0.57291666666666663</v>
      </c>
      <c r="C102" s="10" t="str">
        <f>"FES1162628786"</f>
        <v>FES1162628786</v>
      </c>
      <c r="D102" s="10" t="s">
        <v>19</v>
      </c>
      <c r="E102" s="10" t="s">
        <v>155</v>
      </c>
      <c r="F102" s="10" t="str">
        <f>"2170635883 "</f>
        <v xml:space="preserve">2170635883 </v>
      </c>
      <c r="G102" s="10" t="str">
        <f t="shared" si="3"/>
        <v>ON1</v>
      </c>
      <c r="H102" s="10" t="s">
        <v>21</v>
      </c>
      <c r="I102" s="10" t="s">
        <v>156</v>
      </c>
      <c r="J102" s="10" t="str">
        <f>""</f>
        <v/>
      </c>
      <c r="K102" s="10" t="str">
        <f>"PFES1162628786_0001"</f>
        <v>PFES1162628786_0001</v>
      </c>
      <c r="L102" s="10">
        <v>1</v>
      </c>
      <c r="M102" s="10">
        <v>4</v>
      </c>
    </row>
    <row r="103" spans="1:13">
      <c r="A103" s="8">
        <v>43262</v>
      </c>
      <c r="B103" s="9">
        <v>0.57291666666666663</v>
      </c>
      <c r="C103" s="10" t="str">
        <f>"FES1162628769"</f>
        <v>FES1162628769</v>
      </c>
      <c r="D103" s="10" t="s">
        <v>19</v>
      </c>
      <c r="E103" s="10" t="s">
        <v>23</v>
      </c>
      <c r="F103" s="10" t="str">
        <f>"2170635861 "</f>
        <v xml:space="preserve">2170635861 </v>
      </c>
      <c r="G103" s="10" t="str">
        <f t="shared" si="3"/>
        <v>ON1</v>
      </c>
      <c r="H103" s="10" t="s">
        <v>21</v>
      </c>
      <c r="I103" s="10" t="s">
        <v>24</v>
      </c>
      <c r="J103" s="10" t="str">
        <f>""</f>
        <v/>
      </c>
      <c r="K103" s="10" t="str">
        <f>"PFES1162628769_0001"</f>
        <v>PFES1162628769_0001</v>
      </c>
      <c r="L103" s="10">
        <v>1</v>
      </c>
      <c r="M103" s="10">
        <v>6</v>
      </c>
    </row>
    <row r="104" spans="1:13">
      <c r="A104" s="8">
        <v>43262</v>
      </c>
      <c r="B104" s="9">
        <v>0.57222222222222219</v>
      </c>
      <c r="C104" s="10" t="str">
        <f>"FES1162628752"</f>
        <v>FES1162628752</v>
      </c>
      <c r="D104" s="10" t="s">
        <v>19</v>
      </c>
      <c r="E104" s="10" t="s">
        <v>157</v>
      </c>
      <c r="F104" s="10" t="str">
        <f>"2170635839 "</f>
        <v xml:space="preserve">2170635839 </v>
      </c>
      <c r="G104" s="10" t="str">
        <f t="shared" si="3"/>
        <v>ON1</v>
      </c>
      <c r="H104" s="10" t="s">
        <v>21</v>
      </c>
      <c r="I104" s="10" t="s">
        <v>158</v>
      </c>
      <c r="J104" s="10" t="str">
        <f>""</f>
        <v/>
      </c>
      <c r="K104" s="10" t="str">
        <f>"PFES1162628752_0001"</f>
        <v>PFES1162628752_0001</v>
      </c>
      <c r="L104" s="10">
        <v>1</v>
      </c>
      <c r="M104" s="10">
        <v>16</v>
      </c>
    </row>
    <row r="105" spans="1:13">
      <c r="A105" s="8">
        <v>43262</v>
      </c>
      <c r="B105" s="9">
        <v>0.5708333333333333</v>
      </c>
      <c r="C105" s="10" t="str">
        <f>"FES1162628760"</f>
        <v>FES1162628760</v>
      </c>
      <c r="D105" s="10" t="s">
        <v>19</v>
      </c>
      <c r="E105" s="10" t="s">
        <v>159</v>
      </c>
      <c r="F105" s="10" t="str">
        <f>"2170635849 "</f>
        <v xml:space="preserve">2170635849 </v>
      </c>
      <c r="G105" s="10" t="str">
        <f t="shared" si="3"/>
        <v>ON1</v>
      </c>
      <c r="H105" s="10" t="s">
        <v>21</v>
      </c>
      <c r="I105" s="10" t="s">
        <v>160</v>
      </c>
      <c r="J105" s="10" t="str">
        <f>""</f>
        <v/>
      </c>
      <c r="K105" s="10" t="str">
        <f>"PFES1162628760_0001"</f>
        <v>PFES1162628760_0001</v>
      </c>
      <c r="L105" s="10">
        <v>1</v>
      </c>
      <c r="M105" s="10">
        <v>3</v>
      </c>
    </row>
    <row r="106" spans="1:13">
      <c r="A106" s="8">
        <v>43262</v>
      </c>
      <c r="B106" s="9">
        <v>0.57013888888888886</v>
      </c>
      <c r="C106" s="10" t="str">
        <f>"FES1162628729"</f>
        <v>FES1162628729</v>
      </c>
      <c r="D106" s="10" t="s">
        <v>19</v>
      </c>
      <c r="E106" s="10" t="s">
        <v>161</v>
      </c>
      <c r="F106" s="10" t="str">
        <f>"2170633420 "</f>
        <v xml:space="preserve">2170633420 </v>
      </c>
      <c r="G106" s="10" t="str">
        <f t="shared" si="3"/>
        <v>ON1</v>
      </c>
      <c r="H106" s="10" t="s">
        <v>21</v>
      </c>
      <c r="I106" s="10" t="s">
        <v>162</v>
      </c>
      <c r="J106" s="10" t="str">
        <f>""</f>
        <v/>
      </c>
      <c r="K106" s="10" t="str">
        <f>"PFES1162628729_0001"</f>
        <v>PFES1162628729_0001</v>
      </c>
      <c r="L106" s="10">
        <v>1</v>
      </c>
      <c r="M106" s="10">
        <v>3</v>
      </c>
    </row>
    <row r="107" spans="1:13">
      <c r="A107" s="8">
        <v>43262</v>
      </c>
      <c r="B107" s="9">
        <v>0.56944444444444442</v>
      </c>
      <c r="C107" s="10" t="str">
        <f>"FES1162628673"</f>
        <v>FES1162628673</v>
      </c>
      <c r="D107" s="10" t="s">
        <v>19</v>
      </c>
      <c r="E107" s="10" t="s">
        <v>163</v>
      </c>
      <c r="F107" s="10" t="str">
        <f>"2170635766 "</f>
        <v xml:space="preserve">2170635766 </v>
      </c>
      <c r="G107" s="10" t="str">
        <f t="shared" si="3"/>
        <v>ON1</v>
      </c>
      <c r="H107" s="10" t="s">
        <v>21</v>
      </c>
      <c r="I107" s="10" t="s">
        <v>51</v>
      </c>
      <c r="J107" s="10" t="str">
        <f>""</f>
        <v/>
      </c>
      <c r="K107" s="10" t="str">
        <f>"PFES1162628673_0001"</f>
        <v>PFES1162628673_0001</v>
      </c>
      <c r="L107" s="10">
        <v>1</v>
      </c>
      <c r="M107" s="10">
        <v>4</v>
      </c>
    </row>
    <row r="108" spans="1:13">
      <c r="A108" s="8">
        <v>43262</v>
      </c>
      <c r="B108" s="9">
        <v>0.56874999999999998</v>
      </c>
      <c r="C108" s="10" t="str">
        <f>"FES1162628730"</f>
        <v>FES1162628730</v>
      </c>
      <c r="D108" s="10" t="s">
        <v>19</v>
      </c>
      <c r="E108" s="10" t="s">
        <v>161</v>
      </c>
      <c r="F108" s="10" t="str">
        <f>"2170633665 "</f>
        <v xml:space="preserve">2170633665 </v>
      </c>
      <c r="G108" s="10" t="str">
        <f t="shared" si="3"/>
        <v>ON1</v>
      </c>
      <c r="H108" s="10" t="s">
        <v>21</v>
      </c>
      <c r="I108" s="10" t="s">
        <v>162</v>
      </c>
      <c r="J108" s="10" t="str">
        <f>""</f>
        <v/>
      </c>
      <c r="K108" s="10" t="str">
        <f>"PFES1162628730_0001"</f>
        <v>PFES1162628730_0001</v>
      </c>
      <c r="L108" s="10">
        <v>1</v>
      </c>
      <c r="M108" s="10">
        <v>3</v>
      </c>
    </row>
    <row r="109" spans="1:13">
      <c r="A109" s="8">
        <v>43262</v>
      </c>
      <c r="B109" s="9">
        <v>0.56736111111111109</v>
      </c>
      <c r="C109" s="10" t="str">
        <f>"FES1162628751"</f>
        <v>FES1162628751</v>
      </c>
      <c r="D109" s="10" t="s">
        <v>19</v>
      </c>
      <c r="E109" s="10" t="s">
        <v>164</v>
      </c>
      <c r="F109" s="10" t="str">
        <f>"2170635838 "</f>
        <v xml:space="preserve">2170635838 </v>
      </c>
      <c r="G109" s="10" t="str">
        <f>"DBC"</f>
        <v>DBC</v>
      </c>
      <c r="H109" s="10" t="s">
        <v>21</v>
      </c>
      <c r="I109" s="10" t="s">
        <v>66</v>
      </c>
      <c r="J109" s="10" t="str">
        <f>"FRAGILE OIL"</f>
        <v>FRAGILE OIL</v>
      </c>
      <c r="K109" s="10" t="str">
        <f>"PFES1162628751_0001"</f>
        <v>PFES1162628751_0001</v>
      </c>
      <c r="L109" s="10">
        <v>1</v>
      </c>
      <c r="M109" s="10">
        <v>2</v>
      </c>
    </row>
    <row r="110" spans="1:13">
      <c r="A110" s="8">
        <v>43262</v>
      </c>
      <c r="B110" s="9">
        <v>0.56527777777777777</v>
      </c>
      <c r="C110" s="10" t="str">
        <f>"FES1162628701"</f>
        <v>FES1162628701</v>
      </c>
      <c r="D110" s="10" t="s">
        <v>19</v>
      </c>
      <c r="E110" s="10" t="s">
        <v>149</v>
      </c>
      <c r="F110" s="10" t="str">
        <f>"2170629343 "</f>
        <v xml:space="preserve">2170629343 </v>
      </c>
      <c r="G110" s="10" t="str">
        <f t="shared" ref="G110:G126" si="4">"ON1"</f>
        <v>ON1</v>
      </c>
      <c r="H110" s="10" t="s">
        <v>21</v>
      </c>
      <c r="I110" s="10" t="s">
        <v>96</v>
      </c>
      <c r="J110" s="10" t="str">
        <f>""</f>
        <v/>
      </c>
      <c r="K110" s="10" t="str">
        <f>"PFES1162628701_0001"</f>
        <v>PFES1162628701_0001</v>
      </c>
      <c r="L110" s="10">
        <v>1</v>
      </c>
      <c r="M110" s="10">
        <v>12</v>
      </c>
    </row>
    <row r="111" spans="1:13">
      <c r="A111" s="8">
        <v>43262</v>
      </c>
      <c r="B111" s="9">
        <v>0.56458333333333333</v>
      </c>
      <c r="C111" s="10" t="str">
        <f>"FES1162628749"</f>
        <v>FES1162628749</v>
      </c>
      <c r="D111" s="10" t="s">
        <v>19</v>
      </c>
      <c r="E111" s="10" t="s">
        <v>150</v>
      </c>
      <c r="F111" s="10" t="str">
        <f>"2170635836 "</f>
        <v xml:space="preserve">2170635836 </v>
      </c>
      <c r="G111" s="10" t="str">
        <f t="shared" si="4"/>
        <v>ON1</v>
      </c>
      <c r="H111" s="10" t="s">
        <v>21</v>
      </c>
      <c r="I111" s="10" t="s">
        <v>151</v>
      </c>
      <c r="J111" s="10" t="str">
        <f>""</f>
        <v/>
      </c>
      <c r="K111" s="10" t="str">
        <f>"PFES1162628749_0001"</f>
        <v>PFES1162628749_0001</v>
      </c>
      <c r="L111" s="10">
        <v>1</v>
      </c>
      <c r="M111" s="10">
        <v>7</v>
      </c>
    </row>
    <row r="112" spans="1:13">
      <c r="A112" s="8">
        <v>43262</v>
      </c>
      <c r="B112" s="9">
        <v>0.56388888888888888</v>
      </c>
      <c r="C112" s="10" t="str">
        <f>"FES1162628684"</f>
        <v>FES1162628684</v>
      </c>
      <c r="D112" s="10" t="s">
        <v>19</v>
      </c>
      <c r="E112" s="10" t="s">
        <v>165</v>
      </c>
      <c r="F112" s="10" t="str">
        <f>"2170635794 "</f>
        <v xml:space="preserve">2170635794 </v>
      </c>
      <c r="G112" s="10" t="str">
        <f t="shared" si="4"/>
        <v>ON1</v>
      </c>
      <c r="H112" s="10" t="s">
        <v>21</v>
      </c>
      <c r="I112" s="10" t="s">
        <v>166</v>
      </c>
      <c r="J112" s="10" t="str">
        <f>""</f>
        <v/>
      </c>
      <c r="K112" s="10" t="str">
        <f>"PFES1162628684_0001"</f>
        <v>PFES1162628684_0001</v>
      </c>
      <c r="L112" s="10">
        <v>1</v>
      </c>
      <c r="M112" s="10">
        <v>4</v>
      </c>
    </row>
    <row r="113" spans="1:13">
      <c r="A113" s="8">
        <v>43262</v>
      </c>
      <c r="B113" s="9">
        <v>0.56180555555555556</v>
      </c>
      <c r="C113" s="10" t="str">
        <f>"FES1162628731"</f>
        <v>FES1162628731</v>
      </c>
      <c r="D113" s="10" t="s">
        <v>19</v>
      </c>
      <c r="E113" s="10" t="s">
        <v>167</v>
      </c>
      <c r="F113" s="10" t="str">
        <f>"2170631955 "</f>
        <v xml:space="preserve">2170631955 </v>
      </c>
      <c r="G113" s="10" t="str">
        <f t="shared" si="4"/>
        <v>ON1</v>
      </c>
      <c r="H113" s="10" t="s">
        <v>21</v>
      </c>
      <c r="I113" s="10" t="s">
        <v>168</v>
      </c>
      <c r="J113" s="10" t="str">
        <f>""</f>
        <v/>
      </c>
      <c r="K113" s="10" t="str">
        <f>"PFES1162628731_0001"</f>
        <v>PFES1162628731_0001</v>
      </c>
      <c r="L113" s="10">
        <v>1</v>
      </c>
      <c r="M113" s="10">
        <v>5</v>
      </c>
    </row>
    <row r="114" spans="1:13">
      <c r="A114" s="8">
        <v>43262</v>
      </c>
      <c r="B114" s="9">
        <v>0.53541666666666665</v>
      </c>
      <c r="C114" s="10" t="str">
        <f>"FES1162628688"</f>
        <v>FES1162628688</v>
      </c>
      <c r="D114" s="10" t="s">
        <v>19</v>
      </c>
      <c r="E114" s="10" t="s">
        <v>169</v>
      </c>
      <c r="F114" s="10" t="str">
        <f>"2170635799 "</f>
        <v xml:space="preserve">2170635799 </v>
      </c>
      <c r="G114" s="10" t="str">
        <f t="shared" si="4"/>
        <v>ON1</v>
      </c>
      <c r="H114" s="10" t="s">
        <v>21</v>
      </c>
      <c r="I114" s="10" t="s">
        <v>170</v>
      </c>
      <c r="J114" s="10" t="str">
        <f>""</f>
        <v/>
      </c>
      <c r="K114" s="10" t="str">
        <f>"PFES1162628688_0001"</f>
        <v>PFES1162628688_0001</v>
      </c>
      <c r="L114" s="10">
        <v>1</v>
      </c>
      <c r="M114" s="10">
        <v>1</v>
      </c>
    </row>
    <row r="115" spans="1:13">
      <c r="A115" s="8">
        <v>43262</v>
      </c>
      <c r="B115" s="9">
        <v>0.53472222222222221</v>
      </c>
      <c r="C115" s="10" t="str">
        <f>"FES1162628719"</f>
        <v>FES1162628719</v>
      </c>
      <c r="D115" s="10" t="s">
        <v>19</v>
      </c>
      <c r="E115" s="10" t="s">
        <v>171</v>
      </c>
      <c r="F115" s="10" t="str">
        <f>"2170633917 "</f>
        <v xml:space="preserve">2170633917 </v>
      </c>
      <c r="G115" s="10" t="str">
        <f t="shared" si="4"/>
        <v>ON1</v>
      </c>
      <c r="H115" s="10" t="s">
        <v>21</v>
      </c>
      <c r="I115" s="10" t="s">
        <v>172</v>
      </c>
      <c r="J115" s="10" t="str">
        <f>""</f>
        <v/>
      </c>
      <c r="K115" s="10" t="str">
        <f>"PFES1162628719_0001"</f>
        <v>PFES1162628719_0001</v>
      </c>
      <c r="L115" s="10">
        <v>1</v>
      </c>
      <c r="M115" s="10">
        <v>1</v>
      </c>
    </row>
    <row r="116" spans="1:13">
      <c r="A116" s="8">
        <v>43262</v>
      </c>
      <c r="B116" s="9">
        <v>0.53263888888888888</v>
      </c>
      <c r="C116" s="10" t="str">
        <f>"FES1162628740"</f>
        <v>FES1162628740</v>
      </c>
      <c r="D116" s="10" t="s">
        <v>19</v>
      </c>
      <c r="E116" s="10" t="s">
        <v>173</v>
      </c>
      <c r="F116" s="10" t="str">
        <f>"2170635091 "</f>
        <v xml:space="preserve">2170635091 </v>
      </c>
      <c r="G116" s="10" t="str">
        <f t="shared" si="4"/>
        <v>ON1</v>
      </c>
      <c r="H116" s="10" t="s">
        <v>21</v>
      </c>
      <c r="I116" s="10" t="s">
        <v>174</v>
      </c>
      <c r="J116" s="10" t="str">
        <f>""</f>
        <v/>
      </c>
      <c r="K116" s="10" t="str">
        <f>"PFES1162628740_0001"</f>
        <v>PFES1162628740_0001</v>
      </c>
      <c r="L116" s="10">
        <v>1</v>
      </c>
      <c r="M116" s="10">
        <v>3</v>
      </c>
    </row>
    <row r="117" spans="1:13">
      <c r="A117" s="8">
        <v>43262</v>
      </c>
      <c r="B117" s="9">
        <v>0.53194444444444444</v>
      </c>
      <c r="C117" s="10" t="str">
        <f>"FES1162628625"</f>
        <v>FES1162628625</v>
      </c>
      <c r="D117" s="10" t="s">
        <v>19</v>
      </c>
      <c r="E117" s="10" t="s">
        <v>175</v>
      </c>
      <c r="F117" s="10" t="str">
        <f>"2170634143 "</f>
        <v xml:space="preserve">2170634143 </v>
      </c>
      <c r="G117" s="10" t="str">
        <f t="shared" si="4"/>
        <v>ON1</v>
      </c>
      <c r="H117" s="10" t="s">
        <v>21</v>
      </c>
      <c r="I117" s="10" t="s">
        <v>176</v>
      </c>
      <c r="J117" s="10" t="str">
        <f>""</f>
        <v/>
      </c>
      <c r="K117" s="10" t="str">
        <f>"PFES1162628625_0001"</f>
        <v>PFES1162628625_0001</v>
      </c>
      <c r="L117" s="10">
        <v>1</v>
      </c>
      <c r="M117" s="10">
        <v>1</v>
      </c>
    </row>
    <row r="118" spans="1:13">
      <c r="A118" s="8">
        <v>43262</v>
      </c>
      <c r="B118" s="9">
        <v>0.52847222222222223</v>
      </c>
      <c r="C118" s="10" t="str">
        <f>"FES1162628620"</f>
        <v>FES1162628620</v>
      </c>
      <c r="D118" s="10" t="s">
        <v>19</v>
      </c>
      <c r="E118" s="10" t="s">
        <v>175</v>
      </c>
      <c r="F118" s="10" t="str">
        <f>"2170633428 "</f>
        <v xml:space="preserve">2170633428 </v>
      </c>
      <c r="G118" s="10" t="str">
        <f t="shared" si="4"/>
        <v>ON1</v>
      </c>
      <c r="H118" s="10" t="s">
        <v>21</v>
      </c>
      <c r="I118" s="10" t="s">
        <v>176</v>
      </c>
      <c r="J118" s="10" t="str">
        <f>""</f>
        <v/>
      </c>
      <c r="K118" s="10" t="str">
        <f>"PFES1162628620_0001"</f>
        <v>PFES1162628620_0001</v>
      </c>
      <c r="L118" s="10">
        <v>1</v>
      </c>
      <c r="M118" s="10">
        <v>1</v>
      </c>
    </row>
    <row r="119" spans="1:13">
      <c r="A119" s="8">
        <v>43262</v>
      </c>
      <c r="B119" s="9">
        <v>0.52708333333333335</v>
      </c>
      <c r="C119" s="10" t="str">
        <f>"FES1162628661"</f>
        <v>FES1162628661</v>
      </c>
      <c r="D119" s="10" t="s">
        <v>19</v>
      </c>
      <c r="E119" s="10" t="s">
        <v>88</v>
      </c>
      <c r="F119" s="10" t="str">
        <f>"2170635771 "</f>
        <v xml:space="preserve">2170635771 </v>
      </c>
      <c r="G119" s="10" t="str">
        <f t="shared" si="4"/>
        <v>ON1</v>
      </c>
      <c r="H119" s="10" t="s">
        <v>21</v>
      </c>
      <c r="I119" s="10" t="s">
        <v>89</v>
      </c>
      <c r="J119" s="10" t="str">
        <f>""</f>
        <v/>
      </c>
      <c r="K119" s="10" t="str">
        <f>"PFES1162628661_0001"</f>
        <v>PFES1162628661_0001</v>
      </c>
      <c r="L119" s="10">
        <v>1</v>
      </c>
      <c r="M119" s="10">
        <v>1</v>
      </c>
    </row>
    <row r="120" spans="1:13">
      <c r="A120" s="8">
        <v>43262</v>
      </c>
      <c r="B120" s="9">
        <v>0.52638888888888891</v>
      </c>
      <c r="C120" s="10" t="str">
        <f>"FES1162628655"</f>
        <v>FES1162628655</v>
      </c>
      <c r="D120" s="10" t="s">
        <v>19</v>
      </c>
      <c r="E120" s="10" t="s">
        <v>177</v>
      </c>
      <c r="F120" s="10" t="str">
        <f>"2170635759 "</f>
        <v xml:space="preserve">2170635759 </v>
      </c>
      <c r="G120" s="10" t="str">
        <f t="shared" si="4"/>
        <v>ON1</v>
      </c>
      <c r="H120" s="10" t="s">
        <v>21</v>
      </c>
      <c r="I120" s="10" t="s">
        <v>83</v>
      </c>
      <c r="J120" s="10" t="str">
        <f>""</f>
        <v/>
      </c>
      <c r="K120" s="10" t="str">
        <f>"PFES1162628655_0001"</f>
        <v>PFES1162628655_0001</v>
      </c>
      <c r="L120" s="10">
        <v>1</v>
      </c>
      <c r="M120" s="10">
        <v>3</v>
      </c>
    </row>
    <row r="121" spans="1:13">
      <c r="A121" s="8">
        <v>43262</v>
      </c>
      <c r="B121" s="9">
        <v>0.52430555555555558</v>
      </c>
      <c r="C121" s="10" t="str">
        <f>"FES1162628659"</f>
        <v>FES1162628659</v>
      </c>
      <c r="D121" s="10" t="s">
        <v>19</v>
      </c>
      <c r="E121" s="10" t="s">
        <v>178</v>
      </c>
      <c r="F121" s="10" t="str">
        <f>"2170635767 "</f>
        <v xml:space="preserve">2170635767 </v>
      </c>
      <c r="G121" s="10" t="str">
        <f t="shared" si="4"/>
        <v>ON1</v>
      </c>
      <c r="H121" s="10" t="s">
        <v>21</v>
      </c>
      <c r="I121" s="10" t="s">
        <v>93</v>
      </c>
      <c r="J121" s="10" t="str">
        <f>""</f>
        <v/>
      </c>
      <c r="K121" s="10" t="str">
        <f>"PFES1162628659_0001"</f>
        <v>PFES1162628659_0001</v>
      </c>
      <c r="L121" s="10">
        <v>1</v>
      </c>
      <c r="M121" s="10">
        <v>2</v>
      </c>
    </row>
    <row r="122" spans="1:13">
      <c r="A122" s="8">
        <v>43262</v>
      </c>
      <c r="B122" s="9">
        <v>0.52361111111111114</v>
      </c>
      <c r="C122" s="10" t="str">
        <f>"FES1162628676"</f>
        <v>FES1162628676</v>
      </c>
      <c r="D122" s="10" t="s">
        <v>19</v>
      </c>
      <c r="E122" s="10" t="s">
        <v>179</v>
      </c>
      <c r="F122" s="10" t="str">
        <f>"2170635786 "</f>
        <v xml:space="preserve">2170635786 </v>
      </c>
      <c r="G122" s="10" t="str">
        <f t="shared" si="4"/>
        <v>ON1</v>
      </c>
      <c r="H122" s="10" t="s">
        <v>21</v>
      </c>
      <c r="I122" s="10" t="s">
        <v>180</v>
      </c>
      <c r="J122" s="10" t="str">
        <f>""</f>
        <v/>
      </c>
      <c r="K122" s="10" t="str">
        <f>"PFES1162628676_0001"</f>
        <v>PFES1162628676_0001</v>
      </c>
      <c r="L122" s="10">
        <v>1</v>
      </c>
      <c r="M122" s="10">
        <v>1</v>
      </c>
    </row>
    <row r="123" spans="1:13">
      <c r="A123" s="8">
        <v>43262</v>
      </c>
      <c r="B123" s="9">
        <v>0.52361111111111114</v>
      </c>
      <c r="C123" s="10" t="str">
        <f>"FES1162628738"</f>
        <v>FES1162628738</v>
      </c>
      <c r="D123" s="10" t="s">
        <v>19</v>
      </c>
      <c r="E123" s="10" t="s">
        <v>181</v>
      </c>
      <c r="F123" s="10" t="str">
        <f>"2170635827 "</f>
        <v xml:space="preserve">2170635827 </v>
      </c>
      <c r="G123" s="10" t="str">
        <f t="shared" si="4"/>
        <v>ON1</v>
      </c>
      <c r="H123" s="10" t="s">
        <v>21</v>
      </c>
      <c r="I123" s="10" t="s">
        <v>182</v>
      </c>
      <c r="J123" s="10" t="str">
        <f>""</f>
        <v/>
      </c>
      <c r="K123" s="10" t="str">
        <f>"PFES1162628738_0001"</f>
        <v>PFES1162628738_0001</v>
      </c>
      <c r="L123" s="10">
        <v>1</v>
      </c>
      <c r="M123" s="10">
        <v>1</v>
      </c>
    </row>
    <row r="124" spans="1:13">
      <c r="A124" s="8">
        <v>43262</v>
      </c>
      <c r="B124" s="9">
        <v>0.5229166666666667</v>
      </c>
      <c r="C124" s="10" t="str">
        <f>"FES1162628670"</f>
        <v>FES1162628670</v>
      </c>
      <c r="D124" s="10" t="s">
        <v>19</v>
      </c>
      <c r="E124" s="10" t="s">
        <v>126</v>
      </c>
      <c r="F124" s="10" t="str">
        <f>"2170635779 "</f>
        <v xml:space="preserve">2170635779 </v>
      </c>
      <c r="G124" s="10" t="str">
        <f t="shared" si="4"/>
        <v>ON1</v>
      </c>
      <c r="H124" s="10" t="s">
        <v>21</v>
      </c>
      <c r="I124" s="10" t="s">
        <v>127</v>
      </c>
      <c r="J124" s="10" t="str">
        <f>""</f>
        <v/>
      </c>
      <c r="K124" s="10" t="str">
        <f>"PFES1162628670_0001"</f>
        <v>PFES1162628670_0001</v>
      </c>
      <c r="L124" s="10">
        <v>1</v>
      </c>
      <c r="M124" s="10">
        <v>1</v>
      </c>
    </row>
    <row r="125" spans="1:13">
      <c r="A125" s="8">
        <v>43262</v>
      </c>
      <c r="B125" s="9">
        <v>0.52222222222222225</v>
      </c>
      <c r="C125" s="10" t="str">
        <f>"FES1162628645"</f>
        <v>FES1162628645</v>
      </c>
      <c r="D125" s="10" t="s">
        <v>19</v>
      </c>
      <c r="E125" s="10" t="s">
        <v>183</v>
      </c>
      <c r="F125" s="10" t="str">
        <f>"2170635743 "</f>
        <v xml:space="preserve">2170635743 </v>
      </c>
      <c r="G125" s="10" t="str">
        <f t="shared" si="4"/>
        <v>ON1</v>
      </c>
      <c r="H125" s="10" t="s">
        <v>21</v>
      </c>
      <c r="I125" s="10" t="s">
        <v>93</v>
      </c>
      <c r="J125" s="10" t="str">
        <f>""</f>
        <v/>
      </c>
      <c r="K125" s="10" t="str">
        <f>"PFES1162628645_0001"</f>
        <v>PFES1162628645_0001</v>
      </c>
      <c r="L125" s="10">
        <v>1</v>
      </c>
      <c r="M125" s="10">
        <v>2</v>
      </c>
    </row>
    <row r="126" spans="1:13">
      <c r="A126" s="8">
        <v>43262</v>
      </c>
      <c r="B126" s="9">
        <v>0.52083333333333337</v>
      </c>
      <c r="C126" s="10" t="str">
        <f>"FES1162628705"</f>
        <v>FES1162628705</v>
      </c>
      <c r="D126" s="10" t="s">
        <v>19</v>
      </c>
      <c r="E126" s="10" t="s">
        <v>184</v>
      </c>
      <c r="F126" s="10" t="str">
        <f>"2170630386 "</f>
        <v xml:space="preserve">2170630386 </v>
      </c>
      <c r="G126" s="10" t="str">
        <f t="shared" si="4"/>
        <v>ON1</v>
      </c>
      <c r="H126" s="10" t="s">
        <v>21</v>
      </c>
      <c r="I126" s="10" t="s">
        <v>134</v>
      </c>
      <c r="J126" s="10" t="str">
        <f>""</f>
        <v/>
      </c>
      <c r="K126" s="10" t="str">
        <f>"PFES1162628705_0001"</f>
        <v>PFES1162628705_0001</v>
      </c>
      <c r="L126" s="10">
        <v>1</v>
      </c>
      <c r="M126" s="10">
        <v>13</v>
      </c>
    </row>
    <row r="127" spans="1:13">
      <c r="A127" s="8">
        <v>43262</v>
      </c>
      <c r="B127" s="9">
        <v>0.52013888888888882</v>
      </c>
      <c r="C127" s="10" t="str">
        <f>"FES1162628616"</f>
        <v>FES1162628616</v>
      </c>
      <c r="D127" s="10" t="s">
        <v>19</v>
      </c>
      <c r="E127" s="10" t="s">
        <v>185</v>
      </c>
      <c r="F127" s="10" t="str">
        <f>"2170628504 "</f>
        <v xml:space="preserve">2170628504 </v>
      </c>
      <c r="G127" s="10" t="str">
        <f>"DBC"</f>
        <v>DBC</v>
      </c>
      <c r="H127" s="10" t="s">
        <v>21</v>
      </c>
      <c r="I127" s="10" t="s">
        <v>186</v>
      </c>
      <c r="J127" s="10" t="str">
        <f>""</f>
        <v/>
      </c>
      <c r="K127" s="10" t="str">
        <f>"PFES1162628616_0001"</f>
        <v>PFES1162628616_0001</v>
      </c>
      <c r="L127" s="10">
        <v>1</v>
      </c>
      <c r="M127" s="10">
        <v>24</v>
      </c>
    </row>
    <row r="128" spans="1:13">
      <c r="A128" s="8">
        <v>43262</v>
      </c>
      <c r="B128" s="9">
        <v>0.51874999999999993</v>
      </c>
      <c r="C128" s="10" t="str">
        <f>"FES1162628706"</f>
        <v>FES1162628706</v>
      </c>
      <c r="D128" s="10" t="s">
        <v>19</v>
      </c>
      <c r="E128" s="10" t="s">
        <v>169</v>
      </c>
      <c r="F128" s="10" t="str">
        <f>"2170630657 "</f>
        <v xml:space="preserve">2170630657 </v>
      </c>
      <c r="G128" s="10" t="str">
        <f t="shared" ref="G128:G138" si="5">"ON1"</f>
        <v>ON1</v>
      </c>
      <c r="H128" s="10" t="s">
        <v>21</v>
      </c>
      <c r="I128" s="10" t="s">
        <v>170</v>
      </c>
      <c r="J128" s="10" t="str">
        <f>""</f>
        <v/>
      </c>
      <c r="K128" s="10" t="str">
        <f>"PFES1162628706_0001"</f>
        <v>PFES1162628706_0001</v>
      </c>
      <c r="L128" s="10">
        <v>1</v>
      </c>
      <c r="M128" s="10">
        <v>11</v>
      </c>
    </row>
    <row r="129" spans="1:13">
      <c r="A129" s="8">
        <v>43262</v>
      </c>
      <c r="B129" s="9">
        <v>0.5180555555555556</v>
      </c>
      <c r="C129" s="10" t="str">
        <f>"FES1162628732"</f>
        <v>FES1162628732</v>
      </c>
      <c r="D129" s="10" t="s">
        <v>19</v>
      </c>
      <c r="E129" s="10" t="s">
        <v>187</v>
      </c>
      <c r="F129" s="10" t="str">
        <f>"2170631710 "</f>
        <v xml:space="preserve">2170631710 </v>
      </c>
      <c r="G129" s="10" t="str">
        <f t="shared" si="5"/>
        <v>ON1</v>
      </c>
      <c r="H129" s="10" t="s">
        <v>21</v>
      </c>
      <c r="I129" s="10" t="s">
        <v>32</v>
      </c>
      <c r="J129" s="10" t="str">
        <f>""</f>
        <v/>
      </c>
      <c r="K129" s="10" t="str">
        <f>"PFES1162628732_0001"</f>
        <v>PFES1162628732_0001</v>
      </c>
      <c r="L129" s="10">
        <v>1</v>
      </c>
      <c r="M129" s="10">
        <v>4</v>
      </c>
    </row>
    <row r="130" spans="1:13">
      <c r="A130" s="8">
        <v>43262</v>
      </c>
      <c r="B130" s="9">
        <v>0.51736111111111105</v>
      </c>
      <c r="C130" s="10" t="str">
        <f>"FES1162628703"</f>
        <v>FES1162628703</v>
      </c>
      <c r="D130" s="10" t="s">
        <v>19</v>
      </c>
      <c r="E130" s="10" t="s">
        <v>188</v>
      </c>
      <c r="F130" s="10" t="str">
        <f>"2170629926 "</f>
        <v xml:space="preserve">2170629926 </v>
      </c>
      <c r="G130" s="10" t="str">
        <f t="shared" si="5"/>
        <v>ON1</v>
      </c>
      <c r="H130" s="10" t="s">
        <v>21</v>
      </c>
      <c r="I130" s="10" t="s">
        <v>189</v>
      </c>
      <c r="J130" s="10" t="str">
        <f>""</f>
        <v/>
      </c>
      <c r="K130" s="10" t="str">
        <f>"PFES1162628703_0001"</f>
        <v>PFES1162628703_0001</v>
      </c>
      <c r="L130" s="10">
        <v>1</v>
      </c>
      <c r="M130" s="10">
        <v>3</v>
      </c>
    </row>
    <row r="131" spans="1:13">
      <c r="A131" s="8">
        <v>43262</v>
      </c>
      <c r="B131" s="9">
        <v>0.51666666666666672</v>
      </c>
      <c r="C131" s="10" t="str">
        <f>"FES1162628708"</f>
        <v>FES1162628708</v>
      </c>
      <c r="D131" s="10" t="s">
        <v>19</v>
      </c>
      <c r="E131" s="10" t="s">
        <v>190</v>
      </c>
      <c r="F131" s="10" t="str">
        <f>"2170630890 "</f>
        <v xml:space="preserve">2170630890 </v>
      </c>
      <c r="G131" s="10" t="str">
        <f t="shared" si="5"/>
        <v>ON1</v>
      </c>
      <c r="H131" s="10" t="s">
        <v>21</v>
      </c>
      <c r="I131" s="10" t="s">
        <v>71</v>
      </c>
      <c r="J131" s="10" t="str">
        <f>""</f>
        <v/>
      </c>
      <c r="K131" s="10" t="str">
        <f>"PFES1162628708_0001"</f>
        <v>PFES1162628708_0001</v>
      </c>
      <c r="L131" s="10">
        <v>1</v>
      </c>
      <c r="M131" s="10">
        <v>3</v>
      </c>
    </row>
    <row r="132" spans="1:13">
      <c r="A132" s="8">
        <v>43262</v>
      </c>
      <c r="B132" s="9">
        <v>0.51388888888888895</v>
      </c>
      <c r="C132" s="10" t="str">
        <f>"FES1162628698"</f>
        <v>FES1162628698</v>
      </c>
      <c r="D132" s="10" t="s">
        <v>19</v>
      </c>
      <c r="E132" s="10" t="s">
        <v>191</v>
      </c>
      <c r="F132" s="10" t="str">
        <f>"2170624639 "</f>
        <v xml:space="preserve">2170624639 </v>
      </c>
      <c r="G132" s="10" t="str">
        <f t="shared" si="5"/>
        <v>ON1</v>
      </c>
      <c r="H132" s="10" t="s">
        <v>21</v>
      </c>
      <c r="I132" s="10" t="s">
        <v>192</v>
      </c>
      <c r="J132" s="10" t="str">
        <f>""</f>
        <v/>
      </c>
      <c r="K132" s="10" t="str">
        <f>"PFES1162628698_0001"</f>
        <v>PFES1162628698_0001</v>
      </c>
      <c r="L132" s="10">
        <v>1</v>
      </c>
      <c r="M132" s="10">
        <v>13</v>
      </c>
    </row>
    <row r="133" spans="1:13">
      <c r="A133" s="8">
        <v>43262</v>
      </c>
      <c r="B133" s="9">
        <v>0.51250000000000007</v>
      </c>
      <c r="C133" s="10" t="str">
        <f>"FES1162628726"</f>
        <v>FES1162628726</v>
      </c>
      <c r="D133" s="10" t="s">
        <v>19</v>
      </c>
      <c r="E133" s="10" t="s">
        <v>193</v>
      </c>
      <c r="F133" s="10" t="str">
        <f>"2170628866 "</f>
        <v xml:space="preserve">2170628866 </v>
      </c>
      <c r="G133" s="10" t="str">
        <f t="shared" si="5"/>
        <v>ON1</v>
      </c>
      <c r="H133" s="10" t="s">
        <v>21</v>
      </c>
      <c r="I133" s="10" t="s">
        <v>30</v>
      </c>
      <c r="J133" s="10" t="str">
        <f>""</f>
        <v/>
      </c>
      <c r="K133" s="10" t="str">
        <f>"PFES1162628726_0001"</f>
        <v>PFES1162628726_0001</v>
      </c>
      <c r="L133" s="10">
        <v>1</v>
      </c>
      <c r="M133" s="10">
        <v>2</v>
      </c>
    </row>
    <row r="134" spans="1:13">
      <c r="A134" s="8">
        <v>43262</v>
      </c>
      <c r="B134" s="9">
        <v>0.51180555555555551</v>
      </c>
      <c r="C134" s="10" t="str">
        <f>"FES1162628715"</f>
        <v>FES1162628715</v>
      </c>
      <c r="D134" s="10" t="s">
        <v>19</v>
      </c>
      <c r="E134" s="10" t="s">
        <v>64</v>
      </c>
      <c r="F134" s="10" t="str">
        <f>"2170632876 "</f>
        <v xml:space="preserve">2170632876 </v>
      </c>
      <c r="G134" s="10" t="str">
        <f t="shared" si="5"/>
        <v>ON1</v>
      </c>
      <c r="H134" s="10" t="s">
        <v>21</v>
      </c>
      <c r="I134" s="10" t="s">
        <v>194</v>
      </c>
      <c r="J134" s="10" t="str">
        <f>""</f>
        <v/>
      </c>
      <c r="K134" s="10" t="str">
        <f>"PFES1162628715_0001"</f>
        <v>PFES1162628715_0001</v>
      </c>
      <c r="L134" s="10">
        <v>1</v>
      </c>
      <c r="M134" s="10">
        <v>1</v>
      </c>
    </row>
    <row r="135" spans="1:13">
      <c r="A135" s="8">
        <v>43262</v>
      </c>
      <c r="B135" s="9">
        <v>0.51111111111111118</v>
      </c>
      <c r="C135" s="10" t="str">
        <f>"FES1162628762"</f>
        <v>FES1162628762</v>
      </c>
      <c r="D135" s="10" t="s">
        <v>19</v>
      </c>
      <c r="E135" s="10" t="s">
        <v>195</v>
      </c>
      <c r="F135" s="10" t="str">
        <f>"2170635143 "</f>
        <v xml:space="preserve">2170635143 </v>
      </c>
      <c r="G135" s="10" t="str">
        <f t="shared" si="5"/>
        <v>ON1</v>
      </c>
      <c r="H135" s="10" t="s">
        <v>21</v>
      </c>
      <c r="I135" s="10" t="s">
        <v>196</v>
      </c>
      <c r="J135" s="10" t="str">
        <f>""</f>
        <v/>
      </c>
      <c r="K135" s="10" t="str">
        <f>"PFES1162628762_0001"</f>
        <v>PFES1162628762_0001</v>
      </c>
      <c r="L135" s="10">
        <v>1</v>
      </c>
      <c r="M135" s="10">
        <v>1</v>
      </c>
    </row>
    <row r="136" spans="1:13">
      <c r="A136" s="8">
        <v>43262</v>
      </c>
      <c r="B136" s="9">
        <v>0.50972222222222219</v>
      </c>
      <c r="C136" s="10" t="str">
        <f>"FES1162628713"</f>
        <v>FES1162628713</v>
      </c>
      <c r="D136" s="10" t="s">
        <v>19</v>
      </c>
      <c r="E136" s="10" t="s">
        <v>184</v>
      </c>
      <c r="F136" s="10" t="str">
        <f>"2170632377 "</f>
        <v xml:space="preserve">2170632377 </v>
      </c>
      <c r="G136" s="10" t="str">
        <f t="shared" si="5"/>
        <v>ON1</v>
      </c>
      <c r="H136" s="10" t="s">
        <v>21</v>
      </c>
      <c r="I136" s="10" t="s">
        <v>134</v>
      </c>
      <c r="J136" s="10" t="str">
        <f>""</f>
        <v/>
      </c>
      <c r="K136" s="10" t="str">
        <f>"PFES1162628713_0001"</f>
        <v>PFES1162628713_0001</v>
      </c>
      <c r="L136" s="10">
        <v>1</v>
      </c>
      <c r="M136" s="10">
        <v>1</v>
      </c>
    </row>
    <row r="137" spans="1:13">
      <c r="A137" s="8">
        <v>43262</v>
      </c>
      <c r="B137" s="9">
        <v>0.50902777777777775</v>
      </c>
      <c r="C137" s="10" t="str">
        <f>"FES1162628714"</f>
        <v>FES1162628714</v>
      </c>
      <c r="D137" s="10" t="s">
        <v>19</v>
      </c>
      <c r="E137" s="10" t="s">
        <v>74</v>
      </c>
      <c r="F137" s="10" t="str">
        <f>"2170632437 "</f>
        <v xml:space="preserve">2170632437 </v>
      </c>
      <c r="G137" s="10" t="str">
        <f t="shared" si="5"/>
        <v>ON1</v>
      </c>
      <c r="H137" s="10" t="s">
        <v>21</v>
      </c>
      <c r="I137" s="10" t="s">
        <v>75</v>
      </c>
      <c r="J137" s="10" t="str">
        <f>""</f>
        <v/>
      </c>
      <c r="K137" s="10" t="str">
        <f>"PFES1162628714_0001"</f>
        <v>PFES1162628714_0001</v>
      </c>
      <c r="L137" s="10">
        <v>1</v>
      </c>
      <c r="M137" s="10">
        <v>1</v>
      </c>
    </row>
    <row r="138" spans="1:13">
      <c r="A138" s="8">
        <v>43262</v>
      </c>
      <c r="B138" s="9">
        <v>0.5083333333333333</v>
      </c>
      <c r="C138" s="10" t="str">
        <f>"FES1162628663"</f>
        <v>FES1162628663</v>
      </c>
      <c r="D138" s="10" t="s">
        <v>19</v>
      </c>
      <c r="E138" s="10" t="s">
        <v>92</v>
      </c>
      <c r="F138" s="10" t="str">
        <f>"2170635773 "</f>
        <v xml:space="preserve">2170635773 </v>
      </c>
      <c r="G138" s="10" t="str">
        <f t="shared" si="5"/>
        <v>ON1</v>
      </c>
      <c r="H138" s="10" t="s">
        <v>21</v>
      </c>
      <c r="I138" s="10" t="s">
        <v>93</v>
      </c>
      <c r="J138" s="10" t="str">
        <f>""</f>
        <v/>
      </c>
      <c r="K138" s="10" t="str">
        <f>"PFES1162628663_0001"</f>
        <v>PFES1162628663_0001</v>
      </c>
      <c r="L138" s="10">
        <v>1</v>
      </c>
      <c r="M138" s="10">
        <v>4</v>
      </c>
    </row>
    <row r="139" spans="1:13">
      <c r="A139" s="8">
        <v>43262</v>
      </c>
      <c r="B139" s="9">
        <v>0.50763888888888886</v>
      </c>
      <c r="C139" s="10" t="str">
        <f>"FES1162628611"</f>
        <v>FES1162628611</v>
      </c>
      <c r="D139" s="10" t="s">
        <v>19</v>
      </c>
      <c r="E139" s="10" t="s">
        <v>197</v>
      </c>
      <c r="F139" s="10" t="str">
        <f>"2170630415 "</f>
        <v xml:space="preserve">2170630415 </v>
      </c>
      <c r="G139" s="10" t="str">
        <f>"DBC"</f>
        <v>DBC</v>
      </c>
      <c r="H139" s="10" t="s">
        <v>21</v>
      </c>
      <c r="I139" s="10" t="s">
        <v>131</v>
      </c>
      <c r="J139" s="10" t="str">
        <f>""</f>
        <v/>
      </c>
      <c r="K139" s="10" t="str">
        <f>"PFES1162628611_0001"</f>
        <v>PFES1162628611_0001</v>
      </c>
      <c r="L139" s="10">
        <v>1</v>
      </c>
      <c r="M139" s="10">
        <v>1</v>
      </c>
    </row>
    <row r="140" spans="1:13">
      <c r="A140" s="8">
        <v>43262</v>
      </c>
      <c r="B140" s="9">
        <v>0.50624999999999998</v>
      </c>
      <c r="C140" s="10" t="str">
        <f>"FES1162628619"</f>
        <v>FES1162628619</v>
      </c>
      <c r="D140" s="10" t="s">
        <v>19</v>
      </c>
      <c r="E140" s="10" t="s">
        <v>198</v>
      </c>
      <c r="F140" s="10" t="str">
        <f>"2170633375 "</f>
        <v xml:space="preserve">2170633375 </v>
      </c>
      <c r="G140" s="10" t="str">
        <f>"ON1"</f>
        <v>ON1</v>
      </c>
      <c r="H140" s="10" t="s">
        <v>21</v>
      </c>
      <c r="I140" s="10" t="s">
        <v>199</v>
      </c>
      <c r="J140" s="10" t="str">
        <f>""</f>
        <v/>
      </c>
      <c r="K140" s="10" t="str">
        <f>"PFES1162628619_0001"</f>
        <v>PFES1162628619_0001</v>
      </c>
      <c r="L140" s="10">
        <v>1</v>
      </c>
      <c r="M140" s="10">
        <v>9</v>
      </c>
    </row>
    <row r="141" spans="1:13">
      <c r="A141" s="8">
        <v>43262</v>
      </c>
      <c r="B141" s="9">
        <v>0.50486111111111109</v>
      </c>
      <c r="C141" s="10" t="str">
        <f>"FES1162628724"</f>
        <v>FES1162628724</v>
      </c>
      <c r="D141" s="10" t="s">
        <v>19</v>
      </c>
      <c r="E141" s="10" t="s">
        <v>142</v>
      </c>
      <c r="F141" s="10" t="str">
        <f>"2170632739 "</f>
        <v xml:space="preserve">2170632739 </v>
      </c>
      <c r="G141" s="10" t="str">
        <f>"ON1"</f>
        <v>ON1</v>
      </c>
      <c r="H141" s="10" t="s">
        <v>21</v>
      </c>
      <c r="I141" s="10" t="s">
        <v>139</v>
      </c>
      <c r="J141" s="10" t="str">
        <f>""</f>
        <v/>
      </c>
      <c r="K141" s="10" t="str">
        <f>"PFES1162628724_0001"</f>
        <v>PFES1162628724_0001</v>
      </c>
      <c r="L141" s="10">
        <v>1</v>
      </c>
      <c r="M141" s="10">
        <v>6</v>
      </c>
    </row>
    <row r="142" spans="1:13">
      <c r="A142" s="8">
        <v>43262</v>
      </c>
      <c r="B142" s="9">
        <v>0.46249999999999997</v>
      </c>
      <c r="C142" s="10" t="str">
        <f>"FES1162628754"</f>
        <v>FES1162628754</v>
      </c>
      <c r="D142" s="10" t="s">
        <v>19</v>
      </c>
      <c r="E142" s="10" t="s">
        <v>128</v>
      </c>
      <c r="F142" s="10" t="str">
        <f>"2170635850 "</f>
        <v xml:space="preserve">2170635850 </v>
      </c>
      <c r="G142" s="10" t="str">
        <f>"SDX"</f>
        <v>SDX</v>
      </c>
      <c r="H142" s="10" t="s">
        <v>21</v>
      </c>
      <c r="I142" s="10" t="s">
        <v>129</v>
      </c>
      <c r="J142" s="10" t="str">
        <f>"SDX 083 726 0292"</f>
        <v>SDX 083 726 0292</v>
      </c>
      <c r="K142" s="10" t="str">
        <f>"PFES1162628754_0001"</f>
        <v>PFES1162628754_0001</v>
      </c>
      <c r="L142" s="10">
        <v>1</v>
      </c>
      <c r="M142" s="10">
        <v>1</v>
      </c>
    </row>
    <row r="143" spans="1:13">
      <c r="A143" s="8">
        <v>43262</v>
      </c>
      <c r="B143" s="9">
        <v>0.44305555555555554</v>
      </c>
      <c r="C143" s="10" t="str">
        <f>"FES1162628677"</f>
        <v>FES1162628677</v>
      </c>
      <c r="D143" s="10" t="s">
        <v>19</v>
      </c>
      <c r="E143" s="10" t="s">
        <v>33</v>
      </c>
      <c r="F143" s="10" t="str">
        <f>"2170635787 "</f>
        <v xml:space="preserve">2170635787 </v>
      </c>
      <c r="G143" s="10" t="str">
        <f t="shared" ref="G143:G206" si="6">"ON1"</f>
        <v>ON1</v>
      </c>
      <c r="H143" s="10" t="s">
        <v>21</v>
      </c>
      <c r="I143" s="10" t="s">
        <v>34</v>
      </c>
      <c r="J143" s="10" t="str">
        <f>""</f>
        <v/>
      </c>
      <c r="K143" s="10" t="str">
        <f>"PFES1162628677_0001"</f>
        <v>PFES1162628677_0001</v>
      </c>
      <c r="L143" s="10">
        <v>1</v>
      </c>
      <c r="M143" s="10">
        <v>1</v>
      </c>
    </row>
    <row r="144" spans="1:13">
      <c r="A144" s="8">
        <v>43262</v>
      </c>
      <c r="B144" s="9">
        <v>0.44305555555555554</v>
      </c>
      <c r="C144" s="10" t="str">
        <f>"FES1162629649"</f>
        <v>FES1162629649</v>
      </c>
      <c r="D144" s="10" t="s">
        <v>19</v>
      </c>
      <c r="E144" s="10" t="s">
        <v>143</v>
      </c>
      <c r="F144" s="10" t="str">
        <f>"2170635749 "</f>
        <v xml:space="preserve">2170635749 </v>
      </c>
      <c r="G144" s="10" t="str">
        <f t="shared" si="6"/>
        <v>ON1</v>
      </c>
      <c r="H144" s="10" t="s">
        <v>21</v>
      </c>
      <c r="I144" s="10" t="s">
        <v>144</v>
      </c>
      <c r="J144" s="10" t="str">
        <f>""</f>
        <v/>
      </c>
      <c r="K144" s="10" t="str">
        <f>"PFES1162629649_0001"</f>
        <v>PFES1162629649_0001</v>
      </c>
      <c r="L144" s="10">
        <v>1</v>
      </c>
      <c r="M144" s="10">
        <v>8</v>
      </c>
    </row>
    <row r="145" spans="1:13">
      <c r="A145" s="8">
        <v>43262</v>
      </c>
      <c r="B145" s="9">
        <v>0.44236111111111115</v>
      </c>
      <c r="C145" s="10" t="str">
        <f>"FES1162628651"</f>
        <v>FES1162628651</v>
      </c>
      <c r="D145" s="10" t="s">
        <v>19</v>
      </c>
      <c r="E145" s="10" t="s">
        <v>124</v>
      </c>
      <c r="F145" s="10" t="str">
        <f>"2170635752 "</f>
        <v xml:space="preserve">2170635752 </v>
      </c>
      <c r="G145" s="10" t="str">
        <f t="shared" si="6"/>
        <v>ON1</v>
      </c>
      <c r="H145" s="10" t="s">
        <v>21</v>
      </c>
      <c r="I145" s="10" t="s">
        <v>200</v>
      </c>
      <c r="J145" s="10" t="str">
        <f>""</f>
        <v/>
      </c>
      <c r="K145" s="10" t="str">
        <f>"PFES1162628651_0001"</f>
        <v>PFES1162628651_0001</v>
      </c>
      <c r="L145" s="10">
        <v>1</v>
      </c>
      <c r="M145" s="10">
        <v>1</v>
      </c>
    </row>
    <row r="146" spans="1:13">
      <c r="A146" s="8">
        <v>43262</v>
      </c>
      <c r="B146" s="9">
        <v>0.44166666666666665</v>
      </c>
      <c r="C146" s="10" t="str">
        <f>"FES1162628693"</f>
        <v>FES1162628693</v>
      </c>
      <c r="D146" s="10" t="s">
        <v>19</v>
      </c>
      <c r="E146" s="10" t="s">
        <v>201</v>
      </c>
      <c r="F146" s="10" t="str">
        <f>"2170635806 "</f>
        <v xml:space="preserve">2170635806 </v>
      </c>
      <c r="G146" s="10" t="str">
        <f t="shared" si="6"/>
        <v>ON1</v>
      </c>
      <c r="H146" s="10" t="s">
        <v>21</v>
      </c>
      <c r="I146" s="10" t="s">
        <v>26</v>
      </c>
      <c r="J146" s="10" t="str">
        <f>""</f>
        <v/>
      </c>
      <c r="K146" s="10" t="str">
        <f>"PFES1162628693_0001"</f>
        <v>PFES1162628693_0001</v>
      </c>
      <c r="L146" s="10">
        <v>1</v>
      </c>
      <c r="M146" s="10">
        <v>1</v>
      </c>
    </row>
    <row r="147" spans="1:13">
      <c r="A147" s="8">
        <v>43262</v>
      </c>
      <c r="B147" s="9">
        <v>0.44166666666666665</v>
      </c>
      <c r="C147" s="10" t="str">
        <f>"FES1162628710"</f>
        <v>FES1162628710</v>
      </c>
      <c r="D147" s="10" t="s">
        <v>19</v>
      </c>
      <c r="E147" s="10" t="s">
        <v>202</v>
      </c>
      <c r="F147" s="10" t="str">
        <f>"2170631295 "</f>
        <v xml:space="preserve">2170631295 </v>
      </c>
      <c r="G147" s="10" t="str">
        <f t="shared" si="6"/>
        <v>ON1</v>
      </c>
      <c r="H147" s="10" t="s">
        <v>21</v>
      </c>
      <c r="I147" s="10" t="s">
        <v>203</v>
      </c>
      <c r="J147" s="10" t="str">
        <f>""</f>
        <v/>
      </c>
      <c r="K147" s="10" t="str">
        <f>"PFES1162628710_0001"</f>
        <v>PFES1162628710_0001</v>
      </c>
      <c r="L147" s="10">
        <v>1</v>
      </c>
      <c r="M147" s="10">
        <v>7</v>
      </c>
    </row>
    <row r="148" spans="1:13">
      <c r="A148" s="8">
        <v>43262</v>
      </c>
      <c r="B148" s="9">
        <v>0.44166666666666665</v>
      </c>
      <c r="C148" s="10" t="str">
        <f>"FES1162628646"</f>
        <v>FES1162628646</v>
      </c>
      <c r="D148" s="10" t="s">
        <v>19</v>
      </c>
      <c r="E148" s="10" t="s">
        <v>169</v>
      </c>
      <c r="F148" s="10" t="str">
        <f>"2170635744 "</f>
        <v xml:space="preserve">2170635744 </v>
      </c>
      <c r="G148" s="10" t="str">
        <f t="shared" si="6"/>
        <v>ON1</v>
      </c>
      <c r="H148" s="10" t="s">
        <v>21</v>
      </c>
      <c r="I148" s="10" t="s">
        <v>170</v>
      </c>
      <c r="J148" s="10" t="str">
        <f>""</f>
        <v/>
      </c>
      <c r="K148" s="10" t="str">
        <f>"PFES1162628646_0001"</f>
        <v>PFES1162628646_0001</v>
      </c>
      <c r="L148" s="10">
        <v>1</v>
      </c>
      <c r="M148" s="10">
        <v>1</v>
      </c>
    </row>
    <row r="149" spans="1:13">
      <c r="A149" s="8">
        <v>43262</v>
      </c>
      <c r="B149" s="9">
        <v>0.44097222222222227</v>
      </c>
      <c r="C149" s="10" t="str">
        <f>"FES1162628642"</f>
        <v>FES1162628642</v>
      </c>
      <c r="D149" s="10" t="s">
        <v>19</v>
      </c>
      <c r="E149" s="10" t="s">
        <v>169</v>
      </c>
      <c r="F149" s="10" t="str">
        <f>"2170635740 "</f>
        <v xml:space="preserve">2170635740 </v>
      </c>
      <c r="G149" s="10" t="str">
        <f t="shared" si="6"/>
        <v>ON1</v>
      </c>
      <c r="H149" s="10" t="s">
        <v>21</v>
      </c>
      <c r="I149" s="10" t="s">
        <v>170</v>
      </c>
      <c r="J149" s="10" t="str">
        <f>""</f>
        <v/>
      </c>
      <c r="K149" s="10" t="str">
        <f>"PFES1162628642_0001"</f>
        <v>PFES1162628642_0001</v>
      </c>
      <c r="L149" s="10">
        <v>1</v>
      </c>
      <c r="M149" s="10">
        <v>1</v>
      </c>
    </row>
    <row r="150" spans="1:13">
      <c r="A150" s="8">
        <v>43262</v>
      </c>
      <c r="B150" s="9">
        <v>0.44097222222222227</v>
      </c>
      <c r="C150" s="10" t="str">
        <f>"FES1162628639"</f>
        <v>FES1162628639</v>
      </c>
      <c r="D150" s="10" t="s">
        <v>19</v>
      </c>
      <c r="E150" s="10" t="s">
        <v>187</v>
      </c>
      <c r="F150" s="10" t="str">
        <f>"2170635517 "</f>
        <v xml:space="preserve">2170635517 </v>
      </c>
      <c r="G150" s="10" t="str">
        <f t="shared" si="6"/>
        <v>ON1</v>
      </c>
      <c r="H150" s="10" t="s">
        <v>21</v>
      </c>
      <c r="I150" s="10" t="s">
        <v>32</v>
      </c>
      <c r="J150" s="10" t="str">
        <f>""</f>
        <v/>
      </c>
      <c r="K150" s="10" t="str">
        <f>"PFES1162628639_0001"</f>
        <v>PFES1162628639_0001</v>
      </c>
      <c r="L150" s="10">
        <v>1</v>
      </c>
      <c r="M150" s="10">
        <v>1</v>
      </c>
    </row>
    <row r="151" spans="1:13">
      <c r="A151" s="8">
        <v>43262</v>
      </c>
      <c r="B151" s="9">
        <v>0.44027777777777777</v>
      </c>
      <c r="C151" s="10" t="str">
        <f>"FES1162628623"</f>
        <v>FES1162628623</v>
      </c>
      <c r="D151" s="10" t="s">
        <v>19</v>
      </c>
      <c r="E151" s="10" t="s">
        <v>187</v>
      </c>
      <c r="F151" s="10" t="str">
        <f>"2170633853 "</f>
        <v xml:space="preserve">2170633853 </v>
      </c>
      <c r="G151" s="10" t="str">
        <f t="shared" si="6"/>
        <v>ON1</v>
      </c>
      <c r="H151" s="10" t="s">
        <v>21</v>
      </c>
      <c r="I151" s="10" t="s">
        <v>32</v>
      </c>
      <c r="J151" s="10" t="str">
        <f>""</f>
        <v/>
      </c>
      <c r="K151" s="10" t="str">
        <f>"PFES1162628623_0001"</f>
        <v>PFES1162628623_0001</v>
      </c>
      <c r="L151" s="10">
        <v>1</v>
      </c>
      <c r="M151" s="10">
        <v>1</v>
      </c>
    </row>
    <row r="152" spans="1:13">
      <c r="A152" s="8">
        <v>43262</v>
      </c>
      <c r="B152" s="9">
        <v>0.43958333333333338</v>
      </c>
      <c r="C152" s="10" t="str">
        <f>"FES1162628615"</f>
        <v>FES1162628615</v>
      </c>
      <c r="D152" s="10" t="s">
        <v>19</v>
      </c>
      <c r="E152" s="10" t="s">
        <v>204</v>
      </c>
      <c r="F152" s="10" t="str">
        <f>"2170628163 "</f>
        <v xml:space="preserve">2170628163 </v>
      </c>
      <c r="G152" s="10" t="str">
        <f t="shared" si="6"/>
        <v>ON1</v>
      </c>
      <c r="H152" s="10" t="s">
        <v>21</v>
      </c>
      <c r="I152" s="10" t="s">
        <v>205</v>
      </c>
      <c r="J152" s="10" t="str">
        <f>""</f>
        <v/>
      </c>
      <c r="K152" s="10" t="str">
        <f>"PFES1162628615_0001"</f>
        <v>PFES1162628615_0001</v>
      </c>
      <c r="L152" s="10">
        <v>1</v>
      </c>
      <c r="M152" s="10">
        <v>1</v>
      </c>
    </row>
    <row r="153" spans="1:13">
      <c r="A153" s="8">
        <v>43262</v>
      </c>
      <c r="B153" s="9">
        <v>0.43958333333333338</v>
      </c>
      <c r="C153" s="10" t="str">
        <f>"FES1162628636"</f>
        <v>FES1162628636</v>
      </c>
      <c r="D153" s="10" t="s">
        <v>19</v>
      </c>
      <c r="E153" s="10" t="s">
        <v>120</v>
      </c>
      <c r="F153" s="10" t="str">
        <f>"2170634680 "</f>
        <v xml:space="preserve">2170634680 </v>
      </c>
      <c r="G153" s="10" t="str">
        <f t="shared" si="6"/>
        <v>ON1</v>
      </c>
      <c r="H153" s="10" t="s">
        <v>21</v>
      </c>
      <c r="I153" s="10" t="s">
        <v>38</v>
      </c>
      <c r="J153" s="10" t="str">
        <f>""</f>
        <v/>
      </c>
      <c r="K153" s="10" t="str">
        <f>"PFES1162628636_0001"</f>
        <v>PFES1162628636_0001</v>
      </c>
      <c r="L153" s="10">
        <v>1</v>
      </c>
      <c r="M153" s="10">
        <v>1</v>
      </c>
    </row>
    <row r="154" spans="1:13">
      <c r="A154" s="8">
        <v>43262</v>
      </c>
      <c r="B154" s="9">
        <v>0.43888888888888888</v>
      </c>
      <c r="C154" s="10" t="str">
        <f>"FES1162628614"</f>
        <v>FES1162628614</v>
      </c>
      <c r="D154" s="10" t="s">
        <v>19</v>
      </c>
      <c r="E154" s="10" t="s">
        <v>206</v>
      </c>
      <c r="F154" s="10" t="str">
        <f>"2170627476 "</f>
        <v xml:space="preserve">2170627476 </v>
      </c>
      <c r="G154" s="10" t="str">
        <f t="shared" si="6"/>
        <v>ON1</v>
      </c>
      <c r="H154" s="10" t="s">
        <v>21</v>
      </c>
      <c r="I154" s="10" t="s">
        <v>207</v>
      </c>
      <c r="J154" s="10" t="str">
        <f>""</f>
        <v/>
      </c>
      <c r="K154" s="10" t="str">
        <f>"PFES1162628614_0001"</f>
        <v>PFES1162628614_0001</v>
      </c>
      <c r="L154" s="10">
        <v>1</v>
      </c>
      <c r="M154" s="10">
        <v>1</v>
      </c>
    </row>
    <row r="155" spans="1:13">
      <c r="A155" s="8">
        <v>43262</v>
      </c>
      <c r="B155" s="9">
        <v>0.43888888888888888</v>
      </c>
      <c r="C155" s="10" t="str">
        <f>"FES1162628718"</f>
        <v>FES1162628718</v>
      </c>
      <c r="D155" s="10" t="s">
        <v>19</v>
      </c>
      <c r="E155" s="10" t="s">
        <v>208</v>
      </c>
      <c r="F155" s="10" t="str">
        <f>"2170633342 "</f>
        <v xml:space="preserve">2170633342 </v>
      </c>
      <c r="G155" s="10" t="str">
        <f t="shared" si="6"/>
        <v>ON1</v>
      </c>
      <c r="H155" s="10" t="s">
        <v>21</v>
      </c>
      <c r="I155" s="10" t="s">
        <v>209</v>
      </c>
      <c r="J155" s="10" t="str">
        <f>""</f>
        <v/>
      </c>
      <c r="K155" s="10" t="str">
        <f>"PFES1162628718_0001"</f>
        <v>PFES1162628718_0001</v>
      </c>
      <c r="L155" s="10">
        <v>1</v>
      </c>
      <c r="M155" s="10">
        <v>2</v>
      </c>
    </row>
    <row r="156" spans="1:13">
      <c r="A156" s="8">
        <v>43262</v>
      </c>
      <c r="B156" s="9">
        <v>0.4381944444444445</v>
      </c>
      <c r="C156" s="10" t="str">
        <f>"FES1162628668"</f>
        <v>FES1162628668</v>
      </c>
      <c r="D156" s="10" t="s">
        <v>19</v>
      </c>
      <c r="E156" s="10" t="s">
        <v>210</v>
      </c>
      <c r="F156" s="10" t="str">
        <f>"21706357777 "</f>
        <v xml:space="preserve">21706357777 </v>
      </c>
      <c r="G156" s="10" t="str">
        <f t="shared" si="6"/>
        <v>ON1</v>
      </c>
      <c r="H156" s="10" t="s">
        <v>21</v>
      </c>
      <c r="I156" s="10" t="s">
        <v>211</v>
      </c>
      <c r="J156" s="10" t="str">
        <f>""</f>
        <v/>
      </c>
      <c r="K156" s="10" t="str">
        <f>"PFES1162628668_0001"</f>
        <v>PFES1162628668_0001</v>
      </c>
      <c r="L156" s="10">
        <v>1</v>
      </c>
      <c r="M156" s="10">
        <v>1</v>
      </c>
    </row>
    <row r="157" spans="1:13">
      <c r="A157" s="8">
        <v>43262</v>
      </c>
      <c r="B157" s="9">
        <v>0.4375</v>
      </c>
      <c r="C157" s="10" t="str">
        <f>"FES1162628711"</f>
        <v>FES1162628711</v>
      </c>
      <c r="D157" s="10" t="s">
        <v>19</v>
      </c>
      <c r="E157" s="10" t="s">
        <v>117</v>
      </c>
      <c r="F157" s="10" t="str">
        <f>"2170631518 "</f>
        <v xml:space="preserve">2170631518 </v>
      </c>
      <c r="G157" s="10" t="str">
        <f t="shared" si="6"/>
        <v>ON1</v>
      </c>
      <c r="H157" s="10" t="s">
        <v>21</v>
      </c>
      <c r="I157" s="10" t="s">
        <v>118</v>
      </c>
      <c r="J157" s="10" t="str">
        <f>""</f>
        <v/>
      </c>
      <c r="K157" s="10" t="str">
        <f>"PFES1162628711_0001"</f>
        <v>PFES1162628711_0001</v>
      </c>
      <c r="L157" s="10">
        <v>1</v>
      </c>
      <c r="M157" s="10">
        <v>1</v>
      </c>
    </row>
    <row r="158" spans="1:13">
      <c r="A158" s="8">
        <v>43262</v>
      </c>
      <c r="B158" s="9">
        <v>0.4375</v>
      </c>
      <c r="C158" s="10" t="str">
        <f>"FES1162628638"</f>
        <v>FES1162628638</v>
      </c>
      <c r="D158" s="10" t="s">
        <v>19</v>
      </c>
      <c r="E158" s="10" t="s">
        <v>193</v>
      </c>
      <c r="F158" s="10" t="str">
        <f>"2170634764 "</f>
        <v xml:space="preserve">2170634764 </v>
      </c>
      <c r="G158" s="10" t="str">
        <f t="shared" si="6"/>
        <v>ON1</v>
      </c>
      <c r="H158" s="10" t="s">
        <v>21</v>
      </c>
      <c r="I158" s="10" t="s">
        <v>30</v>
      </c>
      <c r="J158" s="10" t="str">
        <f>""</f>
        <v/>
      </c>
      <c r="K158" s="10" t="str">
        <f>"PFES1162628638_0001"</f>
        <v>PFES1162628638_0001</v>
      </c>
      <c r="L158" s="10">
        <v>1</v>
      </c>
      <c r="M158" s="10">
        <v>1</v>
      </c>
    </row>
    <row r="159" spans="1:13">
      <c r="A159" s="8">
        <v>43262</v>
      </c>
      <c r="B159" s="9">
        <v>0.4375</v>
      </c>
      <c r="C159" s="10" t="str">
        <f>"FES1162628681"</f>
        <v>FES1162628681</v>
      </c>
      <c r="D159" s="10" t="s">
        <v>19</v>
      </c>
      <c r="E159" s="10" t="s">
        <v>212</v>
      </c>
      <c r="F159" s="10" t="str">
        <f>"2170635657 "</f>
        <v xml:space="preserve">2170635657 </v>
      </c>
      <c r="G159" s="10" t="str">
        <f t="shared" si="6"/>
        <v>ON1</v>
      </c>
      <c r="H159" s="10" t="s">
        <v>21</v>
      </c>
      <c r="I159" s="10" t="s">
        <v>213</v>
      </c>
      <c r="J159" s="10" t="str">
        <f>""</f>
        <v/>
      </c>
      <c r="K159" s="10" t="str">
        <f>"PFES1162628681_0001"</f>
        <v>PFES1162628681_0001</v>
      </c>
      <c r="L159" s="10">
        <v>1</v>
      </c>
      <c r="M159" s="10">
        <v>1</v>
      </c>
    </row>
    <row r="160" spans="1:13">
      <c r="A160" s="8">
        <v>43262</v>
      </c>
      <c r="B160" s="9">
        <v>0.4368055555555555</v>
      </c>
      <c r="C160" s="10" t="str">
        <f>"FES1162628640"</f>
        <v>FES1162628640</v>
      </c>
      <c r="D160" s="10" t="s">
        <v>19</v>
      </c>
      <c r="E160" s="10" t="s">
        <v>214</v>
      </c>
      <c r="F160" s="10" t="str">
        <f>"2170635735 "</f>
        <v xml:space="preserve">2170635735 </v>
      </c>
      <c r="G160" s="10" t="str">
        <f t="shared" si="6"/>
        <v>ON1</v>
      </c>
      <c r="H160" s="10" t="s">
        <v>21</v>
      </c>
      <c r="I160" s="10" t="s">
        <v>215</v>
      </c>
      <c r="J160" s="10" t="str">
        <f>""</f>
        <v/>
      </c>
      <c r="K160" s="10" t="str">
        <f>"PFES1162628640_0001"</f>
        <v>PFES1162628640_0001</v>
      </c>
      <c r="L160" s="10">
        <v>1</v>
      </c>
      <c r="M160" s="10">
        <v>1</v>
      </c>
    </row>
    <row r="161" spans="1:13">
      <c r="A161" s="8">
        <v>43262</v>
      </c>
      <c r="B161" s="9">
        <v>0.4368055555555555</v>
      </c>
      <c r="C161" s="10" t="str">
        <f>"FES1162628660"</f>
        <v>FES1162628660</v>
      </c>
      <c r="D161" s="10" t="s">
        <v>19</v>
      </c>
      <c r="E161" s="10" t="s">
        <v>216</v>
      </c>
      <c r="F161" s="10" t="str">
        <f>"2170635768 "</f>
        <v xml:space="preserve">2170635768 </v>
      </c>
      <c r="G161" s="10" t="str">
        <f t="shared" si="6"/>
        <v>ON1</v>
      </c>
      <c r="H161" s="10" t="s">
        <v>21</v>
      </c>
      <c r="I161" s="10" t="s">
        <v>110</v>
      </c>
      <c r="J161" s="10" t="str">
        <f>""</f>
        <v/>
      </c>
      <c r="K161" s="10" t="str">
        <f>"PFES1162628660_0001"</f>
        <v>PFES1162628660_0001</v>
      </c>
      <c r="L161" s="10">
        <v>1</v>
      </c>
      <c r="M161" s="10">
        <v>1</v>
      </c>
    </row>
    <row r="162" spans="1:13">
      <c r="A162" s="8">
        <v>43262</v>
      </c>
      <c r="B162" s="9">
        <v>0.43611111111111112</v>
      </c>
      <c r="C162" s="10" t="str">
        <f>"FES1162628712"</f>
        <v>FES1162628712</v>
      </c>
      <c r="D162" s="10" t="s">
        <v>19</v>
      </c>
      <c r="E162" s="10" t="s">
        <v>217</v>
      </c>
      <c r="F162" s="10" t="str">
        <f>"2170631827 "</f>
        <v xml:space="preserve">2170631827 </v>
      </c>
      <c r="G162" s="10" t="str">
        <f t="shared" si="6"/>
        <v>ON1</v>
      </c>
      <c r="H162" s="10" t="s">
        <v>21</v>
      </c>
      <c r="I162" s="10" t="s">
        <v>36</v>
      </c>
      <c r="J162" s="10" t="str">
        <f>""</f>
        <v/>
      </c>
      <c r="K162" s="10" t="str">
        <f>"PFES1162628712_0001"</f>
        <v>PFES1162628712_0001</v>
      </c>
      <c r="L162" s="10">
        <v>1</v>
      </c>
      <c r="M162" s="10">
        <v>1</v>
      </c>
    </row>
    <row r="163" spans="1:13">
      <c r="A163" s="8">
        <v>43262</v>
      </c>
      <c r="B163" s="9">
        <v>0.43541666666666662</v>
      </c>
      <c r="C163" s="10" t="str">
        <f>"FES1162628653"</f>
        <v>FES1162628653</v>
      </c>
      <c r="D163" s="10" t="s">
        <v>19</v>
      </c>
      <c r="E163" s="10" t="s">
        <v>218</v>
      </c>
      <c r="F163" s="10" t="str">
        <f>"21706357555 "</f>
        <v xml:space="preserve">21706357555 </v>
      </c>
      <c r="G163" s="10" t="str">
        <f t="shared" si="6"/>
        <v>ON1</v>
      </c>
      <c r="H163" s="10" t="s">
        <v>21</v>
      </c>
      <c r="I163" s="10" t="s">
        <v>108</v>
      </c>
      <c r="J163" s="10" t="str">
        <f>""</f>
        <v/>
      </c>
      <c r="K163" s="10" t="str">
        <f>"PFES1162628653_0001"</f>
        <v>PFES1162628653_0001</v>
      </c>
      <c r="L163" s="10">
        <v>1</v>
      </c>
      <c r="M163" s="10">
        <v>1</v>
      </c>
    </row>
    <row r="164" spans="1:13">
      <c r="A164" s="8">
        <v>43262</v>
      </c>
      <c r="B164" s="9">
        <v>0.43472222222222223</v>
      </c>
      <c r="C164" s="10" t="str">
        <f>"FES1162628612"</f>
        <v>FES1162628612</v>
      </c>
      <c r="D164" s="10" t="s">
        <v>19</v>
      </c>
      <c r="E164" s="10" t="s">
        <v>219</v>
      </c>
      <c r="F164" s="10" t="str">
        <f>"2170635610 "</f>
        <v xml:space="preserve">2170635610 </v>
      </c>
      <c r="G164" s="10" t="str">
        <f t="shared" si="6"/>
        <v>ON1</v>
      </c>
      <c r="H164" s="10" t="s">
        <v>21</v>
      </c>
      <c r="I164" s="10" t="s">
        <v>220</v>
      </c>
      <c r="J164" s="10" t="str">
        <f>""</f>
        <v/>
      </c>
      <c r="K164" s="10" t="str">
        <f>"PFES1162628612_0001"</f>
        <v>PFES1162628612_0001</v>
      </c>
      <c r="L164" s="10">
        <v>1</v>
      </c>
      <c r="M164" s="10">
        <v>1</v>
      </c>
    </row>
    <row r="165" spans="1:13">
      <c r="A165" s="8">
        <v>43262</v>
      </c>
      <c r="B165" s="9">
        <v>0.43472222222222223</v>
      </c>
      <c r="C165" s="10" t="str">
        <f>"FES1162628622"</f>
        <v>FES1162628622</v>
      </c>
      <c r="D165" s="10" t="s">
        <v>19</v>
      </c>
      <c r="E165" s="10" t="s">
        <v>221</v>
      </c>
      <c r="F165" s="10" t="str">
        <f>"2170633652 "</f>
        <v xml:space="preserve">2170633652 </v>
      </c>
      <c r="G165" s="10" t="str">
        <f t="shared" si="6"/>
        <v>ON1</v>
      </c>
      <c r="H165" s="10" t="s">
        <v>21</v>
      </c>
      <c r="I165" s="10" t="s">
        <v>222</v>
      </c>
      <c r="J165" s="10" t="str">
        <f>""</f>
        <v/>
      </c>
      <c r="K165" s="10" t="str">
        <f>"PFES1162628622_0001"</f>
        <v>PFES1162628622_0001</v>
      </c>
      <c r="L165" s="10">
        <v>1</v>
      </c>
      <c r="M165" s="10">
        <v>1</v>
      </c>
    </row>
    <row r="166" spans="1:13">
      <c r="A166" s="8">
        <v>43262</v>
      </c>
      <c r="B166" s="9">
        <v>0.43402777777777773</v>
      </c>
      <c r="C166" s="10" t="str">
        <f>"FES1162628626"</f>
        <v>FES1162628626</v>
      </c>
      <c r="D166" s="10" t="s">
        <v>19</v>
      </c>
      <c r="E166" s="10" t="s">
        <v>223</v>
      </c>
      <c r="F166" s="10" t="str">
        <f>"2170634165 "</f>
        <v xml:space="preserve">2170634165 </v>
      </c>
      <c r="G166" s="10" t="str">
        <f t="shared" si="6"/>
        <v>ON1</v>
      </c>
      <c r="H166" s="10" t="s">
        <v>21</v>
      </c>
      <c r="I166" s="10" t="s">
        <v>224</v>
      </c>
      <c r="J166" s="10" t="str">
        <f>""</f>
        <v/>
      </c>
      <c r="K166" s="10" t="str">
        <f>"PFES1162628626_0001"</f>
        <v>PFES1162628626_0001</v>
      </c>
      <c r="L166" s="10">
        <v>1</v>
      </c>
      <c r="M166" s="10">
        <v>1</v>
      </c>
    </row>
    <row r="167" spans="1:13">
      <c r="A167" s="8">
        <v>43262</v>
      </c>
      <c r="B167" s="9">
        <v>0.43333333333333335</v>
      </c>
      <c r="C167" s="10" t="str">
        <f>"FES1162628635"</f>
        <v>FES1162628635</v>
      </c>
      <c r="D167" s="10" t="s">
        <v>19</v>
      </c>
      <c r="E167" s="10" t="s">
        <v>225</v>
      </c>
      <c r="F167" s="10" t="str">
        <f>"2170634553 "</f>
        <v xml:space="preserve">2170634553 </v>
      </c>
      <c r="G167" s="10" t="str">
        <f t="shared" si="6"/>
        <v>ON1</v>
      </c>
      <c r="H167" s="10" t="s">
        <v>21</v>
      </c>
      <c r="I167" s="10" t="s">
        <v>226</v>
      </c>
      <c r="J167" s="10" t="str">
        <f>""</f>
        <v/>
      </c>
      <c r="K167" s="10" t="str">
        <f>"PFES1162628635_0001"</f>
        <v>PFES1162628635_0001</v>
      </c>
      <c r="L167" s="10">
        <v>1</v>
      </c>
      <c r="M167" s="10">
        <v>1</v>
      </c>
    </row>
    <row r="168" spans="1:13">
      <c r="A168" s="8">
        <v>43262</v>
      </c>
      <c r="B168" s="9">
        <v>0.43333333333333335</v>
      </c>
      <c r="C168" s="10" t="str">
        <f>"FES1162628685"</f>
        <v>FES1162628685</v>
      </c>
      <c r="D168" s="10" t="s">
        <v>19</v>
      </c>
      <c r="E168" s="10" t="s">
        <v>227</v>
      </c>
      <c r="F168" s="10" t="str">
        <f>"2170635796 "</f>
        <v xml:space="preserve">2170635796 </v>
      </c>
      <c r="G168" s="10" t="str">
        <f t="shared" si="6"/>
        <v>ON1</v>
      </c>
      <c r="H168" s="10" t="s">
        <v>21</v>
      </c>
      <c r="I168" s="10" t="s">
        <v>228</v>
      </c>
      <c r="J168" s="10" t="str">
        <f>""</f>
        <v/>
      </c>
      <c r="K168" s="10" t="str">
        <f>"PFES1162628685_0001"</f>
        <v>PFES1162628685_0001</v>
      </c>
      <c r="L168" s="10">
        <v>1</v>
      </c>
      <c r="M168" s="10">
        <v>1</v>
      </c>
    </row>
    <row r="169" spans="1:13">
      <c r="A169" s="8">
        <v>43262</v>
      </c>
      <c r="B169" s="9">
        <v>0.43263888888888885</v>
      </c>
      <c r="C169" s="10" t="str">
        <f>"FES1162628637"</f>
        <v>FES1162628637</v>
      </c>
      <c r="D169" s="10" t="s">
        <v>19</v>
      </c>
      <c r="E169" s="10" t="s">
        <v>229</v>
      </c>
      <c r="F169" s="10" t="str">
        <f>"2170634759 "</f>
        <v xml:space="preserve">2170634759 </v>
      </c>
      <c r="G169" s="10" t="str">
        <f t="shared" si="6"/>
        <v>ON1</v>
      </c>
      <c r="H169" s="10" t="s">
        <v>21</v>
      </c>
      <c r="I169" s="10" t="s">
        <v>230</v>
      </c>
      <c r="J169" s="10" t="str">
        <f>""</f>
        <v/>
      </c>
      <c r="K169" s="10" t="str">
        <f>"PFES1162628637_0001"</f>
        <v>PFES1162628637_0001</v>
      </c>
      <c r="L169" s="10">
        <v>1</v>
      </c>
      <c r="M169" s="10">
        <v>1</v>
      </c>
    </row>
    <row r="170" spans="1:13">
      <c r="A170" s="8">
        <v>43262</v>
      </c>
      <c r="B170" s="9">
        <v>0.43194444444444446</v>
      </c>
      <c r="C170" s="10" t="str">
        <f>"FES1162628658"</f>
        <v>FES1162628658</v>
      </c>
      <c r="D170" s="10" t="s">
        <v>19</v>
      </c>
      <c r="E170" s="10" t="s">
        <v>231</v>
      </c>
      <c r="F170" s="10" t="str">
        <f>"2170635764 "</f>
        <v xml:space="preserve">2170635764 </v>
      </c>
      <c r="G170" s="10" t="str">
        <f t="shared" si="6"/>
        <v>ON1</v>
      </c>
      <c r="H170" s="10" t="s">
        <v>21</v>
      </c>
      <c r="I170" s="10" t="s">
        <v>154</v>
      </c>
      <c r="J170" s="10" t="str">
        <f>""</f>
        <v/>
      </c>
      <c r="K170" s="10" t="str">
        <f>"PFES1162628658_0001"</f>
        <v>PFES1162628658_0001</v>
      </c>
      <c r="L170" s="10">
        <v>1</v>
      </c>
      <c r="M170" s="10">
        <v>1</v>
      </c>
    </row>
    <row r="171" spans="1:13">
      <c r="A171" s="8">
        <v>43262</v>
      </c>
      <c r="B171" s="9">
        <v>0.43124999999999997</v>
      </c>
      <c r="C171" s="10" t="str">
        <f>"FES1162628674"</f>
        <v>FES1162628674</v>
      </c>
      <c r="D171" s="10" t="s">
        <v>19</v>
      </c>
      <c r="E171" s="10" t="s">
        <v>95</v>
      </c>
      <c r="F171" s="10" t="str">
        <f>"2170635783 "</f>
        <v xml:space="preserve">2170635783 </v>
      </c>
      <c r="G171" s="10" t="str">
        <f t="shared" si="6"/>
        <v>ON1</v>
      </c>
      <c r="H171" s="10" t="s">
        <v>21</v>
      </c>
      <c r="I171" s="10" t="s">
        <v>96</v>
      </c>
      <c r="J171" s="10" t="str">
        <f>""</f>
        <v/>
      </c>
      <c r="K171" s="10" t="str">
        <f>"PFES1162628674_0001"</f>
        <v>PFES1162628674_0001</v>
      </c>
      <c r="L171" s="10">
        <v>1</v>
      </c>
      <c r="M171" s="10">
        <v>1</v>
      </c>
    </row>
    <row r="172" spans="1:13">
      <c r="A172" s="8">
        <v>43262</v>
      </c>
      <c r="B172" s="9">
        <v>0.43124999999999997</v>
      </c>
      <c r="C172" s="10" t="str">
        <f>"FES1162628634"</f>
        <v>FES1162628634</v>
      </c>
      <c r="D172" s="10" t="s">
        <v>19</v>
      </c>
      <c r="E172" s="10" t="s">
        <v>232</v>
      </c>
      <c r="F172" s="10" t="str">
        <f>"2170634544 "</f>
        <v xml:space="preserve">2170634544 </v>
      </c>
      <c r="G172" s="10" t="str">
        <f t="shared" si="6"/>
        <v>ON1</v>
      </c>
      <c r="H172" s="10" t="s">
        <v>21</v>
      </c>
      <c r="I172" s="10" t="s">
        <v>233</v>
      </c>
      <c r="J172" s="10" t="str">
        <f>""</f>
        <v/>
      </c>
      <c r="K172" s="10" t="str">
        <f>"PFES1162628634_0001"</f>
        <v>PFES1162628634_0001</v>
      </c>
      <c r="L172" s="10">
        <v>1</v>
      </c>
      <c r="M172" s="10">
        <v>1</v>
      </c>
    </row>
    <row r="173" spans="1:13">
      <c r="A173" s="8">
        <v>43262</v>
      </c>
      <c r="B173" s="9">
        <v>0.43055555555555558</v>
      </c>
      <c r="C173" s="10" t="str">
        <f>"FES1162628678"</f>
        <v>FES1162628678</v>
      </c>
      <c r="D173" s="10" t="s">
        <v>19</v>
      </c>
      <c r="E173" s="10" t="s">
        <v>169</v>
      </c>
      <c r="F173" s="10" t="str">
        <f>"2170635790 "</f>
        <v xml:space="preserve">2170635790 </v>
      </c>
      <c r="G173" s="10" t="str">
        <f t="shared" si="6"/>
        <v>ON1</v>
      </c>
      <c r="H173" s="10" t="s">
        <v>21</v>
      </c>
      <c r="I173" s="10" t="s">
        <v>170</v>
      </c>
      <c r="J173" s="10" t="str">
        <f>""</f>
        <v/>
      </c>
      <c r="K173" s="10" t="str">
        <f>"PFES1162628678_0001"</f>
        <v>PFES1162628678_0001</v>
      </c>
      <c r="L173" s="10">
        <v>1</v>
      </c>
      <c r="M173" s="10">
        <v>1</v>
      </c>
    </row>
    <row r="174" spans="1:13">
      <c r="A174" s="8">
        <v>43262</v>
      </c>
      <c r="B174" s="9">
        <v>0.42986111111111108</v>
      </c>
      <c r="C174" s="10" t="str">
        <f>"FES1162628632"</f>
        <v>FES1162628632</v>
      </c>
      <c r="D174" s="10" t="s">
        <v>19</v>
      </c>
      <c r="E174" s="10" t="s">
        <v>234</v>
      </c>
      <c r="F174" s="10" t="str">
        <f>"2170634462 "</f>
        <v xml:space="preserve">2170634462 </v>
      </c>
      <c r="G174" s="10" t="str">
        <f t="shared" si="6"/>
        <v>ON1</v>
      </c>
      <c r="H174" s="10" t="s">
        <v>21</v>
      </c>
      <c r="I174" s="10" t="s">
        <v>104</v>
      </c>
      <c r="J174" s="10" t="str">
        <f>""</f>
        <v/>
      </c>
      <c r="K174" s="10" t="str">
        <f>"PFES1162628632_0001"</f>
        <v>PFES1162628632_0001</v>
      </c>
      <c r="L174" s="10">
        <v>1</v>
      </c>
      <c r="M174" s="10">
        <v>1</v>
      </c>
    </row>
    <row r="175" spans="1:13">
      <c r="A175" s="8">
        <v>43262</v>
      </c>
      <c r="B175" s="9">
        <v>0.4291666666666667</v>
      </c>
      <c r="C175" s="10" t="str">
        <f>"FES1162628691"</f>
        <v>FES1162628691</v>
      </c>
      <c r="D175" s="10" t="s">
        <v>19</v>
      </c>
      <c r="E175" s="10" t="s">
        <v>60</v>
      </c>
      <c r="F175" s="10" t="str">
        <f>"2170635805 "</f>
        <v xml:space="preserve">2170635805 </v>
      </c>
      <c r="G175" s="10" t="str">
        <f t="shared" si="6"/>
        <v>ON1</v>
      </c>
      <c r="H175" s="10" t="s">
        <v>21</v>
      </c>
      <c r="I175" s="10" t="s">
        <v>61</v>
      </c>
      <c r="J175" s="10" t="str">
        <f>""</f>
        <v/>
      </c>
      <c r="K175" s="10" t="str">
        <f>"PFES1162628691_0001"</f>
        <v>PFES1162628691_0001</v>
      </c>
      <c r="L175" s="10">
        <v>1</v>
      </c>
      <c r="M175" s="10">
        <v>1</v>
      </c>
    </row>
    <row r="176" spans="1:13">
      <c r="A176" s="8">
        <v>43262</v>
      </c>
      <c r="B176" s="9">
        <v>0.42291666666666666</v>
      </c>
      <c r="C176" s="10" t="str">
        <f>"FES1162628624"</f>
        <v>FES1162628624</v>
      </c>
      <c r="D176" s="10" t="s">
        <v>19</v>
      </c>
      <c r="E176" s="10" t="s">
        <v>235</v>
      </c>
      <c r="F176" s="10" t="str">
        <f>"2170633924 "</f>
        <v xml:space="preserve">2170633924 </v>
      </c>
      <c r="G176" s="10" t="str">
        <f t="shared" si="6"/>
        <v>ON1</v>
      </c>
      <c r="H176" s="10" t="s">
        <v>21</v>
      </c>
      <c r="I176" s="10" t="s">
        <v>174</v>
      </c>
      <c r="J176" s="10" t="str">
        <f>""</f>
        <v/>
      </c>
      <c r="K176" s="10" t="str">
        <f>"PFES1162628624_0001"</f>
        <v>PFES1162628624_0001</v>
      </c>
      <c r="L176" s="10">
        <v>1</v>
      </c>
      <c r="M176" s="10">
        <v>3</v>
      </c>
    </row>
    <row r="177" spans="1:13">
      <c r="A177" s="8">
        <v>43262</v>
      </c>
      <c r="B177" s="9">
        <v>0.42222222222222222</v>
      </c>
      <c r="C177" s="10" t="str">
        <f>"FES1162628666"</f>
        <v>FES1162628666</v>
      </c>
      <c r="D177" s="10" t="s">
        <v>19</v>
      </c>
      <c r="E177" s="10" t="s">
        <v>236</v>
      </c>
      <c r="F177" s="10" t="str">
        <f>"2170635774 "</f>
        <v xml:space="preserve">2170635774 </v>
      </c>
      <c r="G177" s="10" t="str">
        <f t="shared" si="6"/>
        <v>ON1</v>
      </c>
      <c r="H177" s="10" t="s">
        <v>21</v>
      </c>
      <c r="I177" s="10" t="s">
        <v>237</v>
      </c>
      <c r="J177" s="10" t="str">
        <f>""</f>
        <v/>
      </c>
      <c r="K177" s="10" t="str">
        <f>"PFES1162628666_0001"</f>
        <v>PFES1162628666_0001</v>
      </c>
      <c r="L177" s="10">
        <v>1</v>
      </c>
      <c r="M177" s="10">
        <v>1</v>
      </c>
    </row>
    <row r="178" spans="1:13">
      <c r="A178" s="8">
        <v>43262</v>
      </c>
      <c r="B178" s="9">
        <v>0.42083333333333334</v>
      </c>
      <c r="C178" s="10" t="str">
        <f>"FES1162628641"</f>
        <v>FES1162628641</v>
      </c>
      <c r="D178" s="10" t="s">
        <v>19</v>
      </c>
      <c r="E178" s="10" t="s">
        <v>169</v>
      </c>
      <c r="F178" s="10" t="str">
        <f>"2170635737 "</f>
        <v xml:space="preserve">2170635737 </v>
      </c>
      <c r="G178" s="10" t="str">
        <f t="shared" si="6"/>
        <v>ON1</v>
      </c>
      <c r="H178" s="10" t="s">
        <v>21</v>
      </c>
      <c r="I178" s="10" t="s">
        <v>170</v>
      </c>
      <c r="J178" s="10" t="str">
        <f>""</f>
        <v/>
      </c>
      <c r="K178" s="10" t="str">
        <f>"PFES1162628641_0001"</f>
        <v>PFES1162628641_0001</v>
      </c>
      <c r="L178" s="10">
        <v>1</v>
      </c>
      <c r="M178" s="10">
        <v>2</v>
      </c>
    </row>
    <row r="179" spans="1:13">
      <c r="A179" s="8">
        <v>43262</v>
      </c>
      <c r="B179" s="9">
        <v>0.4201388888888889</v>
      </c>
      <c r="C179" s="10" t="str">
        <f>"FES1162628644"</f>
        <v>FES1162628644</v>
      </c>
      <c r="D179" s="10" t="s">
        <v>19</v>
      </c>
      <c r="E179" s="10" t="s">
        <v>169</v>
      </c>
      <c r="F179" s="10" t="str">
        <f>"2170635742 "</f>
        <v xml:space="preserve">2170635742 </v>
      </c>
      <c r="G179" s="10" t="str">
        <f t="shared" si="6"/>
        <v>ON1</v>
      </c>
      <c r="H179" s="10" t="s">
        <v>21</v>
      </c>
      <c r="I179" s="10" t="s">
        <v>170</v>
      </c>
      <c r="J179" s="10" t="str">
        <f>""</f>
        <v/>
      </c>
      <c r="K179" s="10" t="str">
        <f>"PFES1162628644_0001"</f>
        <v>PFES1162628644_0001</v>
      </c>
      <c r="L179" s="10">
        <v>1</v>
      </c>
      <c r="M179" s="10">
        <v>2</v>
      </c>
    </row>
    <row r="180" spans="1:13">
      <c r="A180" s="8">
        <v>43262</v>
      </c>
      <c r="B180" s="9">
        <v>0.41944444444444445</v>
      </c>
      <c r="C180" s="10" t="str">
        <f>"FES1162628665"</f>
        <v>FES1162628665</v>
      </c>
      <c r="D180" s="10" t="s">
        <v>19</v>
      </c>
      <c r="E180" s="10" t="s">
        <v>67</v>
      </c>
      <c r="F180" s="10" t="str">
        <f>"2170635770 "</f>
        <v xml:space="preserve">2170635770 </v>
      </c>
      <c r="G180" s="10" t="str">
        <f t="shared" si="6"/>
        <v>ON1</v>
      </c>
      <c r="H180" s="10" t="s">
        <v>21</v>
      </c>
      <c r="I180" s="10" t="s">
        <v>238</v>
      </c>
      <c r="J180" s="10" t="str">
        <f>""</f>
        <v/>
      </c>
      <c r="K180" s="10" t="str">
        <f>"PFES1162628665_0001"</f>
        <v>PFES1162628665_0001</v>
      </c>
      <c r="L180" s="10">
        <v>1</v>
      </c>
      <c r="M180" s="10">
        <v>6</v>
      </c>
    </row>
    <row r="181" spans="1:13">
      <c r="A181" s="8">
        <v>43262</v>
      </c>
      <c r="B181" s="9">
        <v>0.41805555555555557</v>
      </c>
      <c r="C181" s="10" t="str">
        <f>"FES1162628683"</f>
        <v>FES1162628683</v>
      </c>
      <c r="D181" s="10" t="s">
        <v>19</v>
      </c>
      <c r="E181" s="10" t="s">
        <v>239</v>
      </c>
      <c r="F181" s="10" t="str">
        <f>"2170635793 "</f>
        <v xml:space="preserve">2170635793 </v>
      </c>
      <c r="G181" s="10" t="str">
        <f t="shared" si="6"/>
        <v>ON1</v>
      </c>
      <c r="H181" s="10" t="s">
        <v>21</v>
      </c>
      <c r="I181" s="10" t="s">
        <v>240</v>
      </c>
      <c r="J181" s="10" t="str">
        <f>""</f>
        <v/>
      </c>
      <c r="K181" s="10" t="str">
        <f>"PFES1162628683_0001"</f>
        <v>PFES1162628683_0001</v>
      </c>
      <c r="L181" s="10">
        <v>1</v>
      </c>
      <c r="M181" s="10">
        <v>1</v>
      </c>
    </row>
    <row r="182" spans="1:13">
      <c r="A182" s="8">
        <v>43262</v>
      </c>
      <c r="B182" s="9">
        <v>0.41666666666666669</v>
      </c>
      <c r="C182" s="10" t="str">
        <f>"FES1162628664"</f>
        <v>FES1162628664</v>
      </c>
      <c r="D182" s="10" t="s">
        <v>19</v>
      </c>
      <c r="E182" s="10" t="s">
        <v>35</v>
      </c>
      <c r="F182" s="10" t="str">
        <f>"2170635776 "</f>
        <v xml:space="preserve">2170635776 </v>
      </c>
      <c r="G182" s="10" t="str">
        <f t="shared" si="6"/>
        <v>ON1</v>
      </c>
      <c r="H182" s="10" t="s">
        <v>21</v>
      </c>
      <c r="I182" s="10" t="s">
        <v>36</v>
      </c>
      <c r="J182" s="10" t="str">
        <f>""</f>
        <v/>
      </c>
      <c r="K182" s="10" t="str">
        <f>"PFES1162628664_0001"</f>
        <v>PFES1162628664_0001</v>
      </c>
      <c r="L182" s="10">
        <v>1</v>
      </c>
      <c r="M182" s="10">
        <v>3</v>
      </c>
    </row>
    <row r="183" spans="1:13">
      <c r="A183" s="8">
        <v>43262</v>
      </c>
      <c r="B183" s="9">
        <v>0.4152777777777778</v>
      </c>
      <c r="C183" s="10" t="str">
        <f>"FES1162628679"</f>
        <v>FES1162628679</v>
      </c>
      <c r="D183" s="10" t="s">
        <v>19</v>
      </c>
      <c r="E183" s="10" t="s">
        <v>241</v>
      </c>
      <c r="F183" s="10" t="str">
        <f>"2170635791 "</f>
        <v xml:space="preserve">2170635791 </v>
      </c>
      <c r="G183" s="10" t="str">
        <f t="shared" si="6"/>
        <v>ON1</v>
      </c>
      <c r="H183" s="10" t="s">
        <v>21</v>
      </c>
      <c r="I183" s="10" t="s">
        <v>42</v>
      </c>
      <c r="J183" s="10" t="str">
        <f>""</f>
        <v/>
      </c>
      <c r="K183" s="10" t="str">
        <f>"PFES1162628679_0001"</f>
        <v>PFES1162628679_0001</v>
      </c>
      <c r="L183" s="10">
        <v>1</v>
      </c>
      <c r="M183" s="10">
        <v>2</v>
      </c>
    </row>
    <row r="184" spans="1:13">
      <c r="A184" s="8">
        <v>43262</v>
      </c>
      <c r="B184" s="9">
        <v>0.4145833333333333</v>
      </c>
      <c r="C184" s="10" t="str">
        <f>"FES1162628672"</f>
        <v>FES1162628672</v>
      </c>
      <c r="D184" s="10" t="s">
        <v>19</v>
      </c>
      <c r="E184" s="10" t="s">
        <v>67</v>
      </c>
      <c r="F184" s="10" t="str">
        <f>"2170635782 "</f>
        <v xml:space="preserve">2170635782 </v>
      </c>
      <c r="G184" s="10" t="str">
        <f t="shared" si="6"/>
        <v>ON1</v>
      </c>
      <c r="H184" s="10" t="s">
        <v>21</v>
      </c>
      <c r="I184" s="10" t="s">
        <v>46</v>
      </c>
      <c r="J184" s="10" t="str">
        <f>""</f>
        <v/>
      </c>
      <c r="K184" s="10" t="str">
        <f>"PFES1162628672_0001"</f>
        <v>PFES1162628672_0001</v>
      </c>
      <c r="L184" s="10">
        <v>1</v>
      </c>
      <c r="M184" s="10">
        <v>7</v>
      </c>
    </row>
    <row r="185" spans="1:13">
      <c r="A185" s="8">
        <v>43262</v>
      </c>
      <c r="B185" s="9">
        <v>0.41319444444444442</v>
      </c>
      <c r="C185" s="10" t="str">
        <f>"FES1162628675"</f>
        <v>FES1162628675</v>
      </c>
      <c r="D185" s="10" t="s">
        <v>19</v>
      </c>
      <c r="E185" s="10" t="s">
        <v>242</v>
      </c>
      <c r="F185" s="10" t="str">
        <f>"2170635785 "</f>
        <v xml:space="preserve">2170635785 </v>
      </c>
      <c r="G185" s="10" t="str">
        <f t="shared" si="6"/>
        <v>ON1</v>
      </c>
      <c r="H185" s="10" t="s">
        <v>21</v>
      </c>
      <c r="I185" s="10" t="s">
        <v>55</v>
      </c>
      <c r="J185" s="10" t="str">
        <f>""</f>
        <v/>
      </c>
      <c r="K185" s="10" t="str">
        <f>"PFES1162628675_0001"</f>
        <v>PFES1162628675_0001</v>
      </c>
      <c r="L185" s="10">
        <v>1</v>
      </c>
      <c r="M185" s="10">
        <v>16</v>
      </c>
    </row>
    <row r="186" spans="1:13">
      <c r="A186" s="8">
        <v>43263</v>
      </c>
      <c r="B186" s="9">
        <v>0.67152777777777783</v>
      </c>
      <c r="C186" s="10" t="str">
        <f>"FES1162629163"</f>
        <v>FES1162629163</v>
      </c>
      <c r="D186" s="10" t="s">
        <v>19</v>
      </c>
      <c r="E186" s="10" t="s">
        <v>243</v>
      </c>
      <c r="F186" s="10" t="str">
        <f>"2170636202 "</f>
        <v xml:space="preserve">2170636202 </v>
      </c>
      <c r="G186" s="10" t="str">
        <f t="shared" si="6"/>
        <v>ON1</v>
      </c>
      <c r="H186" s="10" t="s">
        <v>21</v>
      </c>
      <c r="I186" s="10" t="s">
        <v>110</v>
      </c>
      <c r="J186" s="10" t="str">
        <f>""</f>
        <v/>
      </c>
      <c r="K186" s="10" t="str">
        <f>"PFES1162629163_0001"</f>
        <v>PFES1162629163_0001</v>
      </c>
      <c r="L186" s="10">
        <v>1</v>
      </c>
      <c r="M186" s="10">
        <v>1</v>
      </c>
    </row>
    <row r="187" spans="1:13">
      <c r="A187" s="8">
        <v>43263</v>
      </c>
      <c r="B187" s="9">
        <v>0.67152777777777783</v>
      </c>
      <c r="C187" s="10" t="str">
        <f>"FES1162629190"</f>
        <v>FES1162629190</v>
      </c>
      <c r="D187" s="10" t="s">
        <v>19</v>
      </c>
      <c r="E187" s="10" t="s">
        <v>244</v>
      </c>
      <c r="F187" s="10" t="str">
        <f>"2170636193 "</f>
        <v xml:space="preserve">2170636193 </v>
      </c>
      <c r="G187" s="10" t="str">
        <f t="shared" si="6"/>
        <v>ON1</v>
      </c>
      <c r="H187" s="10" t="s">
        <v>21</v>
      </c>
      <c r="I187" s="10" t="s">
        <v>112</v>
      </c>
      <c r="J187" s="10" t="str">
        <f>""</f>
        <v/>
      </c>
      <c r="K187" s="10" t="str">
        <f>"PFES1162629190_0001"</f>
        <v>PFES1162629190_0001</v>
      </c>
      <c r="L187" s="10">
        <v>1</v>
      </c>
      <c r="M187" s="10">
        <v>1</v>
      </c>
    </row>
    <row r="188" spans="1:13">
      <c r="A188" s="8">
        <v>43263</v>
      </c>
      <c r="B188" s="9">
        <v>0.67083333333333339</v>
      </c>
      <c r="C188" s="10" t="str">
        <f>"FES1162629017"</f>
        <v>FES1162629017</v>
      </c>
      <c r="D188" s="10" t="s">
        <v>19</v>
      </c>
      <c r="E188" s="10" t="s">
        <v>245</v>
      </c>
      <c r="F188" s="10" t="str">
        <f>"2170635617 "</f>
        <v xml:space="preserve">2170635617 </v>
      </c>
      <c r="G188" s="10" t="str">
        <f t="shared" si="6"/>
        <v>ON1</v>
      </c>
      <c r="H188" s="10" t="s">
        <v>21</v>
      </c>
      <c r="I188" s="10" t="s">
        <v>246</v>
      </c>
      <c r="J188" s="10" t="str">
        <f>""</f>
        <v/>
      </c>
      <c r="K188" s="10" t="str">
        <f>"PFES1162629017_0001"</f>
        <v>PFES1162629017_0001</v>
      </c>
      <c r="L188" s="10">
        <v>1</v>
      </c>
      <c r="M188" s="10">
        <v>7</v>
      </c>
    </row>
    <row r="189" spans="1:13">
      <c r="A189" s="8">
        <v>43263</v>
      </c>
      <c r="B189" s="9">
        <v>0.67083333333333339</v>
      </c>
      <c r="C189" s="10" t="str">
        <f>"FES1162629133"</f>
        <v>FES1162629133</v>
      </c>
      <c r="D189" s="10" t="s">
        <v>19</v>
      </c>
      <c r="E189" s="10" t="s">
        <v>247</v>
      </c>
      <c r="F189" s="10" t="str">
        <f>"2170636157 "</f>
        <v xml:space="preserve">2170636157 </v>
      </c>
      <c r="G189" s="10" t="str">
        <f t="shared" si="6"/>
        <v>ON1</v>
      </c>
      <c r="H189" s="10" t="s">
        <v>21</v>
      </c>
      <c r="I189" s="10" t="s">
        <v>248</v>
      </c>
      <c r="J189" s="10" t="str">
        <f>""</f>
        <v/>
      </c>
      <c r="K189" s="10" t="str">
        <f>"PFES1162629133_0001"</f>
        <v>PFES1162629133_0001</v>
      </c>
      <c r="L189" s="10">
        <v>1</v>
      </c>
      <c r="M189" s="10">
        <v>1</v>
      </c>
    </row>
    <row r="190" spans="1:13">
      <c r="A190" s="8">
        <v>43263</v>
      </c>
      <c r="B190" s="9">
        <v>0.67013888888888884</v>
      </c>
      <c r="C190" s="10" t="str">
        <f>"FES1162629117"</f>
        <v>FES1162629117</v>
      </c>
      <c r="D190" s="10" t="s">
        <v>19</v>
      </c>
      <c r="E190" s="10" t="s">
        <v>31</v>
      </c>
      <c r="F190" s="10" t="str">
        <f>"2170636148 "</f>
        <v xml:space="preserve">2170636148 </v>
      </c>
      <c r="G190" s="10" t="str">
        <f t="shared" si="6"/>
        <v>ON1</v>
      </c>
      <c r="H190" s="10" t="s">
        <v>21</v>
      </c>
      <c r="I190" s="10" t="s">
        <v>32</v>
      </c>
      <c r="J190" s="10" t="str">
        <f>""</f>
        <v/>
      </c>
      <c r="K190" s="10" t="str">
        <f>"PFES1162629117_0001"</f>
        <v>PFES1162629117_0001</v>
      </c>
      <c r="L190" s="10">
        <v>1</v>
      </c>
      <c r="M190" s="10">
        <v>1</v>
      </c>
    </row>
    <row r="191" spans="1:13">
      <c r="A191" s="8">
        <v>43263</v>
      </c>
      <c r="B191" s="9">
        <v>0.67013888888888884</v>
      </c>
      <c r="C191" s="10" t="str">
        <f>"FES1162629136"</f>
        <v>FES1162629136</v>
      </c>
      <c r="D191" s="10" t="s">
        <v>19</v>
      </c>
      <c r="E191" s="10" t="s">
        <v>249</v>
      </c>
      <c r="F191" s="10" t="str">
        <f>"2170636171 "</f>
        <v xml:space="preserve">2170636171 </v>
      </c>
      <c r="G191" s="10" t="str">
        <f t="shared" si="6"/>
        <v>ON1</v>
      </c>
      <c r="H191" s="10" t="s">
        <v>21</v>
      </c>
      <c r="I191" s="10" t="s">
        <v>59</v>
      </c>
      <c r="J191" s="10" t="str">
        <f>""</f>
        <v/>
      </c>
      <c r="K191" s="10" t="str">
        <f>"PFES1162629136_0001"</f>
        <v>PFES1162629136_0001</v>
      </c>
      <c r="L191" s="10">
        <v>1</v>
      </c>
      <c r="M191" s="10">
        <v>1</v>
      </c>
    </row>
    <row r="192" spans="1:13">
      <c r="A192" s="8">
        <v>43263</v>
      </c>
      <c r="B192" s="9">
        <v>0.67013888888888884</v>
      </c>
      <c r="C192" s="10" t="str">
        <f>"FES1162629201"</f>
        <v>FES1162629201</v>
      </c>
      <c r="D192" s="10" t="s">
        <v>19</v>
      </c>
      <c r="E192" s="10" t="s">
        <v>95</v>
      </c>
      <c r="F192" s="10" t="str">
        <f>"2170636246 "</f>
        <v xml:space="preserve">2170636246 </v>
      </c>
      <c r="G192" s="10" t="str">
        <f t="shared" si="6"/>
        <v>ON1</v>
      </c>
      <c r="H192" s="10" t="s">
        <v>21</v>
      </c>
      <c r="I192" s="10" t="s">
        <v>96</v>
      </c>
      <c r="J192" s="10" t="str">
        <f>""</f>
        <v/>
      </c>
      <c r="K192" s="10" t="str">
        <f>"PFES1162629201_0001"</f>
        <v>PFES1162629201_0001</v>
      </c>
      <c r="L192" s="10">
        <v>1</v>
      </c>
      <c r="M192" s="10">
        <v>12</v>
      </c>
    </row>
    <row r="193" spans="1:13">
      <c r="A193" s="8">
        <v>43263</v>
      </c>
      <c r="B193" s="9">
        <v>0.6694444444444444</v>
      </c>
      <c r="C193" s="10" t="str">
        <f>"FES1162629031"</f>
        <v>FES1162629031</v>
      </c>
      <c r="D193" s="10" t="s">
        <v>19</v>
      </c>
      <c r="E193" s="10" t="s">
        <v>250</v>
      </c>
      <c r="F193" s="10" t="str">
        <f>"2170634162 "</f>
        <v xml:space="preserve">2170634162 </v>
      </c>
      <c r="G193" s="10" t="str">
        <f t="shared" si="6"/>
        <v>ON1</v>
      </c>
      <c r="H193" s="10" t="s">
        <v>21</v>
      </c>
      <c r="I193" s="10" t="s">
        <v>251</v>
      </c>
      <c r="J193" s="10" t="str">
        <f>""</f>
        <v/>
      </c>
      <c r="K193" s="10" t="str">
        <f>"PFES1162629031_0001"</f>
        <v>PFES1162629031_0001</v>
      </c>
      <c r="L193" s="10">
        <v>1</v>
      </c>
      <c r="M193" s="10">
        <v>1</v>
      </c>
    </row>
    <row r="194" spans="1:13">
      <c r="A194" s="8">
        <v>43263</v>
      </c>
      <c r="B194" s="9">
        <v>0.66875000000000007</v>
      </c>
      <c r="C194" s="10" t="str">
        <f>"FES1162629196"</f>
        <v>FES1162629196</v>
      </c>
      <c r="D194" s="10" t="s">
        <v>19</v>
      </c>
      <c r="E194" s="10" t="s">
        <v>123</v>
      </c>
      <c r="F194" s="10" t="str">
        <f>"2170636245 "</f>
        <v xml:space="preserve">2170636245 </v>
      </c>
      <c r="G194" s="10" t="str">
        <f t="shared" si="6"/>
        <v>ON1</v>
      </c>
      <c r="H194" s="10" t="s">
        <v>21</v>
      </c>
      <c r="I194" s="10" t="s">
        <v>26</v>
      </c>
      <c r="J194" s="10" t="str">
        <f>""</f>
        <v/>
      </c>
      <c r="K194" s="10" t="str">
        <f>"PFES1162629196_0001"</f>
        <v>PFES1162629196_0001</v>
      </c>
      <c r="L194" s="10">
        <v>1</v>
      </c>
      <c r="M194" s="10">
        <v>1</v>
      </c>
    </row>
    <row r="195" spans="1:13">
      <c r="A195" s="8">
        <v>43263</v>
      </c>
      <c r="B195" s="9">
        <v>0.66875000000000007</v>
      </c>
      <c r="C195" s="10" t="str">
        <f>"FES1162629202"</f>
        <v>FES1162629202</v>
      </c>
      <c r="D195" s="10" t="s">
        <v>19</v>
      </c>
      <c r="E195" s="10" t="s">
        <v>252</v>
      </c>
      <c r="F195" s="10" t="str">
        <f>"2170635250 "</f>
        <v xml:space="preserve">2170635250 </v>
      </c>
      <c r="G195" s="10" t="str">
        <f t="shared" si="6"/>
        <v>ON1</v>
      </c>
      <c r="H195" s="10" t="s">
        <v>21</v>
      </c>
      <c r="I195" s="10" t="s">
        <v>253</v>
      </c>
      <c r="J195" s="10" t="str">
        <f>""</f>
        <v/>
      </c>
      <c r="K195" s="10" t="str">
        <f>"PFES1162629202_0001"</f>
        <v>PFES1162629202_0001</v>
      </c>
      <c r="L195" s="10">
        <v>1</v>
      </c>
      <c r="M195" s="10">
        <v>1</v>
      </c>
    </row>
    <row r="196" spans="1:13">
      <c r="A196" s="8">
        <v>43263</v>
      </c>
      <c r="B196" s="9">
        <v>0.66805555555555562</v>
      </c>
      <c r="C196" s="10" t="str">
        <f>"FES1162629195"</f>
        <v>FES1162629195</v>
      </c>
      <c r="D196" s="10" t="s">
        <v>19</v>
      </c>
      <c r="E196" s="10" t="s">
        <v>254</v>
      </c>
      <c r="F196" s="10" t="str">
        <f>"2170636242 "</f>
        <v xml:space="preserve">2170636242 </v>
      </c>
      <c r="G196" s="10" t="str">
        <f t="shared" si="6"/>
        <v>ON1</v>
      </c>
      <c r="H196" s="10" t="s">
        <v>21</v>
      </c>
      <c r="I196" s="10" t="s">
        <v>255</v>
      </c>
      <c r="J196" s="10" t="str">
        <f>""</f>
        <v/>
      </c>
      <c r="K196" s="10" t="str">
        <f>"PFES1162629195_0001"</f>
        <v>PFES1162629195_0001</v>
      </c>
      <c r="L196" s="10">
        <v>1</v>
      </c>
      <c r="M196" s="10">
        <v>2</v>
      </c>
    </row>
    <row r="197" spans="1:13">
      <c r="A197" s="8">
        <v>43263</v>
      </c>
      <c r="B197" s="9">
        <v>0.66805555555555562</v>
      </c>
      <c r="C197" s="10" t="str">
        <f>"FES1162628984"</f>
        <v>FES1162628984</v>
      </c>
      <c r="D197" s="10" t="s">
        <v>19</v>
      </c>
      <c r="E197" s="10" t="s">
        <v>163</v>
      </c>
      <c r="F197" s="10" t="str">
        <f>"2170633852 "</f>
        <v xml:space="preserve">2170633852 </v>
      </c>
      <c r="G197" s="10" t="str">
        <f t="shared" si="6"/>
        <v>ON1</v>
      </c>
      <c r="H197" s="10" t="s">
        <v>21</v>
      </c>
      <c r="I197" s="10" t="s">
        <v>51</v>
      </c>
      <c r="J197" s="10" t="str">
        <f>""</f>
        <v/>
      </c>
      <c r="K197" s="10" t="str">
        <f>"PFES1162628984_0001"</f>
        <v>PFES1162628984_0001</v>
      </c>
      <c r="L197" s="10">
        <v>1</v>
      </c>
      <c r="M197" s="10">
        <v>1</v>
      </c>
    </row>
    <row r="198" spans="1:13">
      <c r="A198" s="8">
        <v>43263</v>
      </c>
      <c r="B198" s="9">
        <v>0.66736111111111107</v>
      </c>
      <c r="C198" s="10" t="str">
        <f>"FES1162629191"</f>
        <v>FES1162629191</v>
      </c>
      <c r="D198" s="10" t="s">
        <v>19</v>
      </c>
      <c r="E198" s="10" t="s">
        <v>256</v>
      </c>
      <c r="F198" s="10" t="str">
        <f>"2170636230 "</f>
        <v xml:space="preserve">2170636230 </v>
      </c>
      <c r="G198" s="10" t="str">
        <f t="shared" si="6"/>
        <v>ON1</v>
      </c>
      <c r="H198" s="10" t="s">
        <v>21</v>
      </c>
      <c r="I198" s="10" t="s">
        <v>230</v>
      </c>
      <c r="J198" s="10" t="str">
        <f>""</f>
        <v/>
      </c>
      <c r="K198" s="10" t="str">
        <f>"PFES1162629191_0001"</f>
        <v>PFES1162629191_0001</v>
      </c>
      <c r="L198" s="10">
        <v>1</v>
      </c>
      <c r="M198" s="10">
        <v>1</v>
      </c>
    </row>
    <row r="199" spans="1:13">
      <c r="A199" s="8">
        <v>43263</v>
      </c>
      <c r="B199" s="9">
        <v>0.66736111111111107</v>
      </c>
      <c r="C199" s="10" t="str">
        <f>"FES1162629181"</f>
        <v>FES1162629181</v>
      </c>
      <c r="D199" s="10" t="s">
        <v>19</v>
      </c>
      <c r="E199" s="10" t="s">
        <v>257</v>
      </c>
      <c r="F199" s="10" t="str">
        <f>"2170636227 "</f>
        <v xml:space="preserve">2170636227 </v>
      </c>
      <c r="G199" s="10" t="str">
        <f t="shared" si="6"/>
        <v>ON1</v>
      </c>
      <c r="H199" s="10" t="s">
        <v>21</v>
      </c>
      <c r="I199" s="10" t="s">
        <v>258</v>
      </c>
      <c r="J199" s="10" t="str">
        <f>""</f>
        <v/>
      </c>
      <c r="K199" s="10" t="str">
        <f>"PFES1162629181_0001"</f>
        <v>PFES1162629181_0001</v>
      </c>
      <c r="L199" s="10">
        <v>1</v>
      </c>
      <c r="M199" s="10">
        <v>2</v>
      </c>
    </row>
    <row r="200" spans="1:13">
      <c r="A200" s="8">
        <v>43263</v>
      </c>
      <c r="B200" s="9">
        <v>0.66597222222222219</v>
      </c>
      <c r="C200" s="10" t="str">
        <f>"FES1162629080"</f>
        <v>FES1162629080</v>
      </c>
      <c r="D200" s="10" t="s">
        <v>19</v>
      </c>
      <c r="E200" s="10" t="s">
        <v>259</v>
      </c>
      <c r="F200" s="10" t="str">
        <f>"2170635848 "</f>
        <v xml:space="preserve">2170635848 </v>
      </c>
      <c r="G200" s="10" t="str">
        <f t="shared" si="6"/>
        <v>ON1</v>
      </c>
      <c r="H200" s="10" t="s">
        <v>21</v>
      </c>
      <c r="I200" s="10" t="s">
        <v>260</v>
      </c>
      <c r="J200" s="10" t="str">
        <f>""</f>
        <v/>
      </c>
      <c r="K200" s="10" t="str">
        <f>"PFES1162629080_0001"</f>
        <v>PFES1162629080_0001</v>
      </c>
      <c r="L200" s="10">
        <v>1</v>
      </c>
      <c r="M200" s="10">
        <v>2</v>
      </c>
    </row>
    <row r="201" spans="1:13">
      <c r="A201" s="8">
        <v>43263</v>
      </c>
      <c r="B201" s="9">
        <v>0.65763888888888888</v>
      </c>
      <c r="C201" s="10" t="str">
        <f>"FES1162629160"</f>
        <v>FES1162629160</v>
      </c>
      <c r="D201" s="10" t="s">
        <v>19</v>
      </c>
      <c r="E201" s="10" t="s">
        <v>261</v>
      </c>
      <c r="F201" s="10" t="str">
        <f>"2170636197 "</f>
        <v xml:space="preserve">2170636197 </v>
      </c>
      <c r="G201" s="10" t="str">
        <f t="shared" si="6"/>
        <v>ON1</v>
      </c>
      <c r="H201" s="10" t="s">
        <v>21</v>
      </c>
      <c r="I201" s="10" t="s">
        <v>262</v>
      </c>
      <c r="J201" s="10" t="str">
        <f>""</f>
        <v/>
      </c>
      <c r="K201" s="10" t="str">
        <f>"PFES1162629160_0001"</f>
        <v>PFES1162629160_0001</v>
      </c>
      <c r="L201" s="10">
        <v>1</v>
      </c>
      <c r="M201" s="10">
        <v>4</v>
      </c>
    </row>
    <row r="202" spans="1:13">
      <c r="A202" s="8">
        <v>43263</v>
      </c>
      <c r="B202" s="9">
        <v>0.65694444444444444</v>
      </c>
      <c r="C202" s="10" t="str">
        <f>"FES1162628946"</f>
        <v>FES1162628946</v>
      </c>
      <c r="D202" s="10" t="s">
        <v>19</v>
      </c>
      <c r="E202" s="10" t="s">
        <v>263</v>
      </c>
      <c r="F202" s="10" t="str">
        <f>"2170636041 "</f>
        <v xml:space="preserve">2170636041 </v>
      </c>
      <c r="G202" s="10" t="str">
        <f t="shared" si="6"/>
        <v>ON1</v>
      </c>
      <c r="H202" s="10" t="s">
        <v>21</v>
      </c>
      <c r="I202" s="10" t="s">
        <v>230</v>
      </c>
      <c r="J202" s="10" t="str">
        <f>""</f>
        <v/>
      </c>
      <c r="K202" s="10" t="str">
        <f>"PFES1162628946_0001"</f>
        <v>PFES1162628946_0001</v>
      </c>
      <c r="L202" s="10">
        <v>1</v>
      </c>
      <c r="M202" s="10">
        <v>1</v>
      </c>
    </row>
    <row r="203" spans="1:13">
      <c r="A203" s="8">
        <v>43263</v>
      </c>
      <c r="B203" s="9">
        <v>0.65486111111111112</v>
      </c>
      <c r="C203" s="10" t="str">
        <f>"FES1162629019"</f>
        <v>FES1162629019</v>
      </c>
      <c r="D203" s="10" t="s">
        <v>19</v>
      </c>
      <c r="E203" s="10" t="s">
        <v>264</v>
      </c>
      <c r="F203" s="10" t="str">
        <f>"2170635788 "</f>
        <v xml:space="preserve">2170635788 </v>
      </c>
      <c r="G203" s="10" t="str">
        <f t="shared" si="6"/>
        <v>ON1</v>
      </c>
      <c r="H203" s="10" t="s">
        <v>21</v>
      </c>
      <c r="I203" s="10" t="s">
        <v>265</v>
      </c>
      <c r="J203" s="10" t="str">
        <f>""</f>
        <v/>
      </c>
      <c r="K203" s="10" t="str">
        <f>"PFES1162629019_0001"</f>
        <v>PFES1162629019_0001</v>
      </c>
      <c r="L203" s="10">
        <v>1</v>
      </c>
      <c r="M203" s="10">
        <v>3</v>
      </c>
    </row>
    <row r="204" spans="1:13">
      <c r="A204" s="8">
        <v>43263</v>
      </c>
      <c r="B204" s="9">
        <v>0.65347222222222223</v>
      </c>
      <c r="C204" s="10" t="str">
        <f>"FES1162628834"</f>
        <v>FES1162628834</v>
      </c>
      <c r="D204" s="10" t="s">
        <v>19</v>
      </c>
      <c r="E204" s="10" t="s">
        <v>266</v>
      </c>
      <c r="F204" s="10" t="str">
        <f>"2170635587 "</f>
        <v xml:space="preserve">2170635587 </v>
      </c>
      <c r="G204" s="10" t="str">
        <f t="shared" si="6"/>
        <v>ON1</v>
      </c>
      <c r="H204" s="10" t="s">
        <v>21</v>
      </c>
      <c r="I204" s="10" t="s">
        <v>267</v>
      </c>
      <c r="J204" s="10" t="str">
        <f>""</f>
        <v/>
      </c>
      <c r="K204" s="10" t="str">
        <f>"PFES1162628834_0001"</f>
        <v>PFES1162628834_0001</v>
      </c>
      <c r="L204" s="10">
        <v>1</v>
      </c>
      <c r="M204" s="10">
        <v>19</v>
      </c>
    </row>
    <row r="205" spans="1:13">
      <c r="A205" s="8">
        <v>43263</v>
      </c>
      <c r="B205" s="9">
        <v>0.65138888888888891</v>
      </c>
      <c r="C205" s="10" t="str">
        <f>"FES1162629188"</f>
        <v>FES1162629188</v>
      </c>
      <c r="D205" s="10" t="s">
        <v>19</v>
      </c>
      <c r="E205" s="10" t="s">
        <v>169</v>
      </c>
      <c r="F205" s="10" t="str">
        <f>"217063625 "</f>
        <v xml:space="preserve">217063625 </v>
      </c>
      <c r="G205" s="10" t="str">
        <f t="shared" si="6"/>
        <v>ON1</v>
      </c>
      <c r="H205" s="10" t="s">
        <v>21</v>
      </c>
      <c r="I205" s="10" t="s">
        <v>170</v>
      </c>
      <c r="J205" s="10" t="str">
        <f>""</f>
        <v/>
      </c>
      <c r="K205" s="10" t="str">
        <f>"PFES1162629188_0001"</f>
        <v>PFES1162629188_0001</v>
      </c>
      <c r="L205" s="10">
        <v>1</v>
      </c>
      <c r="M205" s="10">
        <v>1</v>
      </c>
    </row>
    <row r="206" spans="1:13">
      <c r="A206" s="8">
        <v>43263</v>
      </c>
      <c r="B206" s="9">
        <v>0.65069444444444446</v>
      </c>
      <c r="C206" s="10" t="str">
        <f>"FES1162629132"</f>
        <v>FES1162629132</v>
      </c>
      <c r="D206" s="10" t="s">
        <v>19</v>
      </c>
      <c r="E206" s="10" t="s">
        <v>247</v>
      </c>
      <c r="F206" s="10" t="str">
        <f>"2170636156 "</f>
        <v xml:space="preserve">2170636156 </v>
      </c>
      <c r="G206" s="10" t="str">
        <f t="shared" si="6"/>
        <v>ON1</v>
      </c>
      <c r="H206" s="10" t="s">
        <v>21</v>
      </c>
      <c r="I206" s="10" t="s">
        <v>248</v>
      </c>
      <c r="J206" s="10" t="str">
        <f>""</f>
        <v/>
      </c>
      <c r="K206" s="10" t="str">
        <f>"PFES1162629132_0001"</f>
        <v>PFES1162629132_0001</v>
      </c>
      <c r="L206" s="10">
        <v>1</v>
      </c>
      <c r="M206" s="10">
        <v>2</v>
      </c>
    </row>
    <row r="207" spans="1:13">
      <c r="A207" s="8">
        <v>43263</v>
      </c>
      <c r="B207" s="9">
        <v>0.65069444444444446</v>
      </c>
      <c r="C207" s="10" t="str">
        <f>"FES1162629177"</f>
        <v>FES1162629177</v>
      </c>
      <c r="D207" s="10" t="s">
        <v>19</v>
      </c>
      <c r="E207" s="10" t="s">
        <v>268</v>
      </c>
      <c r="F207" s="10" t="str">
        <f>"2170636218 "</f>
        <v xml:space="preserve">2170636218 </v>
      </c>
      <c r="G207" s="10" t="str">
        <f t="shared" ref="G207:G270" si="7">"ON1"</f>
        <v>ON1</v>
      </c>
      <c r="H207" s="10" t="s">
        <v>21</v>
      </c>
      <c r="I207" s="10" t="s">
        <v>269</v>
      </c>
      <c r="J207" s="10" t="str">
        <f>""</f>
        <v/>
      </c>
      <c r="K207" s="10" t="str">
        <f>"PFES1162629177_0001"</f>
        <v>PFES1162629177_0001</v>
      </c>
      <c r="L207" s="10">
        <v>1</v>
      </c>
      <c r="M207" s="10">
        <v>1</v>
      </c>
    </row>
    <row r="208" spans="1:13">
      <c r="A208" s="8">
        <v>43263</v>
      </c>
      <c r="B208" s="9">
        <v>0.64930555555555558</v>
      </c>
      <c r="C208" s="10" t="str">
        <f>"FES1162629054"</f>
        <v>FES1162629054</v>
      </c>
      <c r="D208" s="10" t="s">
        <v>19</v>
      </c>
      <c r="E208" s="10" t="s">
        <v>163</v>
      </c>
      <c r="F208" s="10" t="str">
        <f>"2170633852 "</f>
        <v xml:space="preserve">2170633852 </v>
      </c>
      <c r="G208" s="10" t="str">
        <f t="shared" si="7"/>
        <v>ON1</v>
      </c>
      <c r="H208" s="10" t="s">
        <v>21</v>
      </c>
      <c r="I208" s="10" t="s">
        <v>51</v>
      </c>
      <c r="J208" s="10" t="str">
        <f>""</f>
        <v/>
      </c>
      <c r="K208" s="10" t="str">
        <f>"PFES1162629054_0001"</f>
        <v>PFES1162629054_0001</v>
      </c>
      <c r="L208" s="10">
        <v>1</v>
      </c>
      <c r="M208" s="10">
        <v>1</v>
      </c>
    </row>
    <row r="209" spans="1:13">
      <c r="A209" s="8">
        <v>43263</v>
      </c>
      <c r="B209" s="9">
        <v>0.64930555555555558</v>
      </c>
      <c r="C209" s="10" t="str">
        <f>"FES1162628982"</f>
        <v>FES1162628982</v>
      </c>
      <c r="D209" s="10" t="s">
        <v>19</v>
      </c>
      <c r="E209" s="10" t="s">
        <v>270</v>
      </c>
      <c r="F209" s="10" t="str">
        <f>"2170633839 "</f>
        <v xml:space="preserve">2170633839 </v>
      </c>
      <c r="G209" s="10" t="str">
        <f t="shared" si="7"/>
        <v>ON1</v>
      </c>
      <c r="H209" s="10" t="s">
        <v>21</v>
      </c>
      <c r="I209" s="10" t="s">
        <v>238</v>
      </c>
      <c r="J209" s="10" t="str">
        <f>""</f>
        <v/>
      </c>
      <c r="K209" s="10" t="str">
        <f>"PFES1162628982_0001"</f>
        <v>PFES1162628982_0001</v>
      </c>
      <c r="L209" s="10">
        <v>1</v>
      </c>
      <c r="M209" s="10">
        <v>1</v>
      </c>
    </row>
    <row r="210" spans="1:13">
      <c r="A210" s="8">
        <v>43263</v>
      </c>
      <c r="B210" s="9">
        <v>0.64930555555555558</v>
      </c>
      <c r="C210" s="10" t="str">
        <f>"FES1162628833"</f>
        <v>FES1162628833</v>
      </c>
      <c r="D210" s="10" t="s">
        <v>19</v>
      </c>
      <c r="E210" s="10" t="s">
        <v>271</v>
      </c>
      <c r="F210" s="10" t="str">
        <f>"2170635063 "</f>
        <v xml:space="preserve">2170635063 </v>
      </c>
      <c r="G210" s="10" t="str">
        <f t="shared" si="7"/>
        <v>ON1</v>
      </c>
      <c r="H210" s="10" t="s">
        <v>21</v>
      </c>
      <c r="I210" s="10" t="s">
        <v>272</v>
      </c>
      <c r="J210" s="10" t="str">
        <f>""</f>
        <v/>
      </c>
      <c r="K210" s="10" t="str">
        <f>"PFES1162628833_0001"</f>
        <v>PFES1162628833_0001</v>
      </c>
      <c r="L210" s="10">
        <v>1</v>
      </c>
      <c r="M210" s="10">
        <v>3</v>
      </c>
    </row>
    <row r="211" spans="1:13">
      <c r="A211" s="8">
        <v>43263</v>
      </c>
      <c r="B211" s="9">
        <v>0.64930555555555558</v>
      </c>
      <c r="C211" s="10" t="str">
        <f>"FES1162629156"</f>
        <v>FES1162629156</v>
      </c>
      <c r="D211" s="10" t="s">
        <v>19</v>
      </c>
      <c r="E211" s="10" t="s">
        <v>273</v>
      </c>
      <c r="F211" s="10" t="str">
        <f>"2170636192 "</f>
        <v xml:space="preserve">2170636192 </v>
      </c>
      <c r="G211" s="10" t="str">
        <f t="shared" si="7"/>
        <v>ON1</v>
      </c>
      <c r="H211" s="10" t="s">
        <v>21</v>
      </c>
      <c r="I211" s="10" t="s">
        <v>258</v>
      </c>
      <c r="J211" s="10" t="str">
        <f>""</f>
        <v/>
      </c>
      <c r="K211" s="10" t="str">
        <f>"PFES1162629156_0001"</f>
        <v>PFES1162629156_0001</v>
      </c>
      <c r="L211" s="10">
        <v>1</v>
      </c>
      <c r="M211" s="10">
        <v>1</v>
      </c>
    </row>
    <row r="212" spans="1:13">
      <c r="A212" s="8">
        <v>43263</v>
      </c>
      <c r="B212" s="9">
        <v>0.64861111111111114</v>
      </c>
      <c r="C212" s="10" t="str">
        <f>"FES1162629119"</f>
        <v>FES1162629119</v>
      </c>
      <c r="D212" s="10" t="s">
        <v>19</v>
      </c>
      <c r="E212" s="10" t="s">
        <v>274</v>
      </c>
      <c r="F212" s="10" t="str">
        <f>"2170636151 "</f>
        <v xml:space="preserve">2170636151 </v>
      </c>
      <c r="G212" s="10" t="str">
        <f t="shared" si="7"/>
        <v>ON1</v>
      </c>
      <c r="H212" s="10" t="s">
        <v>21</v>
      </c>
      <c r="I212" s="10" t="s">
        <v>275</v>
      </c>
      <c r="J212" s="10" t="str">
        <f>""</f>
        <v/>
      </c>
      <c r="K212" s="10" t="str">
        <f>"PFES1162629119_0001"</f>
        <v>PFES1162629119_0001</v>
      </c>
      <c r="L212" s="10">
        <v>1</v>
      </c>
      <c r="M212" s="10">
        <v>1</v>
      </c>
    </row>
    <row r="213" spans="1:13">
      <c r="A213" s="8">
        <v>43263</v>
      </c>
      <c r="B213" s="9">
        <v>0.64861111111111114</v>
      </c>
      <c r="C213" s="10" t="str">
        <f>"FES1162629032"</f>
        <v>FES1162629032</v>
      </c>
      <c r="D213" s="10" t="s">
        <v>19</v>
      </c>
      <c r="E213" s="10" t="s">
        <v>276</v>
      </c>
      <c r="F213" s="10" t="str">
        <f>"2170634245 "</f>
        <v xml:space="preserve">2170634245 </v>
      </c>
      <c r="G213" s="10" t="str">
        <f t="shared" si="7"/>
        <v>ON1</v>
      </c>
      <c r="H213" s="10" t="s">
        <v>21</v>
      </c>
      <c r="I213" s="10" t="s">
        <v>277</v>
      </c>
      <c r="J213" s="10" t="str">
        <f>""</f>
        <v/>
      </c>
      <c r="K213" s="10" t="str">
        <f>"PFES1162629032_0001"</f>
        <v>PFES1162629032_0001</v>
      </c>
      <c r="L213" s="10">
        <v>1</v>
      </c>
      <c r="M213" s="10">
        <v>1</v>
      </c>
    </row>
    <row r="214" spans="1:13">
      <c r="A214" s="8">
        <v>43263</v>
      </c>
      <c r="B214" s="9">
        <v>0.6479166666666667</v>
      </c>
      <c r="C214" s="10" t="str">
        <f>"FES1162629185"</f>
        <v>FES1162629185</v>
      </c>
      <c r="D214" s="10" t="s">
        <v>19</v>
      </c>
      <c r="E214" s="10" t="s">
        <v>278</v>
      </c>
      <c r="F214" s="10" t="str">
        <f>"2170636221 "</f>
        <v xml:space="preserve">2170636221 </v>
      </c>
      <c r="G214" s="10" t="str">
        <f t="shared" si="7"/>
        <v>ON1</v>
      </c>
      <c r="H214" s="10" t="s">
        <v>21</v>
      </c>
      <c r="I214" s="10" t="s">
        <v>279</v>
      </c>
      <c r="J214" s="10" t="str">
        <f>""</f>
        <v/>
      </c>
      <c r="K214" s="10" t="str">
        <f>"PFES1162629185_0001"</f>
        <v>PFES1162629185_0001</v>
      </c>
      <c r="L214" s="10">
        <v>1</v>
      </c>
      <c r="M214" s="10">
        <v>1</v>
      </c>
    </row>
    <row r="215" spans="1:13">
      <c r="A215" s="8">
        <v>43263</v>
      </c>
      <c r="B215" s="9">
        <v>0.64722222222222225</v>
      </c>
      <c r="C215" s="10" t="str">
        <f>"FES1162629105"</f>
        <v>FES1162629105</v>
      </c>
      <c r="D215" s="10" t="s">
        <v>19</v>
      </c>
      <c r="E215" s="10" t="s">
        <v>280</v>
      </c>
      <c r="F215" s="10" t="str">
        <f>"2170636133 "</f>
        <v xml:space="preserve">2170636133 </v>
      </c>
      <c r="G215" s="10" t="str">
        <f t="shared" si="7"/>
        <v>ON1</v>
      </c>
      <c r="H215" s="10" t="s">
        <v>21</v>
      </c>
      <c r="I215" s="10" t="s">
        <v>46</v>
      </c>
      <c r="J215" s="10" t="str">
        <f>""</f>
        <v/>
      </c>
      <c r="K215" s="10" t="str">
        <f>"PFES1162629105_0001"</f>
        <v>PFES1162629105_0001</v>
      </c>
      <c r="L215" s="10">
        <v>1</v>
      </c>
      <c r="M215" s="10">
        <v>1</v>
      </c>
    </row>
    <row r="216" spans="1:13">
      <c r="A216" s="8">
        <v>43263</v>
      </c>
      <c r="B216" s="9">
        <v>0.62222222222222223</v>
      </c>
      <c r="C216" s="10" t="str">
        <f>"FES1162629120"</f>
        <v>FES1162629120</v>
      </c>
      <c r="D216" s="10" t="s">
        <v>19</v>
      </c>
      <c r="E216" s="10" t="s">
        <v>95</v>
      </c>
      <c r="F216" s="10" t="str">
        <f>"2170636152 "</f>
        <v xml:space="preserve">2170636152 </v>
      </c>
      <c r="G216" s="10" t="str">
        <f t="shared" si="7"/>
        <v>ON1</v>
      </c>
      <c r="H216" s="10" t="s">
        <v>21</v>
      </c>
      <c r="I216" s="10" t="s">
        <v>96</v>
      </c>
      <c r="J216" s="10" t="str">
        <f>""</f>
        <v/>
      </c>
      <c r="K216" s="10" t="str">
        <f>"PFES1162629120_0001"</f>
        <v>PFES1162629120_0001</v>
      </c>
      <c r="L216" s="10">
        <v>1</v>
      </c>
      <c r="M216" s="10">
        <v>5</v>
      </c>
    </row>
    <row r="217" spans="1:13">
      <c r="A217" s="8">
        <v>43263</v>
      </c>
      <c r="B217" s="9">
        <v>0.62152777777777779</v>
      </c>
      <c r="C217" s="10" t="str">
        <f>"FES1162629110"</f>
        <v>FES1162629110</v>
      </c>
      <c r="D217" s="10" t="s">
        <v>19</v>
      </c>
      <c r="E217" s="10" t="s">
        <v>193</v>
      </c>
      <c r="F217" s="10" t="str">
        <f>"2170635421 "</f>
        <v xml:space="preserve">2170635421 </v>
      </c>
      <c r="G217" s="10" t="str">
        <f t="shared" si="7"/>
        <v>ON1</v>
      </c>
      <c r="H217" s="10" t="s">
        <v>21</v>
      </c>
      <c r="I217" s="10" t="s">
        <v>30</v>
      </c>
      <c r="J217" s="10" t="str">
        <f>""</f>
        <v/>
      </c>
      <c r="K217" s="10" t="str">
        <f>"PFES1162629110_0001"</f>
        <v>PFES1162629110_0001</v>
      </c>
      <c r="L217" s="10">
        <v>1</v>
      </c>
      <c r="M217" s="10">
        <v>8</v>
      </c>
    </row>
    <row r="218" spans="1:13">
      <c r="A218" s="8">
        <v>43263</v>
      </c>
      <c r="B218" s="9">
        <v>0.61944444444444446</v>
      </c>
      <c r="C218" s="10" t="str">
        <f>"FES1162629167"</f>
        <v>FES1162629167</v>
      </c>
      <c r="D218" s="10" t="s">
        <v>19</v>
      </c>
      <c r="E218" s="10" t="s">
        <v>281</v>
      </c>
      <c r="F218" s="10" t="str">
        <f>"2170636205 "</f>
        <v xml:space="preserve">2170636205 </v>
      </c>
      <c r="G218" s="10" t="str">
        <f t="shared" si="7"/>
        <v>ON1</v>
      </c>
      <c r="H218" s="10" t="s">
        <v>21</v>
      </c>
      <c r="I218" s="10" t="s">
        <v>282</v>
      </c>
      <c r="J218" s="10" t="str">
        <f>""</f>
        <v/>
      </c>
      <c r="K218" s="10" t="str">
        <f>"PFES1162629167_0001"</f>
        <v>PFES1162629167_0001</v>
      </c>
      <c r="L218" s="10">
        <v>1</v>
      </c>
      <c r="M218" s="10">
        <v>2</v>
      </c>
    </row>
    <row r="219" spans="1:13">
      <c r="A219" s="8">
        <v>43263</v>
      </c>
      <c r="B219" s="9">
        <v>0.61805555555555558</v>
      </c>
      <c r="C219" s="10" t="str">
        <f>"FES1162628903"</f>
        <v>FES1162628903</v>
      </c>
      <c r="D219" s="10" t="s">
        <v>19</v>
      </c>
      <c r="E219" s="10" t="s">
        <v>283</v>
      </c>
      <c r="F219" s="10" t="str">
        <f>"2170635978 "</f>
        <v xml:space="preserve">2170635978 </v>
      </c>
      <c r="G219" s="10" t="str">
        <f t="shared" si="7"/>
        <v>ON1</v>
      </c>
      <c r="H219" s="10" t="s">
        <v>21</v>
      </c>
      <c r="I219" s="10" t="s">
        <v>230</v>
      </c>
      <c r="J219" s="10" t="str">
        <f>""</f>
        <v/>
      </c>
      <c r="K219" s="10" t="str">
        <f>"PFES1162628903_0001"</f>
        <v>PFES1162628903_0001</v>
      </c>
      <c r="L219" s="10">
        <v>1</v>
      </c>
      <c r="M219" s="10">
        <v>2</v>
      </c>
    </row>
    <row r="220" spans="1:13">
      <c r="A220" s="8">
        <v>43263</v>
      </c>
      <c r="B220" s="9">
        <v>0.61805555555555558</v>
      </c>
      <c r="C220" s="10" t="str">
        <f>"FES1162629012"</f>
        <v>FES1162629012</v>
      </c>
      <c r="D220" s="10" t="s">
        <v>19</v>
      </c>
      <c r="E220" s="10" t="s">
        <v>284</v>
      </c>
      <c r="F220" s="10" t="str">
        <f>"2170635121 "</f>
        <v xml:space="preserve">2170635121 </v>
      </c>
      <c r="G220" s="10" t="str">
        <f t="shared" si="7"/>
        <v>ON1</v>
      </c>
      <c r="H220" s="10" t="s">
        <v>21</v>
      </c>
      <c r="I220" s="10" t="s">
        <v>285</v>
      </c>
      <c r="J220" s="10" t="str">
        <f>""</f>
        <v/>
      </c>
      <c r="K220" s="10" t="str">
        <f>"PFES1162629012_0001"</f>
        <v>PFES1162629012_0001</v>
      </c>
      <c r="L220" s="10">
        <v>1</v>
      </c>
      <c r="M220" s="10">
        <v>1</v>
      </c>
    </row>
    <row r="221" spans="1:13">
      <c r="A221" s="8">
        <v>43263</v>
      </c>
      <c r="B221" s="9">
        <v>0.61736111111111114</v>
      </c>
      <c r="C221" s="10" t="str">
        <f>"FES1162629078"</f>
        <v>FES1162629078</v>
      </c>
      <c r="D221" s="10" t="s">
        <v>19</v>
      </c>
      <c r="E221" s="10" t="s">
        <v>286</v>
      </c>
      <c r="F221" s="10" t="str">
        <f>"2170636104 "</f>
        <v xml:space="preserve">2170636104 </v>
      </c>
      <c r="G221" s="10" t="str">
        <f t="shared" si="7"/>
        <v>ON1</v>
      </c>
      <c r="H221" s="10" t="s">
        <v>21</v>
      </c>
      <c r="I221" s="10" t="s">
        <v>79</v>
      </c>
      <c r="J221" s="10" t="str">
        <f>""</f>
        <v/>
      </c>
      <c r="K221" s="10" t="str">
        <f>"PFES1162629078_0001"</f>
        <v>PFES1162629078_0001</v>
      </c>
      <c r="L221" s="10">
        <v>1</v>
      </c>
      <c r="M221" s="10">
        <v>1</v>
      </c>
    </row>
    <row r="222" spans="1:13">
      <c r="A222" s="8">
        <v>43263</v>
      </c>
      <c r="B222" s="9">
        <v>0.61736111111111114</v>
      </c>
      <c r="C222" s="10" t="str">
        <f>"FES1162628974"</f>
        <v>FES1162628974</v>
      </c>
      <c r="D222" s="10" t="s">
        <v>19</v>
      </c>
      <c r="E222" s="10" t="s">
        <v>99</v>
      </c>
      <c r="F222" s="10" t="str">
        <f>"2170633661 "</f>
        <v xml:space="preserve">2170633661 </v>
      </c>
      <c r="G222" s="10" t="str">
        <f t="shared" si="7"/>
        <v>ON1</v>
      </c>
      <c r="H222" s="10" t="s">
        <v>21</v>
      </c>
      <c r="I222" s="10" t="s">
        <v>100</v>
      </c>
      <c r="J222" s="10" t="str">
        <f>""</f>
        <v/>
      </c>
      <c r="K222" s="10" t="str">
        <f>"PFES1162628974_0001"</f>
        <v>PFES1162628974_0001</v>
      </c>
      <c r="L222" s="10">
        <v>1</v>
      </c>
      <c r="M222" s="10">
        <v>1</v>
      </c>
    </row>
    <row r="223" spans="1:13">
      <c r="A223" s="8">
        <v>43263</v>
      </c>
      <c r="B223" s="9">
        <v>0.61736111111111114</v>
      </c>
      <c r="C223" s="10" t="str">
        <f>"FES1162628881"</f>
        <v>FES1162628881</v>
      </c>
      <c r="D223" s="10" t="s">
        <v>19</v>
      </c>
      <c r="E223" s="10" t="s">
        <v>271</v>
      </c>
      <c r="F223" s="10" t="str">
        <f>"2170634741 "</f>
        <v xml:space="preserve">2170634741 </v>
      </c>
      <c r="G223" s="10" t="str">
        <f t="shared" si="7"/>
        <v>ON1</v>
      </c>
      <c r="H223" s="10" t="s">
        <v>21</v>
      </c>
      <c r="I223" s="10" t="s">
        <v>272</v>
      </c>
      <c r="J223" s="10" t="str">
        <f>""</f>
        <v/>
      </c>
      <c r="K223" s="10" t="str">
        <f>"PFES1162628881_0001"</f>
        <v>PFES1162628881_0001</v>
      </c>
      <c r="L223" s="10">
        <v>1</v>
      </c>
      <c r="M223" s="10">
        <v>8</v>
      </c>
    </row>
    <row r="224" spans="1:13">
      <c r="A224" s="8">
        <v>43263</v>
      </c>
      <c r="B224" s="9">
        <v>0.61736111111111114</v>
      </c>
      <c r="C224" s="10" t="str">
        <f>"FES1162629155"</f>
        <v>FES1162629155</v>
      </c>
      <c r="D224" s="10" t="s">
        <v>19</v>
      </c>
      <c r="E224" s="10" t="s">
        <v>287</v>
      </c>
      <c r="F224" s="10" t="str">
        <f>"2170636191 "</f>
        <v xml:space="preserve">2170636191 </v>
      </c>
      <c r="G224" s="10" t="str">
        <f t="shared" si="7"/>
        <v>ON1</v>
      </c>
      <c r="H224" s="10" t="s">
        <v>21</v>
      </c>
      <c r="I224" s="10" t="s">
        <v>288</v>
      </c>
      <c r="J224" s="10" t="str">
        <f>""</f>
        <v/>
      </c>
      <c r="K224" s="10" t="str">
        <f>"PFES1162629155_0001"</f>
        <v>PFES1162629155_0001</v>
      </c>
      <c r="L224" s="10">
        <v>1</v>
      </c>
      <c r="M224" s="10">
        <v>1</v>
      </c>
    </row>
    <row r="225" spans="1:13">
      <c r="A225" s="8">
        <v>43263</v>
      </c>
      <c r="B225" s="9">
        <v>0.6166666666666667</v>
      </c>
      <c r="C225" s="10" t="str">
        <f>"FES1162629159"</f>
        <v>FES1162629159</v>
      </c>
      <c r="D225" s="10" t="s">
        <v>19</v>
      </c>
      <c r="E225" s="10" t="s">
        <v>289</v>
      </c>
      <c r="F225" s="10" t="str">
        <f>"2170634578 "</f>
        <v xml:space="preserve">2170634578 </v>
      </c>
      <c r="G225" s="10" t="str">
        <f t="shared" si="7"/>
        <v>ON1</v>
      </c>
      <c r="H225" s="10" t="s">
        <v>21</v>
      </c>
      <c r="I225" s="10" t="s">
        <v>290</v>
      </c>
      <c r="J225" s="10" t="str">
        <f>""</f>
        <v/>
      </c>
      <c r="K225" s="10" t="str">
        <f>"PFES1162629159_0001"</f>
        <v>PFES1162629159_0001</v>
      </c>
      <c r="L225" s="10">
        <v>1</v>
      </c>
      <c r="M225" s="10">
        <v>1</v>
      </c>
    </row>
    <row r="226" spans="1:13">
      <c r="A226" s="8">
        <v>43263</v>
      </c>
      <c r="B226" s="9">
        <v>0.6166666666666667</v>
      </c>
      <c r="C226" s="10" t="str">
        <f>"FES1162629154"</f>
        <v>FES1162629154</v>
      </c>
      <c r="D226" s="10" t="s">
        <v>19</v>
      </c>
      <c r="E226" s="10" t="s">
        <v>249</v>
      </c>
      <c r="F226" s="10" t="str">
        <f>"2170636190 "</f>
        <v xml:space="preserve">2170636190 </v>
      </c>
      <c r="G226" s="10" t="str">
        <f t="shared" si="7"/>
        <v>ON1</v>
      </c>
      <c r="H226" s="10" t="s">
        <v>21</v>
      </c>
      <c r="I226" s="10" t="s">
        <v>59</v>
      </c>
      <c r="J226" s="10" t="str">
        <f>""</f>
        <v/>
      </c>
      <c r="K226" s="10" t="str">
        <f>"PFES1162629154_0001"</f>
        <v>PFES1162629154_0001</v>
      </c>
      <c r="L226" s="10">
        <v>1</v>
      </c>
      <c r="M226" s="10">
        <v>1</v>
      </c>
    </row>
    <row r="227" spans="1:13">
      <c r="A227" s="8">
        <v>43263</v>
      </c>
      <c r="B227" s="9">
        <v>0.6166666666666667</v>
      </c>
      <c r="C227" s="10" t="str">
        <f>"FES1162629048"</f>
        <v>FES1162629048</v>
      </c>
      <c r="D227" s="10" t="s">
        <v>19</v>
      </c>
      <c r="E227" s="10" t="s">
        <v>291</v>
      </c>
      <c r="F227" s="10" t="str">
        <f>"2170633663 "</f>
        <v xml:space="preserve">2170633663 </v>
      </c>
      <c r="G227" s="10" t="str">
        <f t="shared" si="7"/>
        <v>ON1</v>
      </c>
      <c r="H227" s="10" t="s">
        <v>21</v>
      </c>
      <c r="I227" s="10" t="s">
        <v>292</v>
      </c>
      <c r="J227" s="10" t="str">
        <f>""</f>
        <v/>
      </c>
      <c r="K227" s="10" t="str">
        <f>"PFES1162629048_0001"</f>
        <v>PFES1162629048_0001</v>
      </c>
      <c r="L227" s="10">
        <v>1</v>
      </c>
      <c r="M227" s="10">
        <v>1</v>
      </c>
    </row>
    <row r="228" spans="1:13">
      <c r="A228" s="8">
        <v>43263</v>
      </c>
      <c r="B228" s="9">
        <v>0.6166666666666667</v>
      </c>
      <c r="C228" s="10" t="str">
        <f>"FES1162629130"</f>
        <v>FES1162629130</v>
      </c>
      <c r="D228" s="10" t="s">
        <v>19</v>
      </c>
      <c r="E228" s="10" t="s">
        <v>293</v>
      </c>
      <c r="F228" s="10" t="str">
        <f>"2170634593 "</f>
        <v xml:space="preserve">2170634593 </v>
      </c>
      <c r="G228" s="10" t="str">
        <f t="shared" si="7"/>
        <v>ON1</v>
      </c>
      <c r="H228" s="10" t="s">
        <v>21</v>
      </c>
      <c r="I228" s="10" t="s">
        <v>61</v>
      </c>
      <c r="J228" s="10" t="str">
        <f>""</f>
        <v/>
      </c>
      <c r="K228" s="10" t="str">
        <f>"PFES1162629130_0001"</f>
        <v>PFES1162629130_0001</v>
      </c>
      <c r="L228" s="10">
        <v>1</v>
      </c>
      <c r="M228" s="10">
        <v>2</v>
      </c>
    </row>
    <row r="229" spans="1:13">
      <c r="A229" s="8">
        <v>43263</v>
      </c>
      <c r="B229" s="9">
        <v>0.61597222222222225</v>
      </c>
      <c r="C229" s="10" t="str">
        <f>"FES1162629035"</f>
        <v>FES1162629035</v>
      </c>
      <c r="D229" s="10" t="s">
        <v>19</v>
      </c>
      <c r="E229" s="10" t="s">
        <v>294</v>
      </c>
      <c r="F229" s="10" t="str">
        <f>"2170634307 "</f>
        <v xml:space="preserve">2170634307 </v>
      </c>
      <c r="G229" s="10" t="str">
        <f t="shared" si="7"/>
        <v>ON1</v>
      </c>
      <c r="H229" s="10" t="s">
        <v>21</v>
      </c>
      <c r="I229" s="10" t="s">
        <v>295</v>
      </c>
      <c r="J229" s="10" t="str">
        <f>""</f>
        <v/>
      </c>
      <c r="K229" s="10" t="str">
        <f>"PFES1162629035_0001"</f>
        <v>PFES1162629035_0001</v>
      </c>
      <c r="L229" s="10">
        <v>1</v>
      </c>
      <c r="M229" s="10">
        <v>1</v>
      </c>
    </row>
    <row r="230" spans="1:13">
      <c r="A230" s="8">
        <v>43263</v>
      </c>
      <c r="B230" s="9">
        <v>0.61597222222222225</v>
      </c>
      <c r="C230" s="10" t="str">
        <f>"FES1162629131"</f>
        <v>FES1162629131</v>
      </c>
      <c r="D230" s="10" t="s">
        <v>19</v>
      </c>
      <c r="E230" s="10" t="s">
        <v>241</v>
      </c>
      <c r="F230" s="10" t="str">
        <f>"2170635791 "</f>
        <v xml:space="preserve">2170635791 </v>
      </c>
      <c r="G230" s="10" t="str">
        <f t="shared" si="7"/>
        <v>ON1</v>
      </c>
      <c r="H230" s="10" t="s">
        <v>21</v>
      </c>
      <c r="I230" s="10" t="s">
        <v>42</v>
      </c>
      <c r="J230" s="10" t="str">
        <f>""</f>
        <v/>
      </c>
      <c r="K230" s="10" t="str">
        <f>"PFES1162629131_0001"</f>
        <v>PFES1162629131_0001</v>
      </c>
      <c r="L230" s="10">
        <v>1</v>
      </c>
      <c r="M230" s="10">
        <v>1</v>
      </c>
    </row>
    <row r="231" spans="1:13">
      <c r="A231" s="8">
        <v>43263</v>
      </c>
      <c r="B231" s="9">
        <v>0.61597222222222225</v>
      </c>
      <c r="C231" s="10" t="str">
        <f>"FES1162629173"</f>
        <v>FES1162629173</v>
      </c>
      <c r="D231" s="10" t="s">
        <v>19</v>
      </c>
      <c r="E231" s="10" t="s">
        <v>124</v>
      </c>
      <c r="F231" s="10" t="str">
        <f>"2170636214 "</f>
        <v xml:space="preserve">2170636214 </v>
      </c>
      <c r="G231" s="10" t="str">
        <f t="shared" si="7"/>
        <v>ON1</v>
      </c>
      <c r="H231" s="10" t="s">
        <v>21</v>
      </c>
      <c r="I231" s="10" t="s">
        <v>40</v>
      </c>
      <c r="J231" s="10" t="str">
        <f>""</f>
        <v/>
      </c>
      <c r="K231" s="10" t="str">
        <f>"PFES1162629173_0001"</f>
        <v>PFES1162629173_0001</v>
      </c>
      <c r="L231" s="10">
        <v>1</v>
      </c>
      <c r="M231" s="10">
        <v>1</v>
      </c>
    </row>
    <row r="232" spans="1:13">
      <c r="A232" s="8">
        <v>43263</v>
      </c>
      <c r="B232" s="9">
        <v>0.61527777777777781</v>
      </c>
      <c r="C232" s="10" t="str">
        <f>"FES1162629094"</f>
        <v>FES1162629094</v>
      </c>
      <c r="D232" s="10" t="s">
        <v>19</v>
      </c>
      <c r="E232" s="10" t="s">
        <v>296</v>
      </c>
      <c r="F232" s="10" t="str">
        <f>"2170636094 "</f>
        <v xml:space="preserve">2170636094 </v>
      </c>
      <c r="G232" s="10" t="str">
        <f t="shared" si="7"/>
        <v>ON1</v>
      </c>
      <c r="H232" s="10" t="s">
        <v>21</v>
      </c>
      <c r="I232" s="10" t="s">
        <v>297</v>
      </c>
      <c r="J232" s="10" t="str">
        <f>""</f>
        <v/>
      </c>
      <c r="K232" s="10" t="str">
        <f>"PFES1162629094_0001"</f>
        <v>PFES1162629094_0001</v>
      </c>
      <c r="L232" s="10">
        <v>1</v>
      </c>
      <c r="M232" s="10">
        <v>1</v>
      </c>
    </row>
    <row r="233" spans="1:13">
      <c r="A233" s="8">
        <v>43263</v>
      </c>
      <c r="B233" s="9">
        <v>0.61527777777777781</v>
      </c>
      <c r="C233" s="10" t="str">
        <f>"FES1162629093"</f>
        <v>FES1162629093</v>
      </c>
      <c r="D233" s="10" t="s">
        <v>19</v>
      </c>
      <c r="E233" s="10" t="s">
        <v>270</v>
      </c>
      <c r="F233" s="10" t="str">
        <f>"2170636084 "</f>
        <v xml:space="preserve">2170636084 </v>
      </c>
      <c r="G233" s="10" t="str">
        <f t="shared" si="7"/>
        <v>ON1</v>
      </c>
      <c r="H233" s="10" t="s">
        <v>21</v>
      </c>
      <c r="I233" s="10" t="s">
        <v>238</v>
      </c>
      <c r="J233" s="10" t="str">
        <f>""</f>
        <v/>
      </c>
      <c r="K233" s="10" t="str">
        <f>"PFES1162629093_0001"</f>
        <v>PFES1162629093_0001</v>
      </c>
      <c r="L233" s="10">
        <v>1</v>
      </c>
      <c r="M233" s="10">
        <v>1</v>
      </c>
    </row>
    <row r="234" spans="1:13">
      <c r="A234" s="8">
        <v>43263</v>
      </c>
      <c r="B234" s="9">
        <v>0.61458333333333337</v>
      </c>
      <c r="C234" s="10" t="str">
        <f>"FES1162628993"</f>
        <v>FES1162628993</v>
      </c>
      <c r="D234" s="10" t="s">
        <v>19</v>
      </c>
      <c r="E234" s="10" t="s">
        <v>298</v>
      </c>
      <c r="F234" s="10" t="str">
        <f>"2170633940 "</f>
        <v xml:space="preserve">2170633940 </v>
      </c>
      <c r="G234" s="10" t="str">
        <f t="shared" si="7"/>
        <v>ON1</v>
      </c>
      <c r="H234" s="10" t="s">
        <v>21</v>
      </c>
      <c r="I234" s="10" t="s">
        <v>299</v>
      </c>
      <c r="J234" s="10" t="str">
        <f>""</f>
        <v/>
      </c>
      <c r="K234" s="10" t="str">
        <f>"PFES1162628993_0001"</f>
        <v>PFES1162628993_0001</v>
      </c>
      <c r="L234" s="10">
        <v>1</v>
      </c>
      <c r="M234" s="10">
        <v>1</v>
      </c>
    </row>
    <row r="235" spans="1:13">
      <c r="A235" s="8">
        <v>43263</v>
      </c>
      <c r="B235" s="9">
        <v>0.61458333333333337</v>
      </c>
      <c r="C235" s="10" t="str">
        <f>"FES1162629037"</f>
        <v>FES1162629037</v>
      </c>
      <c r="D235" s="10" t="s">
        <v>19</v>
      </c>
      <c r="E235" s="10" t="s">
        <v>82</v>
      </c>
      <c r="F235" s="10" t="str">
        <f>"2170636075 "</f>
        <v xml:space="preserve">2170636075 </v>
      </c>
      <c r="G235" s="10" t="str">
        <f t="shared" si="7"/>
        <v>ON1</v>
      </c>
      <c r="H235" s="10" t="s">
        <v>21</v>
      </c>
      <c r="I235" s="10" t="s">
        <v>83</v>
      </c>
      <c r="J235" s="10" t="str">
        <f>""</f>
        <v/>
      </c>
      <c r="K235" s="10" t="str">
        <f>"PFES1162629037_0001"</f>
        <v>PFES1162629037_0001</v>
      </c>
      <c r="L235" s="10">
        <v>1</v>
      </c>
      <c r="M235" s="10">
        <v>4</v>
      </c>
    </row>
    <row r="236" spans="1:13">
      <c r="A236" s="8">
        <v>43263</v>
      </c>
      <c r="B236" s="9">
        <v>0.61388888888888882</v>
      </c>
      <c r="C236" s="10" t="str">
        <f>"FES1162629000"</f>
        <v>FES1162629000</v>
      </c>
      <c r="D236" s="10" t="s">
        <v>19</v>
      </c>
      <c r="E236" s="10" t="s">
        <v>300</v>
      </c>
      <c r="F236" s="10" t="str">
        <f>"2170634530 "</f>
        <v xml:space="preserve">2170634530 </v>
      </c>
      <c r="G236" s="10" t="str">
        <f t="shared" si="7"/>
        <v>ON1</v>
      </c>
      <c r="H236" s="10" t="s">
        <v>21</v>
      </c>
      <c r="I236" s="10" t="s">
        <v>301</v>
      </c>
      <c r="J236" s="10" t="str">
        <f>""</f>
        <v/>
      </c>
      <c r="K236" s="10" t="str">
        <f>"PFES1162629000_0001"</f>
        <v>PFES1162629000_0001</v>
      </c>
      <c r="L236" s="10">
        <v>1</v>
      </c>
      <c r="M236" s="10">
        <v>1</v>
      </c>
    </row>
    <row r="237" spans="1:13">
      <c r="A237" s="8">
        <v>43263</v>
      </c>
      <c r="B237" s="9">
        <v>0.61388888888888882</v>
      </c>
      <c r="C237" s="10" t="str">
        <f>"FES1162629169"</f>
        <v>FES1162629169</v>
      </c>
      <c r="D237" s="10" t="s">
        <v>19</v>
      </c>
      <c r="E237" s="10" t="s">
        <v>302</v>
      </c>
      <c r="F237" s="10" t="str">
        <f>"2170633504 "</f>
        <v xml:space="preserve">2170633504 </v>
      </c>
      <c r="G237" s="10" t="str">
        <f t="shared" si="7"/>
        <v>ON1</v>
      </c>
      <c r="H237" s="10" t="s">
        <v>21</v>
      </c>
      <c r="I237" s="10" t="s">
        <v>303</v>
      </c>
      <c r="J237" s="10" t="str">
        <f>""</f>
        <v/>
      </c>
      <c r="K237" s="10" t="str">
        <f>"PFES1162629169_0001"</f>
        <v>PFES1162629169_0001</v>
      </c>
      <c r="L237" s="10">
        <v>1</v>
      </c>
      <c r="M237" s="10">
        <v>1</v>
      </c>
    </row>
    <row r="238" spans="1:13">
      <c r="A238" s="8">
        <v>43263</v>
      </c>
      <c r="B238" s="9">
        <v>0.61319444444444449</v>
      </c>
      <c r="C238" s="10" t="str">
        <f>"FES1162629126"</f>
        <v>FES1162629126</v>
      </c>
      <c r="D238" s="10" t="s">
        <v>19</v>
      </c>
      <c r="E238" s="10" t="s">
        <v>304</v>
      </c>
      <c r="F238" s="10" t="str">
        <f>"2170636164 "</f>
        <v xml:space="preserve">2170636164 </v>
      </c>
      <c r="G238" s="10" t="str">
        <f t="shared" si="7"/>
        <v>ON1</v>
      </c>
      <c r="H238" s="10" t="s">
        <v>21</v>
      </c>
      <c r="I238" s="10" t="s">
        <v>305</v>
      </c>
      <c r="J238" s="10" t="str">
        <f>""</f>
        <v/>
      </c>
      <c r="K238" s="10" t="str">
        <f>"PFES1162629126_0001"</f>
        <v>PFES1162629126_0001</v>
      </c>
      <c r="L238" s="10">
        <v>1</v>
      </c>
      <c r="M238" s="10">
        <v>1</v>
      </c>
    </row>
    <row r="239" spans="1:13">
      <c r="A239" s="8">
        <v>43263</v>
      </c>
      <c r="B239" s="9">
        <v>0.61319444444444449</v>
      </c>
      <c r="C239" s="10" t="str">
        <f>"FES1162628934"</f>
        <v>FES1162628934</v>
      </c>
      <c r="D239" s="10" t="s">
        <v>19</v>
      </c>
      <c r="E239" s="10" t="s">
        <v>306</v>
      </c>
      <c r="F239" s="10" t="str">
        <f>"2170636022 "</f>
        <v xml:space="preserve">2170636022 </v>
      </c>
      <c r="G239" s="10" t="str">
        <f t="shared" si="7"/>
        <v>ON1</v>
      </c>
      <c r="H239" s="10" t="s">
        <v>21</v>
      </c>
      <c r="I239" s="10" t="s">
        <v>36</v>
      </c>
      <c r="J239" s="10" t="str">
        <f>""</f>
        <v/>
      </c>
      <c r="K239" s="10" t="str">
        <f>"PFES1162628934_0001"</f>
        <v>PFES1162628934_0001</v>
      </c>
      <c r="L239" s="10">
        <v>1</v>
      </c>
      <c r="M239" s="10">
        <v>1</v>
      </c>
    </row>
    <row r="240" spans="1:13">
      <c r="A240" s="8">
        <v>43263</v>
      </c>
      <c r="B240" s="9">
        <v>0.61249999999999993</v>
      </c>
      <c r="C240" s="10" t="str">
        <f>"FES1162629161"</f>
        <v>FES1162629161</v>
      </c>
      <c r="D240" s="10" t="s">
        <v>19</v>
      </c>
      <c r="E240" s="10" t="s">
        <v>307</v>
      </c>
      <c r="F240" s="10" t="str">
        <f>"2170636199 "</f>
        <v xml:space="preserve">2170636199 </v>
      </c>
      <c r="G240" s="10" t="str">
        <f t="shared" si="7"/>
        <v>ON1</v>
      </c>
      <c r="H240" s="10" t="s">
        <v>21</v>
      </c>
      <c r="I240" s="10" t="s">
        <v>305</v>
      </c>
      <c r="J240" s="10" t="str">
        <f>""</f>
        <v/>
      </c>
      <c r="K240" s="10" t="str">
        <f>"PFES1162629161_0001"</f>
        <v>PFES1162629161_0001</v>
      </c>
      <c r="L240" s="10">
        <v>1</v>
      </c>
      <c r="M240" s="10">
        <v>1</v>
      </c>
    </row>
    <row r="241" spans="1:13">
      <c r="A241" s="8">
        <v>43263</v>
      </c>
      <c r="B241" s="9">
        <v>0.61249999999999993</v>
      </c>
      <c r="C241" s="10" t="str">
        <f>"FES1162629007"</f>
        <v>FES1162629007</v>
      </c>
      <c r="D241" s="10" t="s">
        <v>19</v>
      </c>
      <c r="E241" s="10" t="s">
        <v>308</v>
      </c>
      <c r="F241" s="10" t="str">
        <f>"2170634922 "</f>
        <v xml:space="preserve">2170634922 </v>
      </c>
      <c r="G241" s="10" t="str">
        <f t="shared" si="7"/>
        <v>ON1</v>
      </c>
      <c r="H241" s="10" t="s">
        <v>21</v>
      </c>
      <c r="I241" s="10" t="s">
        <v>309</v>
      </c>
      <c r="J241" s="10" t="str">
        <f>""</f>
        <v/>
      </c>
      <c r="K241" s="10" t="str">
        <f>"PFES1162629007_0001"</f>
        <v>PFES1162629007_0001</v>
      </c>
      <c r="L241" s="10">
        <v>1</v>
      </c>
      <c r="M241" s="10">
        <v>1</v>
      </c>
    </row>
    <row r="242" spans="1:13">
      <c r="A242" s="8">
        <v>43263</v>
      </c>
      <c r="B242" s="9">
        <v>0.60833333333333328</v>
      </c>
      <c r="C242" s="10" t="str">
        <f>"FES1162629111"</f>
        <v>FES1162629111</v>
      </c>
      <c r="D242" s="10" t="s">
        <v>19</v>
      </c>
      <c r="E242" s="10" t="s">
        <v>62</v>
      </c>
      <c r="F242" s="10" t="str">
        <f>"2170636142 "</f>
        <v xml:space="preserve">2170636142 </v>
      </c>
      <c r="G242" s="10" t="str">
        <f t="shared" si="7"/>
        <v>ON1</v>
      </c>
      <c r="H242" s="10" t="s">
        <v>21</v>
      </c>
      <c r="I242" s="10" t="s">
        <v>63</v>
      </c>
      <c r="J242" s="10" t="str">
        <f>""</f>
        <v/>
      </c>
      <c r="K242" s="10" t="str">
        <f>"PFES1162629111_0001"</f>
        <v>PFES1162629111_0001</v>
      </c>
      <c r="L242" s="10">
        <v>1</v>
      </c>
      <c r="M242" s="10">
        <v>5</v>
      </c>
    </row>
    <row r="243" spans="1:13">
      <c r="A243" s="8">
        <v>43263</v>
      </c>
      <c r="B243" s="9">
        <v>0.60763888888888895</v>
      </c>
      <c r="C243" s="10" t="str">
        <f>"FES1162629063"</f>
        <v>FES1162629063</v>
      </c>
      <c r="D243" s="10" t="s">
        <v>19</v>
      </c>
      <c r="E243" s="10" t="s">
        <v>310</v>
      </c>
      <c r="F243" s="10" t="str">
        <f>"2170634278 "</f>
        <v xml:space="preserve">2170634278 </v>
      </c>
      <c r="G243" s="10" t="str">
        <f t="shared" si="7"/>
        <v>ON1</v>
      </c>
      <c r="H243" s="10" t="s">
        <v>21</v>
      </c>
      <c r="I243" s="10" t="s">
        <v>255</v>
      </c>
      <c r="J243" s="10" t="str">
        <f>""</f>
        <v/>
      </c>
      <c r="K243" s="10" t="str">
        <f>"PFES1162629063_0001"</f>
        <v>PFES1162629063_0001</v>
      </c>
      <c r="L243" s="10">
        <v>1</v>
      </c>
      <c r="M243" s="10">
        <v>5</v>
      </c>
    </row>
    <row r="244" spans="1:13">
      <c r="A244" s="8">
        <v>43263</v>
      </c>
      <c r="B244" s="9">
        <v>0.60625000000000007</v>
      </c>
      <c r="C244" s="10" t="str">
        <f>"FES1162629097"</f>
        <v>FES1162629097</v>
      </c>
      <c r="D244" s="10" t="s">
        <v>19</v>
      </c>
      <c r="E244" s="10" t="s">
        <v>37</v>
      </c>
      <c r="F244" s="10" t="str">
        <f>"2170636119 "</f>
        <v xml:space="preserve">2170636119 </v>
      </c>
      <c r="G244" s="10" t="str">
        <f t="shared" si="7"/>
        <v>ON1</v>
      </c>
      <c r="H244" s="10" t="s">
        <v>21</v>
      </c>
      <c r="I244" s="10" t="s">
        <v>38</v>
      </c>
      <c r="J244" s="10" t="str">
        <f>""</f>
        <v/>
      </c>
      <c r="K244" s="10" t="str">
        <f>"PFES1162629097_0001"</f>
        <v>PFES1162629097_0001</v>
      </c>
      <c r="L244" s="10">
        <v>2</v>
      </c>
      <c r="M244" s="10">
        <v>3</v>
      </c>
    </row>
    <row r="245" spans="1:13">
      <c r="A245" s="8">
        <v>43263</v>
      </c>
      <c r="B245" s="9">
        <v>0.60555555555555551</v>
      </c>
      <c r="C245" s="10" t="str">
        <f>"FES1162628873"</f>
        <v>FES1162628873</v>
      </c>
      <c r="D245" s="10" t="s">
        <v>19</v>
      </c>
      <c r="E245" s="10" t="s">
        <v>311</v>
      </c>
      <c r="F245" s="10" t="str">
        <f>"2170634097 "</f>
        <v xml:space="preserve">2170634097 </v>
      </c>
      <c r="G245" s="10" t="str">
        <f t="shared" si="7"/>
        <v>ON1</v>
      </c>
      <c r="H245" s="10" t="s">
        <v>21</v>
      </c>
      <c r="I245" s="10" t="s">
        <v>131</v>
      </c>
      <c r="J245" s="10" t="str">
        <f>""</f>
        <v/>
      </c>
      <c r="K245" s="10" t="str">
        <f>"PFES1162628873_0001"</f>
        <v>PFES1162628873_0001</v>
      </c>
      <c r="L245" s="10">
        <v>1</v>
      </c>
      <c r="M245" s="10">
        <v>4</v>
      </c>
    </row>
    <row r="246" spans="1:13">
      <c r="A246" s="8">
        <v>43263</v>
      </c>
      <c r="B246" s="9">
        <v>0.60416666666666663</v>
      </c>
      <c r="C246" s="10" t="str">
        <f>"FES1162628931"</f>
        <v>FES1162628931</v>
      </c>
      <c r="D246" s="10" t="s">
        <v>19</v>
      </c>
      <c r="E246" s="10" t="s">
        <v>312</v>
      </c>
      <c r="F246" s="10" t="str">
        <f>"2170636017 "</f>
        <v xml:space="preserve">2170636017 </v>
      </c>
      <c r="G246" s="10" t="str">
        <f t="shared" si="7"/>
        <v>ON1</v>
      </c>
      <c r="H246" s="10" t="s">
        <v>21</v>
      </c>
      <c r="I246" s="10" t="s">
        <v>313</v>
      </c>
      <c r="J246" s="10" t="str">
        <f>""</f>
        <v/>
      </c>
      <c r="K246" s="10" t="str">
        <f>"PFES1162628931_0001"</f>
        <v>PFES1162628931_0001</v>
      </c>
      <c r="L246" s="10">
        <v>1</v>
      </c>
      <c r="M246" s="10">
        <v>10</v>
      </c>
    </row>
    <row r="247" spans="1:13">
      <c r="A247" s="8">
        <v>43263</v>
      </c>
      <c r="B247" s="9">
        <v>0.60277777777777775</v>
      </c>
      <c r="C247" s="10" t="str">
        <f>"FES1162629142"</f>
        <v>FES1162629142</v>
      </c>
      <c r="D247" s="10" t="s">
        <v>19</v>
      </c>
      <c r="E247" s="10" t="s">
        <v>128</v>
      </c>
      <c r="F247" s="10" t="str">
        <f>"2170636180 "</f>
        <v xml:space="preserve">2170636180 </v>
      </c>
      <c r="G247" s="10" t="str">
        <f t="shared" si="7"/>
        <v>ON1</v>
      </c>
      <c r="H247" s="10" t="s">
        <v>21</v>
      </c>
      <c r="I247" s="10" t="s">
        <v>129</v>
      </c>
      <c r="J247" s="10" t="str">
        <f>""</f>
        <v/>
      </c>
      <c r="K247" s="10" t="str">
        <f>"PFES1162629142_0001"</f>
        <v>PFES1162629142_0001</v>
      </c>
      <c r="L247" s="10">
        <v>1</v>
      </c>
      <c r="M247" s="10">
        <v>1</v>
      </c>
    </row>
    <row r="248" spans="1:13">
      <c r="A248" s="8">
        <v>43263</v>
      </c>
      <c r="B248" s="9">
        <v>0.60277777777777775</v>
      </c>
      <c r="C248" s="10" t="str">
        <f>"FES1162628962"</f>
        <v>FES1162628962</v>
      </c>
      <c r="D248" s="10" t="s">
        <v>19</v>
      </c>
      <c r="E248" s="10" t="s">
        <v>60</v>
      </c>
      <c r="F248" s="10" t="str">
        <f>"2170636063 "</f>
        <v xml:space="preserve">2170636063 </v>
      </c>
      <c r="G248" s="10" t="str">
        <f t="shared" si="7"/>
        <v>ON1</v>
      </c>
      <c r="H248" s="10" t="s">
        <v>21</v>
      </c>
      <c r="I248" s="10" t="s">
        <v>61</v>
      </c>
      <c r="J248" s="10" t="str">
        <f>""</f>
        <v/>
      </c>
      <c r="K248" s="10" t="str">
        <f>"PFES1162628962_0001"</f>
        <v>PFES1162628962_0001</v>
      </c>
      <c r="L248" s="10">
        <v>1</v>
      </c>
      <c r="M248" s="10">
        <v>3</v>
      </c>
    </row>
    <row r="249" spans="1:13">
      <c r="A249" s="8">
        <v>43263</v>
      </c>
      <c r="B249" s="9">
        <v>0.60277777777777775</v>
      </c>
      <c r="C249" s="10" t="str">
        <f>"FES1162629112"</f>
        <v>FES1162629112</v>
      </c>
      <c r="D249" s="10" t="s">
        <v>19</v>
      </c>
      <c r="E249" s="10" t="s">
        <v>191</v>
      </c>
      <c r="F249" s="10" t="str">
        <f>"2170636144 "</f>
        <v xml:space="preserve">2170636144 </v>
      </c>
      <c r="G249" s="10" t="str">
        <f t="shared" si="7"/>
        <v>ON1</v>
      </c>
      <c r="H249" s="10" t="s">
        <v>21</v>
      </c>
      <c r="I249" s="10" t="s">
        <v>192</v>
      </c>
      <c r="J249" s="10" t="str">
        <f>""</f>
        <v/>
      </c>
      <c r="K249" s="10" t="str">
        <f>"PFES1162629112_0001"</f>
        <v>PFES1162629112_0001</v>
      </c>
      <c r="L249" s="10">
        <v>1</v>
      </c>
      <c r="M249" s="10">
        <v>1</v>
      </c>
    </row>
    <row r="250" spans="1:13">
      <c r="A250" s="8">
        <v>43263</v>
      </c>
      <c r="B250" s="9">
        <v>0.60277777777777775</v>
      </c>
      <c r="C250" s="10" t="str">
        <f>"FES1162628930"</f>
        <v>FES1162628930</v>
      </c>
      <c r="D250" s="10" t="s">
        <v>19</v>
      </c>
      <c r="E250" s="10" t="s">
        <v>312</v>
      </c>
      <c r="F250" s="10" t="str">
        <f>"2170636016 "</f>
        <v xml:space="preserve">2170636016 </v>
      </c>
      <c r="G250" s="10" t="str">
        <f t="shared" si="7"/>
        <v>ON1</v>
      </c>
      <c r="H250" s="10" t="s">
        <v>21</v>
      </c>
      <c r="I250" s="10" t="s">
        <v>313</v>
      </c>
      <c r="J250" s="10" t="str">
        <f>""</f>
        <v/>
      </c>
      <c r="K250" s="10" t="str">
        <f>"PFES1162628930_0001"</f>
        <v>PFES1162628930_0001</v>
      </c>
      <c r="L250" s="10">
        <v>1</v>
      </c>
      <c r="M250" s="10">
        <v>1</v>
      </c>
    </row>
    <row r="251" spans="1:13">
      <c r="A251" s="8">
        <v>43263</v>
      </c>
      <c r="B251" s="9">
        <v>0.60138888888888886</v>
      </c>
      <c r="C251" s="10" t="str">
        <f>"FES1162628979"</f>
        <v>FES1162628979</v>
      </c>
      <c r="D251" s="10" t="s">
        <v>19</v>
      </c>
      <c r="E251" s="10" t="s">
        <v>74</v>
      </c>
      <c r="F251" s="10" t="str">
        <f>"2170633707 "</f>
        <v xml:space="preserve">2170633707 </v>
      </c>
      <c r="G251" s="10" t="str">
        <f t="shared" si="7"/>
        <v>ON1</v>
      </c>
      <c r="H251" s="10" t="s">
        <v>21</v>
      </c>
      <c r="I251" s="10" t="s">
        <v>75</v>
      </c>
      <c r="J251" s="10" t="str">
        <f>""</f>
        <v/>
      </c>
      <c r="K251" s="10" t="str">
        <f>"PFES1162628979_0001"</f>
        <v>PFES1162628979_0001</v>
      </c>
      <c r="L251" s="10">
        <v>1</v>
      </c>
      <c r="M251" s="10">
        <v>1</v>
      </c>
    </row>
    <row r="252" spans="1:13">
      <c r="A252" s="8">
        <v>43263</v>
      </c>
      <c r="B252" s="9">
        <v>0.60069444444444442</v>
      </c>
      <c r="C252" s="10" t="str">
        <f>"FES1162628915"</f>
        <v>FES1162628915</v>
      </c>
      <c r="D252" s="10" t="s">
        <v>19</v>
      </c>
      <c r="E252" s="10" t="s">
        <v>56</v>
      </c>
      <c r="F252" s="10" t="str">
        <f>"2170635996 "</f>
        <v xml:space="preserve">2170635996 </v>
      </c>
      <c r="G252" s="10" t="str">
        <f t="shared" si="7"/>
        <v>ON1</v>
      </c>
      <c r="H252" s="10" t="s">
        <v>21</v>
      </c>
      <c r="I252" s="10" t="s">
        <v>57</v>
      </c>
      <c r="J252" s="10" t="str">
        <f>""</f>
        <v/>
      </c>
      <c r="K252" s="10" t="str">
        <f>"PFES1162628915_0001"</f>
        <v>PFES1162628915_0001</v>
      </c>
      <c r="L252" s="10">
        <v>1</v>
      </c>
      <c r="M252" s="10">
        <v>3</v>
      </c>
    </row>
    <row r="253" spans="1:13">
      <c r="A253" s="8">
        <v>43263</v>
      </c>
      <c r="B253" s="9">
        <v>0.60069444444444442</v>
      </c>
      <c r="C253" s="10" t="str">
        <f>"FES1162628950"</f>
        <v>FES1162628950</v>
      </c>
      <c r="D253" s="10" t="s">
        <v>19</v>
      </c>
      <c r="E253" s="10" t="s">
        <v>143</v>
      </c>
      <c r="F253" s="10" t="str">
        <f>"2170636044 "</f>
        <v xml:space="preserve">2170636044 </v>
      </c>
      <c r="G253" s="10" t="str">
        <f t="shared" si="7"/>
        <v>ON1</v>
      </c>
      <c r="H253" s="10" t="s">
        <v>21</v>
      </c>
      <c r="I253" s="10" t="s">
        <v>144</v>
      </c>
      <c r="J253" s="10" t="str">
        <f>""</f>
        <v/>
      </c>
      <c r="K253" s="10" t="str">
        <f>"PFES1162628950_0001"</f>
        <v>PFES1162628950_0001</v>
      </c>
      <c r="L253" s="10">
        <v>1</v>
      </c>
      <c r="M253" s="10">
        <v>1</v>
      </c>
    </row>
    <row r="254" spans="1:13">
      <c r="A254" s="8">
        <v>43263</v>
      </c>
      <c r="B254" s="9">
        <v>0.6</v>
      </c>
      <c r="C254" s="10" t="str">
        <f>"FES1162629028"</f>
        <v>FES1162629028</v>
      </c>
      <c r="D254" s="10" t="s">
        <v>19</v>
      </c>
      <c r="E254" s="10" t="s">
        <v>142</v>
      </c>
      <c r="F254" s="10" t="str">
        <f>"2170633907 "</f>
        <v xml:space="preserve">2170633907 </v>
      </c>
      <c r="G254" s="10" t="str">
        <f t="shared" si="7"/>
        <v>ON1</v>
      </c>
      <c r="H254" s="10" t="s">
        <v>21</v>
      </c>
      <c r="I254" s="10" t="s">
        <v>139</v>
      </c>
      <c r="J254" s="10" t="str">
        <f>""</f>
        <v/>
      </c>
      <c r="K254" s="10" t="str">
        <f>"PFES1162629028_0001"</f>
        <v>PFES1162629028_0001</v>
      </c>
      <c r="L254" s="10">
        <v>1</v>
      </c>
      <c r="M254" s="10">
        <v>1</v>
      </c>
    </row>
    <row r="255" spans="1:13">
      <c r="A255" s="8">
        <v>43263</v>
      </c>
      <c r="B255" s="9">
        <v>0.6</v>
      </c>
      <c r="C255" s="10" t="str">
        <f>"FES1162629152"</f>
        <v>FES1162629152</v>
      </c>
      <c r="D255" s="10" t="s">
        <v>19</v>
      </c>
      <c r="E255" s="10" t="s">
        <v>314</v>
      </c>
      <c r="F255" s="10" t="str">
        <f>"2170632372 "</f>
        <v xml:space="preserve">2170632372 </v>
      </c>
      <c r="G255" s="10" t="str">
        <f t="shared" si="7"/>
        <v>ON1</v>
      </c>
      <c r="H255" s="10" t="s">
        <v>21</v>
      </c>
      <c r="I255" s="10" t="s">
        <v>57</v>
      </c>
      <c r="J255" s="10" t="str">
        <f>""</f>
        <v/>
      </c>
      <c r="K255" s="10" t="str">
        <f>"PFES1162629152_0001"</f>
        <v>PFES1162629152_0001</v>
      </c>
      <c r="L255" s="10">
        <v>1</v>
      </c>
      <c r="M255" s="10">
        <v>1</v>
      </c>
    </row>
    <row r="256" spans="1:13">
      <c r="A256" s="8">
        <v>43263</v>
      </c>
      <c r="B256" s="9">
        <v>0.59930555555555554</v>
      </c>
      <c r="C256" s="10" t="str">
        <f>"FES1162629082"</f>
        <v>FES1162629082</v>
      </c>
      <c r="D256" s="10" t="s">
        <v>19</v>
      </c>
      <c r="E256" s="10" t="s">
        <v>315</v>
      </c>
      <c r="F256" s="10" t="str">
        <f>"2170636107 "</f>
        <v xml:space="preserve">2170636107 </v>
      </c>
      <c r="G256" s="10" t="str">
        <f t="shared" si="7"/>
        <v>ON1</v>
      </c>
      <c r="H256" s="10" t="s">
        <v>21</v>
      </c>
      <c r="I256" s="10" t="s">
        <v>104</v>
      </c>
      <c r="J256" s="10" t="str">
        <f>""</f>
        <v/>
      </c>
      <c r="K256" s="10" t="str">
        <f>"PFES1162629082_0001"</f>
        <v>PFES1162629082_0001</v>
      </c>
      <c r="L256" s="10">
        <v>1</v>
      </c>
      <c r="M256" s="10">
        <v>1</v>
      </c>
    </row>
    <row r="257" spans="1:13">
      <c r="A257" s="8">
        <v>43263</v>
      </c>
      <c r="B257" s="9">
        <v>0.59930555555555554</v>
      </c>
      <c r="C257" s="10" t="str">
        <f>"FES1162628948"</f>
        <v>FES1162628948</v>
      </c>
      <c r="D257" s="10" t="s">
        <v>19</v>
      </c>
      <c r="E257" s="10" t="s">
        <v>302</v>
      </c>
      <c r="F257" s="10" t="str">
        <f>"2170636027 "</f>
        <v xml:space="preserve">2170636027 </v>
      </c>
      <c r="G257" s="10" t="str">
        <f t="shared" si="7"/>
        <v>ON1</v>
      </c>
      <c r="H257" s="10" t="s">
        <v>21</v>
      </c>
      <c r="I257" s="10" t="s">
        <v>303</v>
      </c>
      <c r="J257" s="10" t="str">
        <f>""</f>
        <v/>
      </c>
      <c r="K257" s="10" t="str">
        <f>"PFES1162628948_0001"</f>
        <v>PFES1162628948_0001</v>
      </c>
      <c r="L257" s="10">
        <v>1</v>
      </c>
      <c r="M257" s="10">
        <v>2</v>
      </c>
    </row>
    <row r="258" spans="1:13">
      <c r="A258" s="8">
        <v>43263</v>
      </c>
      <c r="B258" s="9">
        <v>0.59930555555555554</v>
      </c>
      <c r="C258" s="10" t="str">
        <f>"FES1162629085"</f>
        <v>FES1162629085</v>
      </c>
      <c r="D258" s="10" t="s">
        <v>19</v>
      </c>
      <c r="E258" s="10" t="s">
        <v>60</v>
      </c>
      <c r="F258" s="10" t="str">
        <f>"2170636110 "</f>
        <v xml:space="preserve">2170636110 </v>
      </c>
      <c r="G258" s="10" t="str">
        <f t="shared" si="7"/>
        <v>ON1</v>
      </c>
      <c r="H258" s="10" t="s">
        <v>21</v>
      </c>
      <c r="I258" s="10" t="s">
        <v>61</v>
      </c>
      <c r="J258" s="10" t="str">
        <f>""</f>
        <v/>
      </c>
      <c r="K258" s="10" t="str">
        <f>"PFES1162629085_0001"</f>
        <v>PFES1162629085_0001</v>
      </c>
      <c r="L258" s="10">
        <v>1</v>
      </c>
      <c r="M258" s="10">
        <v>1</v>
      </c>
    </row>
    <row r="259" spans="1:13">
      <c r="A259" s="8">
        <v>43263</v>
      </c>
      <c r="B259" s="9">
        <v>0.59861111111111109</v>
      </c>
      <c r="C259" s="10" t="str">
        <f>"FES1162628888"</f>
        <v>FES1162628888</v>
      </c>
      <c r="D259" s="10" t="s">
        <v>19</v>
      </c>
      <c r="E259" s="10" t="s">
        <v>67</v>
      </c>
      <c r="F259" s="10" t="str">
        <f>"2170635245 "</f>
        <v xml:space="preserve">2170635245 </v>
      </c>
      <c r="G259" s="10" t="str">
        <f t="shared" si="7"/>
        <v>ON1</v>
      </c>
      <c r="H259" s="10" t="s">
        <v>21</v>
      </c>
      <c r="I259" s="10" t="s">
        <v>146</v>
      </c>
      <c r="J259" s="10" t="str">
        <f>""</f>
        <v/>
      </c>
      <c r="K259" s="10" t="str">
        <f>"PFES1162628888_0001"</f>
        <v>PFES1162628888_0001</v>
      </c>
      <c r="L259" s="10">
        <v>1</v>
      </c>
      <c r="M259" s="10">
        <v>1</v>
      </c>
    </row>
    <row r="260" spans="1:13">
      <c r="A260" s="8">
        <v>43263</v>
      </c>
      <c r="B260" s="9">
        <v>0.59791666666666665</v>
      </c>
      <c r="C260" s="10" t="str">
        <f>"FES1162628928"</f>
        <v>FES1162628928</v>
      </c>
      <c r="D260" s="10" t="s">
        <v>19</v>
      </c>
      <c r="E260" s="10" t="s">
        <v>316</v>
      </c>
      <c r="F260" s="10" t="str">
        <f>"2170636012 "</f>
        <v xml:space="preserve">2170636012 </v>
      </c>
      <c r="G260" s="10" t="str">
        <f t="shared" si="7"/>
        <v>ON1</v>
      </c>
      <c r="H260" s="10" t="s">
        <v>21</v>
      </c>
      <c r="I260" s="10" t="s">
        <v>317</v>
      </c>
      <c r="J260" s="10" t="str">
        <f>""</f>
        <v/>
      </c>
      <c r="K260" s="10" t="str">
        <f>"PFES1162628928_0001"</f>
        <v>PFES1162628928_0001</v>
      </c>
      <c r="L260" s="10">
        <v>1</v>
      </c>
      <c r="M260" s="10">
        <v>1</v>
      </c>
    </row>
    <row r="261" spans="1:13">
      <c r="A261" s="8">
        <v>43263</v>
      </c>
      <c r="B261" s="9">
        <v>0.59791666666666665</v>
      </c>
      <c r="C261" s="10" t="str">
        <f>"FES1162629147"</f>
        <v>FES1162629147</v>
      </c>
      <c r="D261" s="10" t="s">
        <v>19</v>
      </c>
      <c r="E261" s="10" t="s">
        <v>95</v>
      </c>
      <c r="F261" s="10" t="str">
        <f>"2170636185 "</f>
        <v xml:space="preserve">2170636185 </v>
      </c>
      <c r="G261" s="10" t="str">
        <f t="shared" si="7"/>
        <v>ON1</v>
      </c>
      <c r="H261" s="10" t="s">
        <v>21</v>
      </c>
      <c r="I261" s="10" t="s">
        <v>96</v>
      </c>
      <c r="J261" s="10" t="str">
        <f>""</f>
        <v/>
      </c>
      <c r="K261" s="10" t="str">
        <f>"PFES1162629147_0001"</f>
        <v>PFES1162629147_0001</v>
      </c>
      <c r="L261" s="10">
        <v>1</v>
      </c>
      <c r="M261" s="10">
        <v>3</v>
      </c>
    </row>
    <row r="262" spans="1:13">
      <c r="A262" s="8">
        <v>43263</v>
      </c>
      <c r="B262" s="9">
        <v>0.59791666666666665</v>
      </c>
      <c r="C262" s="10" t="str">
        <f>"FES1162629067"</f>
        <v>FES1162629067</v>
      </c>
      <c r="D262" s="10" t="s">
        <v>19</v>
      </c>
      <c r="E262" s="10" t="s">
        <v>318</v>
      </c>
      <c r="F262" s="10" t="str">
        <f>"2170636083 "</f>
        <v xml:space="preserve">2170636083 </v>
      </c>
      <c r="G262" s="10" t="str">
        <f t="shared" si="7"/>
        <v>ON1</v>
      </c>
      <c r="H262" s="10" t="s">
        <v>21</v>
      </c>
      <c r="I262" s="10" t="s">
        <v>61</v>
      </c>
      <c r="J262" s="10" t="str">
        <f>""</f>
        <v/>
      </c>
      <c r="K262" s="10" t="str">
        <f>"PFES1162629067_0001"</f>
        <v>PFES1162629067_0001</v>
      </c>
      <c r="L262" s="10">
        <v>1</v>
      </c>
      <c r="M262" s="10">
        <v>1</v>
      </c>
    </row>
    <row r="263" spans="1:13">
      <c r="A263" s="8">
        <v>43263</v>
      </c>
      <c r="B263" s="9">
        <v>0.59791666666666665</v>
      </c>
      <c r="C263" s="10" t="str">
        <f>"FES1162629146"</f>
        <v>FES1162629146</v>
      </c>
      <c r="D263" s="10" t="s">
        <v>19</v>
      </c>
      <c r="E263" s="10" t="s">
        <v>56</v>
      </c>
      <c r="F263" s="10" t="str">
        <f>"2170636184 "</f>
        <v xml:space="preserve">2170636184 </v>
      </c>
      <c r="G263" s="10" t="str">
        <f t="shared" si="7"/>
        <v>ON1</v>
      </c>
      <c r="H263" s="10" t="s">
        <v>21</v>
      </c>
      <c r="I263" s="10" t="s">
        <v>57</v>
      </c>
      <c r="J263" s="10" t="str">
        <f>""</f>
        <v/>
      </c>
      <c r="K263" s="10" t="str">
        <f>"PFES1162629146_0001"</f>
        <v>PFES1162629146_0001</v>
      </c>
      <c r="L263" s="10">
        <v>1</v>
      </c>
      <c r="M263" s="10">
        <v>1</v>
      </c>
    </row>
    <row r="264" spans="1:13">
      <c r="A264" s="8">
        <v>43263</v>
      </c>
      <c r="B264" s="9">
        <v>0.59722222222222221</v>
      </c>
      <c r="C264" s="10" t="str">
        <f>"FES1162628871"</f>
        <v>FES1162628871</v>
      </c>
      <c r="D264" s="10" t="s">
        <v>19</v>
      </c>
      <c r="E264" s="10" t="s">
        <v>319</v>
      </c>
      <c r="F264" s="10" t="str">
        <f>"2170633651 "</f>
        <v xml:space="preserve">2170633651 </v>
      </c>
      <c r="G264" s="10" t="str">
        <f t="shared" si="7"/>
        <v>ON1</v>
      </c>
      <c r="H264" s="10" t="s">
        <v>21</v>
      </c>
      <c r="I264" s="10" t="s">
        <v>106</v>
      </c>
      <c r="J264" s="10" t="str">
        <f>""</f>
        <v/>
      </c>
      <c r="K264" s="10" t="str">
        <f>"PFES1162628871_0001"</f>
        <v>PFES1162628871_0001</v>
      </c>
      <c r="L264" s="10">
        <v>1</v>
      </c>
      <c r="M264" s="10">
        <v>1</v>
      </c>
    </row>
    <row r="265" spans="1:13">
      <c r="A265" s="8">
        <v>43263</v>
      </c>
      <c r="B265" s="9">
        <v>0.59722222222222221</v>
      </c>
      <c r="C265" s="10" t="str">
        <f>"FES1162629113"</f>
        <v>FES1162629113</v>
      </c>
      <c r="D265" s="10" t="s">
        <v>19</v>
      </c>
      <c r="E265" s="10" t="s">
        <v>29</v>
      </c>
      <c r="F265" s="10" t="str">
        <f>"217063146 "</f>
        <v xml:space="preserve">217063146 </v>
      </c>
      <c r="G265" s="10" t="str">
        <f t="shared" si="7"/>
        <v>ON1</v>
      </c>
      <c r="H265" s="10" t="s">
        <v>21</v>
      </c>
      <c r="I265" s="10" t="s">
        <v>30</v>
      </c>
      <c r="J265" s="10" t="str">
        <f>""</f>
        <v/>
      </c>
      <c r="K265" s="10" t="str">
        <f>"PFES1162629113_0001"</f>
        <v>PFES1162629113_0001</v>
      </c>
      <c r="L265" s="10">
        <v>1</v>
      </c>
      <c r="M265" s="10">
        <v>1</v>
      </c>
    </row>
    <row r="266" spans="1:13">
      <c r="A266" s="8">
        <v>43263</v>
      </c>
      <c r="B266" s="9">
        <v>0.59652777777777777</v>
      </c>
      <c r="C266" s="10" t="str">
        <f>"FES1162628922"</f>
        <v>FES1162628922</v>
      </c>
      <c r="D266" s="10" t="s">
        <v>19</v>
      </c>
      <c r="E266" s="10" t="s">
        <v>312</v>
      </c>
      <c r="F266" s="10" t="str">
        <f>"2170636005 "</f>
        <v xml:space="preserve">2170636005 </v>
      </c>
      <c r="G266" s="10" t="str">
        <f t="shared" si="7"/>
        <v>ON1</v>
      </c>
      <c r="H266" s="10" t="s">
        <v>21</v>
      </c>
      <c r="I266" s="10" t="s">
        <v>313</v>
      </c>
      <c r="J266" s="10" t="str">
        <f>""</f>
        <v/>
      </c>
      <c r="K266" s="10" t="str">
        <f>"PFES1162628922_0001"</f>
        <v>PFES1162628922_0001</v>
      </c>
      <c r="L266" s="10">
        <v>1</v>
      </c>
      <c r="M266" s="10">
        <v>1</v>
      </c>
    </row>
    <row r="267" spans="1:13">
      <c r="A267" s="8">
        <v>43263</v>
      </c>
      <c r="B267" s="9">
        <v>0.59652777777777777</v>
      </c>
      <c r="C267" s="10" t="str">
        <f>"FES1162628898"</f>
        <v>FES1162628898</v>
      </c>
      <c r="D267" s="10" t="s">
        <v>19</v>
      </c>
      <c r="E267" s="10" t="s">
        <v>320</v>
      </c>
      <c r="F267" s="10" t="str">
        <f>"2170635665 "</f>
        <v xml:space="preserve">2170635665 </v>
      </c>
      <c r="G267" s="10" t="str">
        <f t="shared" si="7"/>
        <v>ON1</v>
      </c>
      <c r="H267" s="10" t="s">
        <v>21</v>
      </c>
      <c r="I267" s="10" t="s">
        <v>79</v>
      </c>
      <c r="J267" s="10" t="str">
        <f>""</f>
        <v/>
      </c>
      <c r="K267" s="10" t="str">
        <f>"PFES1162628898_0001"</f>
        <v>PFES1162628898_0001</v>
      </c>
      <c r="L267" s="10">
        <v>1</v>
      </c>
      <c r="M267" s="10">
        <v>1</v>
      </c>
    </row>
    <row r="268" spans="1:13">
      <c r="A268" s="8">
        <v>43263</v>
      </c>
      <c r="B268" s="9">
        <v>0.59583333333333333</v>
      </c>
      <c r="C268" s="10" t="str">
        <f>"FES1162629009"</f>
        <v>FES1162629009</v>
      </c>
      <c r="D268" s="10" t="s">
        <v>19</v>
      </c>
      <c r="E268" s="10" t="s">
        <v>321</v>
      </c>
      <c r="F268" s="10" t="str">
        <f>"2170635053 "</f>
        <v xml:space="preserve">2170635053 </v>
      </c>
      <c r="G268" s="10" t="str">
        <f t="shared" si="7"/>
        <v>ON1</v>
      </c>
      <c r="H268" s="10" t="s">
        <v>21</v>
      </c>
      <c r="I268" s="10" t="s">
        <v>61</v>
      </c>
      <c r="J268" s="10" t="str">
        <f>""</f>
        <v/>
      </c>
      <c r="K268" s="10" t="str">
        <f>"PFES1162629009_0001"</f>
        <v>PFES1162629009_0001</v>
      </c>
      <c r="L268" s="10">
        <v>1</v>
      </c>
      <c r="M268" s="10">
        <v>1</v>
      </c>
    </row>
    <row r="269" spans="1:13">
      <c r="A269" s="8">
        <v>43263</v>
      </c>
      <c r="B269" s="9">
        <v>0.59583333333333333</v>
      </c>
      <c r="C269" s="10" t="str">
        <f>"FES1162628883"</f>
        <v>FES1162628883</v>
      </c>
      <c r="D269" s="10" t="s">
        <v>19</v>
      </c>
      <c r="E269" s="10" t="s">
        <v>60</v>
      </c>
      <c r="F269" s="10" t="str">
        <f>"2170634812 "</f>
        <v xml:space="preserve">2170634812 </v>
      </c>
      <c r="G269" s="10" t="str">
        <f t="shared" si="7"/>
        <v>ON1</v>
      </c>
      <c r="H269" s="10" t="s">
        <v>21</v>
      </c>
      <c r="I269" s="10" t="s">
        <v>61</v>
      </c>
      <c r="J269" s="10" t="str">
        <f>""</f>
        <v/>
      </c>
      <c r="K269" s="10" t="str">
        <f>"PFES1162628883_0001"</f>
        <v>PFES1162628883_0001</v>
      </c>
      <c r="L269" s="10">
        <v>1</v>
      </c>
      <c r="M269" s="10">
        <v>1</v>
      </c>
    </row>
    <row r="270" spans="1:13">
      <c r="A270" s="8">
        <v>43263</v>
      </c>
      <c r="B270" s="9">
        <v>0.59513888888888888</v>
      </c>
      <c r="C270" s="10" t="str">
        <f>"FES1162629047"</f>
        <v>FES1162629047</v>
      </c>
      <c r="D270" s="10" t="s">
        <v>19</v>
      </c>
      <c r="E270" s="10" t="s">
        <v>322</v>
      </c>
      <c r="F270" s="10" t="str">
        <f>"2170633642 "</f>
        <v xml:space="preserve">2170633642 </v>
      </c>
      <c r="G270" s="10" t="str">
        <f t="shared" si="7"/>
        <v>ON1</v>
      </c>
      <c r="H270" s="10" t="s">
        <v>21</v>
      </c>
      <c r="I270" s="10" t="s">
        <v>34</v>
      </c>
      <c r="J270" s="10" t="str">
        <f>""</f>
        <v/>
      </c>
      <c r="K270" s="10" t="str">
        <f>"PFES1162629047_0001"</f>
        <v>PFES1162629047_0001</v>
      </c>
      <c r="L270" s="10">
        <v>1</v>
      </c>
      <c r="M270" s="10">
        <v>1</v>
      </c>
    </row>
    <row r="271" spans="1:13">
      <c r="A271" s="8">
        <v>43263</v>
      </c>
      <c r="B271" s="9">
        <v>0.59444444444444444</v>
      </c>
      <c r="C271" s="10" t="str">
        <f>"FES1162629162"</f>
        <v>FES1162629162</v>
      </c>
      <c r="D271" s="10" t="s">
        <v>19</v>
      </c>
      <c r="E271" s="10" t="s">
        <v>268</v>
      </c>
      <c r="F271" s="10" t="str">
        <f>"2170636201 "</f>
        <v xml:space="preserve">2170636201 </v>
      </c>
      <c r="G271" s="10" t="str">
        <f t="shared" ref="G271:G300" si="8">"ON1"</f>
        <v>ON1</v>
      </c>
      <c r="H271" s="10" t="s">
        <v>21</v>
      </c>
      <c r="I271" s="10" t="s">
        <v>269</v>
      </c>
      <c r="J271" s="10" t="str">
        <f>""</f>
        <v/>
      </c>
      <c r="K271" s="10" t="str">
        <f>"PFES1162629162_0001"</f>
        <v>PFES1162629162_0001</v>
      </c>
      <c r="L271" s="10">
        <v>1</v>
      </c>
      <c r="M271" s="10">
        <v>1</v>
      </c>
    </row>
    <row r="272" spans="1:13">
      <c r="A272" s="8">
        <v>43263</v>
      </c>
      <c r="B272" s="9">
        <v>0.57986111111111105</v>
      </c>
      <c r="C272" s="10" t="str">
        <f>"FES1162629056"</f>
        <v>FES1162629056</v>
      </c>
      <c r="D272" s="10" t="s">
        <v>19</v>
      </c>
      <c r="E272" s="10" t="s">
        <v>323</v>
      </c>
      <c r="F272" s="10" t="str">
        <f>"2170633984 "</f>
        <v xml:space="preserve">2170633984 </v>
      </c>
      <c r="G272" s="10" t="str">
        <f t="shared" si="8"/>
        <v>ON1</v>
      </c>
      <c r="H272" s="10" t="s">
        <v>21</v>
      </c>
      <c r="I272" s="10" t="s">
        <v>324</v>
      </c>
      <c r="J272" s="10" t="str">
        <f>""</f>
        <v/>
      </c>
      <c r="K272" s="10" t="str">
        <f>"PFES1162629056_0001"</f>
        <v>PFES1162629056_0001</v>
      </c>
      <c r="L272" s="10">
        <v>1</v>
      </c>
      <c r="M272" s="10">
        <v>2</v>
      </c>
    </row>
    <row r="273" spans="1:13">
      <c r="A273" s="8">
        <v>43263</v>
      </c>
      <c r="B273" s="9">
        <v>0.57916666666666672</v>
      </c>
      <c r="C273" s="10" t="str">
        <f>"FES1162629096"</f>
        <v>FES1162629096</v>
      </c>
      <c r="D273" s="10" t="s">
        <v>19</v>
      </c>
      <c r="E273" s="10" t="s">
        <v>325</v>
      </c>
      <c r="F273" s="10" t="str">
        <f>"2170636118 "</f>
        <v xml:space="preserve">2170636118 </v>
      </c>
      <c r="G273" s="10" t="str">
        <f t="shared" si="8"/>
        <v>ON1</v>
      </c>
      <c r="H273" s="10" t="s">
        <v>21</v>
      </c>
      <c r="I273" s="10" t="s">
        <v>326</v>
      </c>
      <c r="J273" s="10" t="str">
        <f>""</f>
        <v/>
      </c>
      <c r="K273" s="10" t="str">
        <f>"PFES1162629096_0001"</f>
        <v>PFES1162629096_0001</v>
      </c>
      <c r="L273" s="10">
        <v>1</v>
      </c>
      <c r="M273" s="10">
        <v>2</v>
      </c>
    </row>
    <row r="274" spans="1:13">
      <c r="A274" s="8">
        <v>43263</v>
      </c>
      <c r="B274" s="9">
        <v>0.57708333333333328</v>
      </c>
      <c r="C274" s="10" t="str">
        <f>"FES1162628971"</f>
        <v>FES1162628971</v>
      </c>
      <c r="D274" s="10" t="s">
        <v>19</v>
      </c>
      <c r="E274" s="10" t="s">
        <v>327</v>
      </c>
      <c r="F274" s="10" t="str">
        <f>"2170632449 "</f>
        <v xml:space="preserve">2170632449 </v>
      </c>
      <c r="G274" s="10" t="str">
        <f t="shared" si="8"/>
        <v>ON1</v>
      </c>
      <c r="H274" s="10" t="s">
        <v>21</v>
      </c>
      <c r="I274" s="10" t="s">
        <v>69</v>
      </c>
      <c r="J274" s="10" t="str">
        <f>""</f>
        <v/>
      </c>
      <c r="K274" s="10" t="str">
        <f>"PFES1162628971_0001"</f>
        <v>PFES1162628971_0001</v>
      </c>
      <c r="L274" s="10">
        <v>1</v>
      </c>
      <c r="M274" s="10">
        <v>2</v>
      </c>
    </row>
    <row r="275" spans="1:13">
      <c r="A275" s="8">
        <v>43263</v>
      </c>
      <c r="B275" s="9">
        <v>0.57638888888888895</v>
      </c>
      <c r="C275" s="10" t="str">
        <f>"FES1162628976"</f>
        <v>FES1162628976</v>
      </c>
      <c r="D275" s="10" t="s">
        <v>19</v>
      </c>
      <c r="E275" s="10" t="s">
        <v>328</v>
      </c>
      <c r="F275" s="10" t="str">
        <f>"2170633693 "</f>
        <v xml:space="preserve">2170633693 </v>
      </c>
      <c r="G275" s="10" t="str">
        <f t="shared" si="8"/>
        <v>ON1</v>
      </c>
      <c r="H275" s="10" t="s">
        <v>21</v>
      </c>
      <c r="I275" s="10" t="s">
        <v>329</v>
      </c>
      <c r="J275" s="10" t="str">
        <f>""</f>
        <v/>
      </c>
      <c r="K275" s="10" t="str">
        <f>"PFES1162628976_0001"</f>
        <v>PFES1162628976_0001</v>
      </c>
      <c r="L275" s="10">
        <v>1</v>
      </c>
      <c r="M275" s="10">
        <v>11</v>
      </c>
    </row>
    <row r="276" spans="1:13">
      <c r="A276" s="8">
        <v>43263</v>
      </c>
      <c r="B276" s="9">
        <v>0.5756944444444444</v>
      </c>
      <c r="C276" s="10" t="str">
        <f>"FES1162628957"</f>
        <v>FES1162628957</v>
      </c>
      <c r="D276" s="10" t="s">
        <v>19</v>
      </c>
      <c r="E276" s="10" t="s">
        <v>330</v>
      </c>
      <c r="F276" s="10" t="str">
        <f>"2170636055 "</f>
        <v xml:space="preserve">2170636055 </v>
      </c>
      <c r="G276" s="10" t="str">
        <f t="shared" si="8"/>
        <v>ON1</v>
      </c>
      <c r="H276" s="10" t="s">
        <v>21</v>
      </c>
      <c r="I276" s="10" t="s">
        <v>331</v>
      </c>
      <c r="J276" s="10" t="str">
        <f>""</f>
        <v/>
      </c>
      <c r="K276" s="10" t="str">
        <f>"PFES1162628957_0001"</f>
        <v>PFES1162628957_0001</v>
      </c>
      <c r="L276" s="10">
        <v>1</v>
      </c>
      <c r="M276" s="10">
        <v>5</v>
      </c>
    </row>
    <row r="277" spans="1:13">
      <c r="A277" s="8">
        <v>43263</v>
      </c>
      <c r="B277" s="9">
        <v>0.57361111111111118</v>
      </c>
      <c r="C277" s="10" t="str">
        <f>"FES1162629025"</f>
        <v>FES1162629025</v>
      </c>
      <c r="D277" s="10" t="s">
        <v>19</v>
      </c>
      <c r="E277" s="10" t="s">
        <v>332</v>
      </c>
      <c r="F277" s="10" t="str">
        <f>"2170633020 "</f>
        <v xml:space="preserve">2170633020 </v>
      </c>
      <c r="G277" s="10" t="str">
        <f t="shared" si="8"/>
        <v>ON1</v>
      </c>
      <c r="H277" s="10" t="s">
        <v>21</v>
      </c>
      <c r="I277" s="10" t="s">
        <v>333</v>
      </c>
      <c r="J277" s="10" t="str">
        <f>""</f>
        <v/>
      </c>
      <c r="K277" s="10" t="str">
        <f>"PFES1162629025_0001"</f>
        <v>PFES1162629025_0001</v>
      </c>
      <c r="L277" s="10">
        <v>1</v>
      </c>
      <c r="M277" s="10">
        <v>3</v>
      </c>
    </row>
    <row r="278" spans="1:13">
      <c r="A278" s="8">
        <v>43263</v>
      </c>
      <c r="B278" s="9">
        <v>0.57291666666666663</v>
      </c>
      <c r="C278" s="10" t="str">
        <f>"FES1162629029"</f>
        <v>FES1162629029</v>
      </c>
      <c r="D278" s="10" t="s">
        <v>19</v>
      </c>
      <c r="E278" s="10" t="s">
        <v>310</v>
      </c>
      <c r="F278" s="10" t="str">
        <f>"2170634004 "</f>
        <v xml:space="preserve">2170634004 </v>
      </c>
      <c r="G278" s="10" t="str">
        <f t="shared" si="8"/>
        <v>ON1</v>
      </c>
      <c r="H278" s="10" t="s">
        <v>21</v>
      </c>
      <c r="I278" s="10" t="s">
        <v>255</v>
      </c>
      <c r="J278" s="10" t="str">
        <f>""</f>
        <v/>
      </c>
      <c r="K278" s="10" t="str">
        <f>"PFES1162629029_0001"</f>
        <v>PFES1162629029_0001</v>
      </c>
      <c r="L278" s="10">
        <v>1</v>
      </c>
      <c r="M278" s="10">
        <v>2</v>
      </c>
    </row>
    <row r="279" spans="1:13">
      <c r="A279" s="8">
        <v>43263</v>
      </c>
      <c r="B279" s="9">
        <v>0.57152777777777775</v>
      </c>
      <c r="C279" s="10" t="str">
        <f>"FES1162629061"</f>
        <v>FES1162629061</v>
      </c>
      <c r="D279" s="10" t="s">
        <v>19</v>
      </c>
      <c r="E279" s="10" t="s">
        <v>334</v>
      </c>
      <c r="F279" s="10" t="str">
        <f>"2170634118 "</f>
        <v xml:space="preserve">2170634118 </v>
      </c>
      <c r="G279" s="10" t="str">
        <f t="shared" si="8"/>
        <v>ON1</v>
      </c>
      <c r="H279" s="10" t="s">
        <v>21</v>
      </c>
      <c r="I279" s="10" t="s">
        <v>237</v>
      </c>
      <c r="J279" s="10" t="str">
        <f>""</f>
        <v/>
      </c>
      <c r="K279" s="10" t="str">
        <f>"PFES1162629061_0001"</f>
        <v>PFES1162629061_0001</v>
      </c>
      <c r="L279" s="10">
        <v>1</v>
      </c>
      <c r="M279" s="10">
        <v>3</v>
      </c>
    </row>
    <row r="280" spans="1:13">
      <c r="A280" s="8">
        <v>43263</v>
      </c>
      <c r="B280" s="9">
        <v>0.57013888888888886</v>
      </c>
      <c r="C280" s="10" t="str">
        <f>"FES1162629069"</f>
        <v>FES1162629069</v>
      </c>
      <c r="D280" s="10" t="s">
        <v>19</v>
      </c>
      <c r="E280" s="10" t="s">
        <v>216</v>
      </c>
      <c r="F280" s="10" t="str">
        <f>"2170636088 "</f>
        <v xml:space="preserve">2170636088 </v>
      </c>
      <c r="G280" s="10" t="str">
        <f t="shared" si="8"/>
        <v>ON1</v>
      </c>
      <c r="H280" s="10" t="s">
        <v>21</v>
      </c>
      <c r="I280" s="10" t="s">
        <v>110</v>
      </c>
      <c r="J280" s="10" t="str">
        <f>""</f>
        <v/>
      </c>
      <c r="K280" s="10" t="str">
        <f>"PFES1162629069_0001"</f>
        <v>PFES1162629069_0001</v>
      </c>
      <c r="L280" s="10">
        <v>1</v>
      </c>
      <c r="M280" s="10">
        <v>2</v>
      </c>
    </row>
    <row r="281" spans="1:13">
      <c r="A281" s="8">
        <v>43263</v>
      </c>
      <c r="B281" s="9">
        <v>0.56666666666666665</v>
      </c>
      <c r="C281" s="10" t="str">
        <f>"FES1162629005"</f>
        <v>FES1162629005</v>
      </c>
      <c r="D281" s="10" t="s">
        <v>19</v>
      </c>
      <c r="E281" s="10" t="s">
        <v>149</v>
      </c>
      <c r="F281" s="10" t="str">
        <f>"2170634611 "</f>
        <v xml:space="preserve">2170634611 </v>
      </c>
      <c r="G281" s="10" t="str">
        <f t="shared" si="8"/>
        <v>ON1</v>
      </c>
      <c r="H281" s="10" t="s">
        <v>21</v>
      </c>
      <c r="I281" s="10" t="s">
        <v>96</v>
      </c>
      <c r="J281" s="10" t="str">
        <f>""</f>
        <v/>
      </c>
      <c r="K281" s="10" t="str">
        <f>"PFES1162629005_0001"</f>
        <v>PFES1162629005_0001</v>
      </c>
      <c r="L281" s="10">
        <v>1</v>
      </c>
      <c r="M281" s="10">
        <v>2</v>
      </c>
    </row>
    <row r="282" spans="1:13">
      <c r="A282" s="8">
        <v>43263</v>
      </c>
      <c r="B282" s="9">
        <v>0.56458333333333333</v>
      </c>
      <c r="C282" s="10" t="str">
        <f>"009935791764"</f>
        <v>009935791764</v>
      </c>
      <c r="D282" s="10" t="s">
        <v>19</v>
      </c>
      <c r="E282" s="10" t="s">
        <v>321</v>
      </c>
      <c r="F282" s="10" t="str">
        <f>"1162627974 "</f>
        <v xml:space="preserve">1162627974 </v>
      </c>
      <c r="G282" s="10" t="str">
        <f t="shared" si="8"/>
        <v>ON1</v>
      </c>
      <c r="H282" s="10" t="s">
        <v>21</v>
      </c>
      <c r="I282" s="10" t="s">
        <v>61</v>
      </c>
      <c r="J282" s="10" t="str">
        <f>"SHORT SUPPLIE"</f>
        <v>SHORT SUPPLIE</v>
      </c>
      <c r="K282" s="10" t="str">
        <f>"P009935791764_0001"</f>
        <v>P009935791764_0001</v>
      </c>
      <c r="L282" s="10">
        <v>1</v>
      </c>
      <c r="M282" s="10">
        <v>1</v>
      </c>
    </row>
    <row r="283" spans="1:13">
      <c r="A283" s="8">
        <v>43263</v>
      </c>
      <c r="B283" s="9">
        <v>0.56458333333333333</v>
      </c>
      <c r="C283" s="10" t="str">
        <f>"FES1162629106"</f>
        <v>FES1162629106</v>
      </c>
      <c r="D283" s="10" t="s">
        <v>19</v>
      </c>
      <c r="E283" s="10" t="s">
        <v>335</v>
      </c>
      <c r="F283" s="10" t="str">
        <f>"2170636134 "</f>
        <v xml:space="preserve">2170636134 </v>
      </c>
      <c r="G283" s="10" t="str">
        <f t="shared" si="8"/>
        <v>ON1</v>
      </c>
      <c r="H283" s="10" t="s">
        <v>21</v>
      </c>
      <c r="I283" s="10" t="s">
        <v>336</v>
      </c>
      <c r="J283" s="10" t="str">
        <f>""</f>
        <v/>
      </c>
      <c r="K283" s="10" t="str">
        <f>"PFES1162629106_0001"</f>
        <v>PFES1162629106_0001</v>
      </c>
      <c r="L283" s="10">
        <v>1</v>
      </c>
      <c r="M283" s="10">
        <v>1</v>
      </c>
    </row>
    <row r="284" spans="1:13">
      <c r="A284" s="8">
        <v>43263</v>
      </c>
      <c r="B284" s="9">
        <v>0.56388888888888888</v>
      </c>
      <c r="C284" s="10" t="str">
        <f>"FES1162628985"</f>
        <v>FES1162628985</v>
      </c>
      <c r="D284" s="10" t="s">
        <v>19</v>
      </c>
      <c r="E284" s="10" t="s">
        <v>337</v>
      </c>
      <c r="F284" s="10" t="str">
        <f>"2170633856 "</f>
        <v xml:space="preserve">2170633856 </v>
      </c>
      <c r="G284" s="10" t="str">
        <f t="shared" si="8"/>
        <v>ON1</v>
      </c>
      <c r="H284" s="10" t="s">
        <v>21</v>
      </c>
      <c r="I284" s="10" t="s">
        <v>290</v>
      </c>
      <c r="J284" s="10" t="str">
        <f>""</f>
        <v/>
      </c>
      <c r="K284" s="10" t="str">
        <f>"PFES1162628985_0001"</f>
        <v>PFES1162628985_0001</v>
      </c>
      <c r="L284" s="10">
        <v>1</v>
      </c>
      <c r="M284" s="10">
        <v>1</v>
      </c>
    </row>
    <row r="285" spans="1:13">
      <c r="A285" s="8">
        <v>43263</v>
      </c>
      <c r="B285" s="9">
        <v>0.56388888888888888</v>
      </c>
      <c r="C285" s="10" t="str">
        <f>"FES1162628965"</f>
        <v>FES1162628965</v>
      </c>
      <c r="D285" s="10" t="s">
        <v>19</v>
      </c>
      <c r="E285" s="10" t="s">
        <v>338</v>
      </c>
      <c r="F285" s="10" t="str">
        <f>"21706328026 "</f>
        <v xml:space="preserve">21706328026 </v>
      </c>
      <c r="G285" s="10" t="str">
        <f t="shared" si="8"/>
        <v>ON1</v>
      </c>
      <c r="H285" s="10" t="s">
        <v>21</v>
      </c>
      <c r="I285" s="10" t="s">
        <v>331</v>
      </c>
      <c r="J285" s="10" t="str">
        <f>""</f>
        <v/>
      </c>
      <c r="K285" s="10" t="str">
        <f>"PFES1162628965_0001"</f>
        <v>PFES1162628965_0001</v>
      </c>
      <c r="L285" s="10">
        <v>1</v>
      </c>
      <c r="M285" s="10">
        <v>1</v>
      </c>
    </row>
    <row r="286" spans="1:13">
      <c r="A286" s="8">
        <v>43263</v>
      </c>
      <c r="B286" s="9">
        <v>0.56319444444444444</v>
      </c>
      <c r="C286" s="10" t="str">
        <f>"FES1162628986"</f>
        <v>FES1162628986</v>
      </c>
      <c r="D286" s="10" t="s">
        <v>19</v>
      </c>
      <c r="E286" s="10" t="s">
        <v>337</v>
      </c>
      <c r="F286" s="10" t="str">
        <f>"2170633858 "</f>
        <v xml:space="preserve">2170633858 </v>
      </c>
      <c r="G286" s="10" t="str">
        <f t="shared" si="8"/>
        <v>ON1</v>
      </c>
      <c r="H286" s="10" t="s">
        <v>21</v>
      </c>
      <c r="I286" s="10" t="s">
        <v>290</v>
      </c>
      <c r="J286" s="10" t="str">
        <f>""</f>
        <v/>
      </c>
      <c r="K286" s="10" t="str">
        <f>"PFES1162628986_0001"</f>
        <v>PFES1162628986_0001</v>
      </c>
      <c r="L286" s="10">
        <v>1</v>
      </c>
      <c r="M286" s="10">
        <v>1</v>
      </c>
    </row>
    <row r="287" spans="1:13">
      <c r="A287" s="8">
        <v>43263</v>
      </c>
      <c r="B287" s="9">
        <v>0.56319444444444444</v>
      </c>
      <c r="C287" s="10" t="str">
        <f>"FES1162628868"</f>
        <v>FES1162628868</v>
      </c>
      <c r="D287" s="10" t="s">
        <v>19</v>
      </c>
      <c r="E287" s="10" t="s">
        <v>339</v>
      </c>
      <c r="F287" s="10" t="str">
        <f>"2170631929 "</f>
        <v xml:space="preserve">2170631929 </v>
      </c>
      <c r="G287" s="10" t="str">
        <f t="shared" si="8"/>
        <v>ON1</v>
      </c>
      <c r="H287" s="10" t="s">
        <v>21</v>
      </c>
      <c r="I287" s="10" t="s">
        <v>230</v>
      </c>
      <c r="J287" s="10" t="str">
        <f>""</f>
        <v/>
      </c>
      <c r="K287" s="10" t="str">
        <f>"PFES1162628868_0001"</f>
        <v>PFES1162628868_0001</v>
      </c>
      <c r="L287" s="10">
        <v>1</v>
      </c>
      <c r="M287" s="10">
        <v>1</v>
      </c>
    </row>
    <row r="288" spans="1:13">
      <c r="A288" s="8">
        <v>43263</v>
      </c>
      <c r="B288" s="9">
        <v>0.56319444444444444</v>
      </c>
      <c r="C288" s="10" t="str">
        <f>"FES1162628981"</f>
        <v>FES1162628981</v>
      </c>
      <c r="D288" s="10" t="s">
        <v>19</v>
      </c>
      <c r="E288" s="10" t="s">
        <v>289</v>
      </c>
      <c r="F288" s="10" t="str">
        <f>"2170633760 "</f>
        <v xml:space="preserve">2170633760 </v>
      </c>
      <c r="G288" s="10" t="str">
        <f t="shared" si="8"/>
        <v>ON1</v>
      </c>
      <c r="H288" s="10" t="s">
        <v>21</v>
      </c>
      <c r="I288" s="10" t="s">
        <v>290</v>
      </c>
      <c r="J288" s="10" t="str">
        <f>""</f>
        <v/>
      </c>
      <c r="K288" s="10" t="str">
        <f>"PFES1162628981_0001"</f>
        <v>PFES1162628981_0001</v>
      </c>
      <c r="L288" s="10">
        <v>1</v>
      </c>
      <c r="M288" s="10">
        <v>1</v>
      </c>
    </row>
    <row r="289" spans="1:13">
      <c r="A289" s="8">
        <v>43263</v>
      </c>
      <c r="B289" s="9">
        <v>0.5625</v>
      </c>
      <c r="C289" s="10" t="str">
        <f>"FES1162628947"</f>
        <v>FES1162628947</v>
      </c>
      <c r="D289" s="10" t="s">
        <v>19</v>
      </c>
      <c r="E289" s="10" t="s">
        <v>340</v>
      </c>
      <c r="F289" s="10" t="str">
        <f>"2170636042 "</f>
        <v xml:space="preserve">2170636042 </v>
      </c>
      <c r="G289" s="10" t="str">
        <f t="shared" si="8"/>
        <v>ON1</v>
      </c>
      <c r="H289" s="10" t="s">
        <v>21</v>
      </c>
      <c r="I289" s="10" t="s">
        <v>106</v>
      </c>
      <c r="J289" s="10" t="str">
        <f>""</f>
        <v/>
      </c>
      <c r="K289" s="10" t="str">
        <f>"PFES1162628947_0001"</f>
        <v>PFES1162628947_0001</v>
      </c>
      <c r="L289" s="10">
        <v>1</v>
      </c>
      <c r="M289" s="10">
        <v>2</v>
      </c>
    </row>
    <row r="290" spans="1:13">
      <c r="A290" s="8">
        <v>43263</v>
      </c>
      <c r="B290" s="9">
        <v>0.55902777777777779</v>
      </c>
      <c r="C290" s="10" t="str">
        <f>"FES1162628966"</f>
        <v>FES1162628966</v>
      </c>
      <c r="D290" s="10" t="s">
        <v>19</v>
      </c>
      <c r="E290" s="10" t="s">
        <v>341</v>
      </c>
      <c r="F290" s="10" t="str">
        <f>"2170628366 "</f>
        <v xml:space="preserve">2170628366 </v>
      </c>
      <c r="G290" s="10" t="str">
        <f t="shared" si="8"/>
        <v>ON1</v>
      </c>
      <c r="H290" s="10" t="s">
        <v>21</v>
      </c>
      <c r="I290" s="10" t="s">
        <v>342</v>
      </c>
      <c r="J290" s="10" t="str">
        <f>""</f>
        <v/>
      </c>
      <c r="K290" s="10" t="str">
        <f>"PFES1162628966_0001"</f>
        <v>PFES1162628966_0001</v>
      </c>
      <c r="L290" s="10">
        <v>1</v>
      </c>
      <c r="M290" s="10">
        <v>1</v>
      </c>
    </row>
    <row r="291" spans="1:13">
      <c r="A291" s="8">
        <v>43263</v>
      </c>
      <c r="B291" s="9">
        <v>0.55902777777777779</v>
      </c>
      <c r="C291" s="10" t="str">
        <f>"FES1162629004"</f>
        <v>FES1162629004</v>
      </c>
      <c r="D291" s="10" t="s">
        <v>19</v>
      </c>
      <c r="E291" s="10" t="s">
        <v>343</v>
      </c>
      <c r="F291" s="10" t="str">
        <f>"2170634106 "</f>
        <v xml:space="preserve">2170634106 </v>
      </c>
      <c r="G291" s="10" t="str">
        <f t="shared" si="8"/>
        <v>ON1</v>
      </c>
      <c r="H291" s="10" t="s">
        <v>21</v>
      </c>
      <c r="I291" s="10" t="s">
        <v>213</v>
      </c>
      <c r="J291" s="10" t="str">
        <f>""</f>
        <v/>
      </c>
      <c r="K291" s="10" t="str">
        <f>"PFES1162629004_0001"</f>
        <v>PFES1162629004_0001</v>
      </c>
      <c r="L291" s="10">
        <v>1</v>
      </c>
      <c r="M291" s="10">
        <v>1</v>
      </c>
    </row>
    <row r="292" spans="1:13">
      <c r="A292" s="8">
        <v>43263</v>
      </c>
      <c r="B292" s="9">
        <v>0.55833333333333335</v>
      </c>
      <c r="C292" s="10" t="str">
        <f>"FES1162628969"</f>
        <v>FES1162628969</v>
      </c>
      <c r="D292" s="10" t="s">
        <v>19</v>
      </c>
      <c r="E292" s="10" t="s">
        <v>149</v>
      </c>
      <c r="F292" s="10" t="str">
        <f>"2170631666 "</f>
        <v xml:space="preserve">2170631666 </v>
      </c>
      <c r="G292" s="10" t="str">
        <f t="shared" si="8"/>
        <v>ON1</v>
      </c>
      <c r="H292" s="10" t="s">
        <v>21</v>
      </c>
      <c r="I292" s="10" t="s">
        <v>96</v>
      </c>
      <c r="J292" s="10" t="str">
        <f>""</f>
        <v/>
      </c>
      <c r="K292" s="10" t="str">
        <f>"PFES1162628969_0001"</f>
        <v>PFES1162628969_0001</v>
      </c>
      <c r="L292" s="10">
        <v>1</v>
      </c>
      <c r="M292" s="10">
        <v>15</v>
      </c>
    </row>
    <row r="293" spans="1:13">
      <c r="A293" s="8">
        <v>43263</v>
      </c>
      <c r="B293" s="9">
        <v>0.55833333333333335</v>
      </c>
      <c r="C293" s="10" t="str">
        <f>"FES1162628908"</f>
        <v>FES1162628908</v>
      </c>
      <c r="D293" s="10" t="s">
        <v>19</v>
      </c>
      <c r="E293" s="10" t="s">
        <v>235</v>
      </c>
      <c r="F293" s="10" t="str">
        <f>"2170635984 "</f>
        <v xml:space="preserve">2170635984 </v>
      </c>
      <c r="G293" s="10" t="str">
        <f t="shared" si="8"/>
        <v>ON1</v>
      </c>
      <c r="H293" s="10" t="s">
        <v>21</v>
      </c>
      <c r="I293" s="10" t="s">
        <v>174</v>
      </c>
      <c r="J293" s="10" t="str">
        <f>""</f>
        <v/>
      </c>
      <c r="K293" s="10" t="str">
        <f>"PFES1162628908_0001"</f>
        <v>PFES1162628908_0001</v>
      </c>
      <c r="L293" s="10">
        <v>1</v>
      </c>
      <c r="M293" s="10">
        <v>1</v>
      </c>
    </row>
    <row r="294" spans="1:13">
      <c r="A294" s="8">
        <v>43263</v>
      </c>
      <c r="B294" s="9">
        <v>0.55833333333333335</v>
      </c>
      <c r="C294" s="10" t="str">
        <f>"FES1162628995"</f>
        <v>FES1162628995</v>
      </c>
      <c r="D294" s="10" t="s">
        <v>19</v>
      </c>
      <c r="E294" s="10" t="s">
        <v>344</v>
      </c>
      <c r="F294" s="10" t="str">
        <f>"2170633976 "</f>
        <v xml:space="preserve">2170633976 </v>
      </c>
      <c r="G294" s="10" t="str">
        <f t="shared" si="8"/>
        <v>ON1</v>
      </c>
      <c r="H294" s="10" t="s">
        <v>21</v>
      </c>
      <c r="I294" s="10" t="s">
        <v>83</v>
      </c>
      <c r="J294" s="10" t="str">
        <f>""</f>
        <v/>
      </c>
      <c r="K294" s="10" t="str">
        <f>"PFES1162628995_0001"</f>
        <v>PFES1162628995_0001</v>
      </c>
      <c r="L294" s="10">
        <v>1</v>
      </c>
      <c r="M294" s="10">
        <v>1</v>
      </c>
    </row>
    <row r="295" spans="1:13">
      <c r="A295" s="8">
        <v>43263</v>
      </c>
      <c r="B295" s="9">
        <v>0.55763888888888891</v>
      </c>
      <c r="C295" s="10" t="str">
        <f>"FES1162629101"</f>
        <v>FES1162629101</v>
      </c>
      <c r="D295" s="10" t="s">
        <v>19</v>
      </c>
      <c r="E295" s="10" t="s">
        <v>345</v>
      </c>
      <c r="F295" s="10" t="str">
        <f>"2170636126 "</f>
        <v xml:space="preserve">2170636126 </v>
      </c>
      <c r="G295" s="10" t="str">
        <f t="shared" si="8"/>
        <v>ON1</v>
      </c>
      <c r="H295" s="10" t="s">
        <v>21</v>
      </c>
      <c r="I295" s="10" t="s">
        <v>228</v>
      </c>
      <c r="J295" s="10" t="str">
        <f>""</f>
        <v/>
      </c>
      <c r="K295" s="10" t="str">
        <f>"PFES1162629101_0001"</f>
        <v>PFES1162629101_0001</v>
      </c>
      <c r="L295" s="10">
        <v>1</v>
      </c>
      <c r="M295" s="10">
        <v>1</v>
      </c>
    </row>
    <row r="296" spans="1:13">
      <c r="A296" s="8">
        <v>43263</v>
      </c>
      <c r="B296" s="9">
        <v>0.55763888888888891</v>
      </c>
      <c r="C296" s="10" t="str">
        <f>"FES1162629095"</f>
        <v>FES1162629095</v>
      </c>
      <c r="D296" s="10" t="s">
        <v>19</v>
      </c>
      <c r="E296" s="10" t="s">
        <v>346</v>
      </c>
      <c r="F296" s="10" t="str">
        <f>"217063115 "</f>
        <v xml:space="preserve">217063115 </v>
      </c>
      <c r="G296" s="10" t="str">
        <f t="shared" si="8"/>
        <v>ON1</v>
      </c>
      <c r="H296" s="10" t="s">
        <v>21</v>
      </c>
      <c r="I296" s="10" t="s">
        <v>228</v>
      </c>
      <c r="J296" s="10" t="str">
        <f>""</f>
        <v/>
      </c>
      <c r="K296" s="10" t="str">
        <f>"PFES1162629095_0001"</f>
        <v>PFES1162629095_0001</v>
      </c>
      <c r="L296" s="10">
        <v>1</v>
      </c>
      <c r="M296" s="10">
        <v>1</v>
      </c>
    </row>
    <row r="297" spans="1:13">
      <c r="A297" s="8">
        <v>43263</v>
      </c>
      <c r="B297" s="9">
        <v>0.55763888888888891</v>
      </c>
      <c r="C297" s="10" t="str">
        <f>"FES1162629026"</f>
        <v>FES1162629026</v>
      </c>
      <c r="D297" s="10" t="s">
        <v>19</v>
      </c>
      <c r="E297" s="10" t="s">
        <v>122</v>
      </c>
      <c r="F297" s="10" t="str">
        <f>"2170633499 "</f>
        <v xml:space="preserve">2170633499 </v>
      </c>
      <c r="G297" s="10" t="str">
        <f t="shared" si="8"/>
        <v>ON1</v>
      </c>
      <c r="H297" s="10" t="s">
        <v>21</v>
      </c>
      <c r="I297" s="10" t="s">
        <v>75</v>
      </c>
      <c r="J297" s="10" t="str">
        <f>""</f>
        <v/>
      </c>
      <c r="K297" s="10" t="str">
        <f>"PFES1162629026_0001"</f>
        <v>PFES1162629026_0001</v>
      </c>
      <c r="L297" s="10">
        <v>1</v>
      </c>
      <c r="M297" s="10">
        <v>1</v>
      </c>
    </row>
    <row r="298" spans="1:13">
      <c r="A298" s="8">
        <v>43263</v>
      </c>
      <c r="B298" s="9">
        <v>0.55694444444444446</v>
      </c>
      <c r="C298" s="10" t="str">
        <f>"FES1162628961"</f>
        <v>FES1162628961</v>
      </c>
      <c r="D298" s="10" t="s">
        <v>19</v>
      </c>
      <c r="E298" s="10" t="s">
        <v>312</v>
      </c>
      <c r="F298" s="10" t="str">
        <f>"2170636060 "</f>
        <v xml:space="preserve">2170636060 </v>
      </c>
      <c r="G298" s="10" t="str">
        <f t="shared" si="8"/>
        <v>ON1</v>
      </c>
      <c r="H298" s="10" t="s">
        <v>21</v>
      </c>
      <c r="I298" s="10" t="s">
        <v>313</v>
      </c>
      <c r="J298" s="10" t="str">
        <f>""</f>
        <v/>
      </c>
      <c r="K298" s="10" t="str">
        <f>"PFES1162628961_0001"</f>
        <v>PFES1162628961_0001</v>
      </c>
      <c r="L298" s="10">
        <v>1</v>
      </c>
      <c r="M298" s="10">
        <v>1</v>
      </c>
    </row>
    <row r="299" spans="1:13">
      <c r="A299" s="8">
        <v>43263</v>
      </c>
      <c r="B299" s="9">
        <v>0.55694444444444446</v>
      </c>
      <c r="C299" s="10" t="str">
        <f>"FES1162628991"</f>
        <v>FES1162628991</v>
      </c>
      <c r="D299" s="10" t="s">
        <v>19</v>
      </c>
      <c r="E299" s="10" t="s">
        <v>347</v>
      </c>
      <c r="F299" s="10" t="str">
        <f>"2170633927 "</f>
        <v xml:space="preserve">2170633927 </v>
      </c>
      <c r="G299" s="10" t="str">
        <f t="shared" si="8"/>
        <v>ON1</v>
      </c>
      <c r="H299" s="10" t="s">
        <v>21</v>
      </c>
      <c r="I299" s="10" t="s">
        <v>100</v>
      </c>
      <c r="J299" s="10" t="str">
        <f>""</f>
        <v/>
      </c>
      <c r="K299" s="10" t="str">
        <f>"PFES1162628991_0001"</f>
        <v>PFES1162628991_0001</v>
      </c>
      <c r="L299" s="10">
        <v>1</v>
      </c>
      <c r="M299" s="10">
        <v>1</v>
      </c>
    </row>
    <row r="300" spans="1:13">
      <c r="A300" s="8">
        <v>43263</v>
      </c>
      <c r="B300" s="9">
        <v>0.55625000000000002</v>
      </c>
      <c r="C300" s="10" t="str">
        <f>"FES1162629002"</f>
        <v>FES1162629002</v>
      </c>
      <c r="D300" s="10" t="s">
        <v>19</v>
      </c>
      <c r="E300" s="10" t="s">
        <v>348</v>
      </c>
      <c r="F300" s="10" t="str">
        <f>"2170634065 "</f>
        <v xml:space="preserve">2170634065 </v>
      </c>
      <c r="G300" s="10" t="str">
        <f t="shared" si="8"/>
        <v>ON1</v>
      </c>
      <c r="H300" s="10" t="s">
        <v>21</v>
      </c>
      <c r="I300" s="10" t="s">
        <v>349</v>
      </c>
      <c r="J300" s="10" t="str">
        <f>""</f>
        <v/>
      </c>
      <c r="K300" s="10" t="str">
        <f>"PFES1162629002_0001"</f>
        <v>PFES1162629002_0001</v>
      </c>
      <c r="L300" s="10">
        <v>1</v>
      </c>
      <c r="M300" s="10">
        <v>1</v>
      </c>
    </row>
    <row r="301" spans="1:13">
      <c r="A301" s="8">
        <v>43263</v>
      </c>
      <c r="B301" s="9">
        <v>0.55555555555555558</v>
      </c>
      <c r="C301" s="10" t="str">
        <f>"FES1162629081"</f>
        <v>FES1162629081</v>
      </c>
      <c r="D301" s="10" t="s">
        <v>19</v>
      </c>
      <c r="E301" s="10" t="s">
        <v>350</v>
      </c>
      <c r="F301" s="10" t="str">
        <f>"2170636106 "</f>
        <v xml:space="preserve">2170636106 </v>
      </c>
      <c r="G301" s="10" t="str">
        <f>"DBC"</f>
        <v>DBC</v>
      </c>
      <c r="H301" s="10" t="s">
        <v>21</v>
      </c>
      <c r="I301" s="10" t="s">
        <v>79</v>
      </c>
      <c r="J301" s="10" t="str">
        <f>"FRAGILE OIL"</f>
        <v>FRAGILE OIL</v>
      </c>
      <c r="K301" s="10" t="str">
        <f>"PFES1162629081_0001"</f>
        <v>PFES1162629081_0001</v>
      </c>
      <c r="L301" s="10">
        <v>1</v>
      </c>
      <c r="M301" s="10">
        <v>10</v>
      </c>
    </row>
    <row r="302" spans="1:13">
      <c r="A302" s="8">
        <v>43263</v>
      </c>
      <c r="B302" s="9">
        <v>0.55555555555555558</v>
      </c>
      <c r="C302" s="10" t="str">
        <f>"FES1162628874"</f>
        <v>FES1162628874</v>
      </c>
      <c r="D302" s="10" t="s">
        <v>19</v>
      </c>
      <c r="E302" s="10" t="s">
        <v>351</v>
      </c>
      <c r="F302" s="10" t="str">
        <f>"2170634125 "</f>
        <v xml:space="preserve">2170634125 </v>
      </c>
      <c r="G302" s="10" t="str">
        <f t="shared" ref="G302:G338" si="9">"ON1"</f>
        <v>ON1</v>
      </c>
      <c r="H302" s="10" t="s">
        <v>21</v>
      </c>
      <c r="I302" s="10" t="s">
        <v>174</v>
      </c>
      <c r="J302" s="10" t="str">
        <f>""</f>
        <v/>
      </c>
      <c r="K302" s="10" t="str">
        <f>"PFES1162628874_0001"</f>
        <v>PFES1162628874_0001</v>
      </c>
      <c r="L302" s="10">
        <v>1</v>
      </c>
      <c r="M302" s="10">
        <v>1</v>
      </c>
    </row>
    <row r="303" spans="1:13">
      <c r="A303" s="8">
        <v>43263</v>
      </c>
      <c r="B303" s="9">
        <v>0.55486111111111114</v>
      </c>
      <c r="C303" s="10" t="str">
        <f>"FES1162629030"</f>
        <v>FES1162629030</v>
      </c>
      <c r="D303" s="10" t="s">
        <v>19</v>
      </c>
      <c r="E303" s="10" t="s">
        <v>74</v>
      </c>
      <c r="F303" s="10" t="str">
        <f>"2170634124 "</f>
        <v xml:space="preserve">2170634124 </v>
      </c>
      <c r="G303" s="10" t="str">
        <f t="shared" si="9"/>
        <v>ON1</v>
      </c>
      <c r="H303" s="10" t="s">
        <v>21</v>
      </c>
      <c r="I303" s="10" t="s">
        <v>75</v>
      </c>
      <c r="J303" s="10" t="str">
        <f>""</f>
        <v/>
      </c>
      <c r="K303" s="10" t="str">
        <f>"PFES1162629030_0001"</f>
        <v>PFES1162629030_0001</v>
      </c>
      <c r="L303" s="10">
        <v>1</v>
      </c>
      <c r="M303" s="10">
        <v>1</v>
      </c>
    </row>
    <row r="304" spans="1:13">
      <c r="A304" s="8">
        <v>43263</v>
      </c>
      <c r="B304" s="9">
        <v>0.55486111111111114</v>
      </c>
      <c r="C304" s="10" t="str">
        <f>"FES1162628998"</f>
        <v>FES1162628998</v>
      </c>
      <c r="D304" s="10" t="s">
        <v>19</v>
      </c>
      <c r="E304" s="10" t="s">
        <v>352</v>
      </c>
      <c r="F304" s="10" t="str">
        <f>"2170634045 "</f>
        <v xml:space="preserve">2170634045 </v>
      </c>
      <c r="G304" s="10" t="str">
        <f t="shared" si="9"/>
        <v>ON1</v>
      </c>
      <c r="H304" s="10" t="s">
        <v>21</v>
      </c>
      <c r="I304" s="10" t="s">
        <v>353</v>
      </c>
      <c r="J304" s="10" t="str">
        <f>""</f>
        <v/>
      </c>
      <c r="K304" s="10" t="str">
        <f>"PFES1162628998_0001"</f>
        <v>PFES1162628998_0001</v>
      </c>
      <c r="L304" s="10">
        <v>1</v>
      </c>
      <c r="M304" s="10">
        <v>1</v>
      </c>
    </row>
    <row r="305" spans="1:13">
      <c r="A305" s="8">
        <v>43263</v>
      </c>
      <c r="B305" s="9">
        <v>0.55486111111111114</v>
      </c>
      <c r="C305" s="10" t="str">
        <f>"FES1162628996"</f>
        <v>FES1162628996</v>
      </c>
      <c r="D305" s="10" t="s">
        <v>19</v>
      </c>
      <c r="E305" s="10" t="s">
        <v>323</v>
      </c>
      <c r="F305" s="10" t="str">
        <f>"2170633984 "</f>
        <v xml:space="preserve">2170633984 </v>
      </c>
      <c r="G305" s="10" t="str">
        <f t="shared" si="9"/>
        <v>ON1</v>
      </c>
      <c r="H305" s="10" t="s">
        <v>21</v>
      </c>
      <c r="I305" s="10" t="s">
        <v>324</v>
      </c>
      <c r="J305" s="10" t="str">
        <f>""</f>
        <v/>
      </c>
      <c r="K305" s="10" t="str">
        <f>"PFES1162628996_0001"</f>
        <v>PFES1162628996_0001</v>
      </c>
      <c r="L305" s="10">
        <v>1</v>
      </c>
      <c r="M305" s="10">
        <v>1</v>
      </c>
    </row>
    <row r="306" spans="1:13">
      <c r="A306" s="8">
        <v>43263</v>
      </c>
      <c r="B306" s="9">
        <v>0.5541666666666667</v>
      </c>
      <c r="C306" s="10" t="str">
        <f>"FES1162629060"</f>
        <v>FES1162629060</v>
      </c>
      <c r="D306" s="10" t="s">
        <v>19</v>
      </c>
      <c r="E306" s="10" t="s">
        <v>354</v>
      </c>
      <c r="F306" s="10" t="str">
        <f>"2170634094 "</f>
        <v xml:space="preserve">2170634094 </v>
      </c>
      <c r="G306" s="10" t="str">
        <f t="shared" si="9"/>
        <v>ON1</v>
      </c>
      <c r="H306" s="10" t="s">
        <v>21</v>
      </c>
      <c r="I306" s="10" t="s">
        <v>349</v>
      </c>
      <c r="J306" s="10" t="str">
        <f>""</f>
        <v/>
      </c>
      <c r="K306" s="10" t="str">
        <f>"PFES1162629060_0001"</f>
        <v>PFES1162629060_0001</v>
      </c>
      <c r="L306" s="10">
        <v>1</v>
      </c>
      <c r="M306" s="10">
        <v>1</v>
      </c>
    </row>
    <row r="307" spans="1:13">
      <c r="A307" s="8">
        <v>43263</v>
      </c>
      <c r="B307" s="9">
        <v>0.5541666666666667</v>
      </c>
      <c r="C307" s="10" t="str">
        <f>"FES1162628875"</f>
        <v>FES1162628875</v>
      </c>
      <c r="D307" s="10" t="s">
        <v>19</v>
      </c>
      <c r="E307" s="10" t="s">
        <v>60</v>
      </c>
      <c r="F307" s="10" t="str">
        <f>"2170634190 "</f>
        <v xml:space="preserve">2170634190 </v>
      </c>
      <c r="G307" s="10" t="str">
        <f t="shared" si="9"/>
        <v>ON1</v>
      </c>
      <c r="H307" s="10" t="s">
        <v>21</v>
      </c>
      <c r="I307" s="10" t="s">
        <v>61</v>
      </c>
      <c r="J307" s="10" t="str">
        <f>""</f>
        <v/>
      </c>
      <c r="K307" s="10" t="str">
        <f>"PFES1162628875_0001"</f>
        <v>PFES1162628875_0001</v>
      </c>
      <c r="L307" s="10">
        <v>1</v>
      </c>
      <c r="M307" s="10">
        <v>4</v>
      </c>
    </row>
    <row r="308" spans="1:13">
      <c r="A308" s="8">
        <v>43263</v>
      </c>
      <c r="B308" s="9">
        <v>0.5541666666666667</v>
      </c>
      <c r="C308" s="10" t="str">
        <f>"FES1162629077"</f>
        <v>FES1162629077</v>
      </c>
      <c r="D308" s="10" t="s">
        <v>19</v>
      </c>
      <c r="E308" s="10" t="s">
        <v>124</v>
      </c>
      <c r="F308" s="10" t="str">
        <f>"21706103 "</f>
        <v xml:space="preserve">21706103 </v>
      </c>
      <c r="G308" s="10" t="str">
        <f t="shared" si="9"/>
        <v>ON1</v>
      </c>
      <c r="H308" s="10" t="s">
        <v>21</v>
      </c>
      <c r="I308" s="10" t="s">
        <v>40</v>
      </c>
      <c r="J308" s="10" t="str">
        <f>""</f>
        <v/>
      </c>
      <c r="K308" s="10" t="str">
        <f>"PFES1162629077_0001"</f>
        <v>PFES1162629077_0001</v>
      </c>
      <c r="L308" s="10">
        <v>1</v>
      </c>
      <c r="M308" s="10">
        <v>1</v>
      </c>
    </row>
    <row r="309" spans="1:13">
      <c r="A309" s="8">
        <v>43263</v>
      </c>
      <c r="B309" s="9">
        <v>0.55347222222222225</v>
      </c>
      <c r="C309" s="10" t="str">
        <f>"FES1162628912"</f>
        <v>FES1162628912</v>
      </c>
      <c r="D309" s="10" t="s">
        <v>19</v>
      </c>
      <c r="E309" s="10" t="s">
        <v>355</v>
      </c>
      <c r="F309" s="10" t="str">
        <f>"2170635989 "</f>
        <v xml:space="preserve">2170635989 </v>
      </c>
      <c r="G309" s="10" t="str">
        <f t="shared" si="9"/>
        <v>ON1</v>
      </c>
      <c r="H309" s="10" t="s">
        <v>21</v>
      </c>
      <c r="I309" s="10" t="s">
        <v>265</v>
      </c>
      <c r="J309" s="10" t="str">
        <f>""</f>
        <v/>
      </c>
      <c r="K309" s="10" t="str">
        <f>"PFES1162628912_0001"</f>
        <v>PFES1162628912_0001</v>
      </c>
      <c r="L309" s="10">
        <v>1</v>
      </c>
      <c r="M309" s="10">
        <v>1</v>
      </c>
    </row>
    <row r="310" spans="1:13">
      <c r="A310" s="8">
        <v>43263</v>
      </c>
      <c r="B310" s="9">
        <v>0.55347222222222225</v>
      </c>
      <c r="C310" s="10" t="str">
        <f>"FES1162628954"</f>
        <v>FES1162628954</v>
      </c>
      <c r="D310" s="10" t="s">
        <v>19</v>
      </c>
      <c r="E310" s="10" t="s">
        <v>216</v>
      </c>
      <c r="F310" s="10" t="str">
        <f>"2170636050 "</f>
        <v xml:space="preserve">2170636050 </v>
      </c>
      <c r="G310" s="10" t="str">
        <f t="shared" si="9"/>
        <v>ON1</v>
      </c>
      <c r="H310" s="10" t="s">
        <v>21</v>
      </c>
      <c r="I310" s="10" t="s">
        <v>110</v>
      </c>
      <c r="J310" s="10" t="str">
        <f>""</f>
        <v/>
      </c>
      <c r="K310" s="10" t="str">
        <f>"PFES1162628954_0001"</f>
        <v>PFES1162628954_0001</v>
      </c>
      <c r="L310" s="10">
        <v>1</v>
      </c>
      <c r="M310" s="10">
        <v>1</v>
      </c>
    </row>
    <row r="311" spans="1:13">
      <c r="A311" s="8">
        <v>43263</v>
      </c>
      <c r="B311" s="9">
        <v>0.55277777777777781</v>
      </c>
      <c r="C311" s="10" t="str">
        <f>"FES1162628896"</f>
        <v>FES1162628896</v>
      </c>
      <c r="D311" s="10" t="s">
        <v>19</v>
      </c>
      <c r="E311" s="10" t="s">
        <v>133</v>
      </c>
      <c r="F311" s="10" t="str">
        <f>"2170635638 "</f>
        <v xml:space="preserve">2170635638 </v>
      </c>
      <c r="G311" s="10" t="str">
        <f t="shared" si="9"/>
        <v>ON1</v>
      </c>
      <c r="H311" s="10" t="s">
        <v>21</v>
      </c>
      <c r="I311" s="10" t="s">
        <v>356</v>
      </c>
      <c r="J311" s="10" t="str">
        <f>""</f>
        <v/>
      </c>
      <c r="K311" s="10" t="str">
        <f>"PFES1162628896_0001"</f>
        <v>PFES1162628896_0001</v>
      </c>
      <c r="L311" s="10">
        <v>1</v>
      </c>
      <c r="M311" s="10">
        <v>1</v>
      </c>
    </row>
    <row r="312" spans="1:13">
      <c r="A312" s="8">
        <v>43263</v>
      </c>
      <c r="B312" s="9">
        <v>0.55277777777777781</v>
      </c>
      <c r="C312" s="10" t="str">
        <f>"FES1162629041"</f>
        <v>FES1162629041</v>
      </c>
      <c r="D312" s="10" t="s">
        <v>19</v>
      </c>
      <c r="E312" s="10" t="s">
        <v>273</v>
      </c>
      <c r="F312" s="10" t="str">
        <f>"217063434304 "</f>
        <v xml:space="preserve">217063434304 </v>
      </c>
      <c r="G312" s="10" t="str">
        <f t="shared" si="9"/>
        <v>ON1</v>
      </c>
      <c r="H312" s="10" t="s">
        <v>21</v>
      </c>
      <c r="I312" s="10" t="s">
        <v>258</v>
      </c>
      <c r="J312" s="10" t="str">
        <f>""</f>
        <v/>
      </c>
      <c r="K312" s="10" t="str">
        <f>"PFES1162629041_0001"</f>
        <v>PFES1162629041_0001</v>
      </c>
      <c r="L312" s="10">
        <v>1</v>
      </c>
      <c r="M312" s="10">
        <v>1</v>
      </c>
    </row>
    <row r="313" spans="1:13">
      <c r="A313" s="8">
        <v>43263</v>
      </c>
      <c r="B313" s="9">
        <v>0.55277777777777781</v>
      </c>
      <c r="C313" s="10" t="str">
        <f>"FES1162629092"</f>
        <v>FES1162629092</v>
      </c>
      <c r="D313" s="10" t="s">
        <v>19</v>
      </c>
      <c r="E313" s="10" t="s">
        <v>60</v>
      </c>
      <c r="F313" s="10" t="str">
        <f>"2170634190 "</f>
        <v xml:space="preserve">2170634190 </v>
      </c>
      <c r="G313" s="10" t="str">
        <f t="shared" si="9"/>
        <v>ON1</v>
      </c>
      <c r="H313" s="10" t="s">
        <v>21</v>
      </c>
      <c r="I313" s="10" t="s">
        <v>61</v>
      </c>
      <c r="J313" s="10" t="str">
        <f>""</f>
        <v/>
      </c>
      <c r="K313" s="10" t="str">
        <f>"PFES1162629092_0001"</f>
        <v>PFES1162629092_0001</v>
      </c>
      <c r="L313" s="10">
        <v>1</v>
      </c>
      <c r="M313" s="10">
        <v>3</v>
      </c>
    </row>
    <row r="314" spans="1:13">
      <c r="A314" s="8">
        <v>43263</v>
      </c>
      <c r="B314" s="9">
        <v>0.55277777777777781</v>
      </c>
      <c r="C314" s="10" t="str">
        <f>"FES1162628893"</f>
        <v>FES1162628893</v>
      </c>
      <c r="D314" s="10" t="s">
        <v>19</v>
      </c>
      <c r="E314" s="10" t="s">
        <v>278</v>
      </c>
      <c r="F314" s="10" t="str">
        <f>"2170635600 "</f>
        <v xml:space="preserve">2170635600 </v>
      </c>
      <c r="G314" s="10" t="str">
        <f t="shared" si="9"/>
        <v>ON1</v>
      </c>
      <c r="H314" s="10" t="s">
        <v>21</v>
      </c>
      <c r="I314" s="10" t="s">
        <v>279</v>
      </c>
      <c r="J314" s="10" t="str">
        <f>""</f>
        <v/>
      </c>
      <c r="K314" s="10" t="str">
        <f>"PFES1162628893_0001"</f>
        <v>PFES1162628893_0001</v>
      </c>
      <c r="L314" s="10">
        <v>1</v>
      </c>
      <c r="M314" s="10">
        <v>1</v>
      </c>
    </row>
    <row r="315" spans="1:13">
      <c r="A315" s="8">
        <v>43263</v>
      </c>
      <c r="B315" s="9">
        <v>0.55208333333333337</v>
      </c>
      <c r="C315" s="10" t="str">
        <f>"FES1162629044"</f>
        <v>FES1162629044</v>
      </c>
      <c r="D315" s="10" t="s">
        <v>19</v>
      </c>
      <c r="E315" s="10" t="s">
        <v>357</v>
      </c>
      <c r="F315" s="10" t="str">
        <f>"2170631065 "</f>
        <v xml:space="preserve">2170631065 </v>
      </c>
      <c r="G315" s="10" t="str">
        <f t="shared" si="9"/>
        <v>ON1</v>
      </c>
      <c r="H315" s="10" t="s">
        <v>21</v>
      </c>
      <c r="I315" s="10" t="s">
        <v>358</v>
      </c>
      <c r="J315" s="10" t="str">
        <f>""</f>
        <v/>
      </c>
      <c r="K315" s="10" t="str">
        <f>"PFES1162629044_0001"</f>
        <v>PFES1162629044_0001</v>
      </c>
      <c r="L315" s="10">
        <v>1</v>
      </c>
      <c r="M315" s="10">
        <v>1</v>
      </c>
    </row>
    <row r="316" spans="1:13">
      <c r="A316" s="8">
        <v>43263</v>
      </c>
      <c r="B316" s="9">
        <v>0.55138888888888882</v>
      </c>
      <c r="C316" s="10" t="str">
        <f>"FES1162629065"</f>
        <v>FES1162629065</v>
      </c>
      <c r="D316" s="10" t="s">
        <v>19</v>
      </c>
      <c r="E316" s="10" t="s">
        <v>219</v>
      </c>
      <c r="F316" s="10" t="str">
        <f>"2170636074 "</f>
        <v xml:space="preserve">2170636074 </v>
      </c>
      <c r="G316" s="10" t="str">
        <f t="shared" si="9"/>
        <v>ON1</v>
      </c>
      <c r="H316" s="10" t="s">
        <v>21</v>
      </c>
      <c r="I316" s="10" t="s">
        <v>220</v>
      </c>
      <c r="J316" s="10" t="str">
        <f>""</f>
        <v/>
      </c>
      <c r="K316" s="10" t="str">
        <f>"PFES1162629065_0001"</f>
        <v>PFES1162629065_0001</v>
      </c>
      <c r="L316" s="10">
        <v>1</v>
      </c>
      <c r="M316" s="10">
        <v>1</v>
      </c>
    </row>
    <row r="317" spans="1:13">
      <c r="A317" s="8">
        <v>43263</v>
      </c>
      <c r="B317" s="9">
        <v>0.55138888888888882</v>
      </c>
      <c r="C317" s="10" t="str">
        <f>"FES1162629064"</f>
        <v>FES1162629064</v>
      </c>
      <c r="D317" s="10" t="s">
        <v>19</v>
      </c>
      <c r="E317" s="10" t="s">
        <v>67</v>
      </c>
      <c r="F317" s="10" t="str">
        <f>"2170636072 "</f>
        <v xml:space="preserve">2170636072 </v>
      </c>
      <c r="G317" s="10" t="str">
        <f t="shared" si="9"/>
        <v>ON1</v>
      </c>
      <c r="H317" s="10" t="s">
        <v>21</v>
      </c>
      <c r="I317" s="10" t="s">
        <v>238</v>
      </c>
      <c r="J317" s="10" t="str">
        <f>""</f>
        <v/>
      </c>
      <c r="K317" s="10" t="str">
        <f>"PFES1162629064_0001"</f>
        <v>PFES1162629064_0001</v>
      </c>
      <c r="L317" s="10">
        <v>1</v>
      </c>
      <c r="M317" s="10">
        <v>7</v>
      </c>
    </row>
    <row r="318" spans="1:13">
      <c r="A318" s="8">
        <v>43263</v>
      </c>
      <c r="B318" s="9">
        <v>0.55069444444444449</v>
      </c>
      <c r="C318" s="10" t="str">
        <f>"FES1162628960"</f>
        <v>FES1162628960</v>
      </c>
      <c r="D318" s="10" t="s">
        <v>19</v>
      </c>
      <c r="E318" s="10" t="s">
        <v>359</v>
      </c>
      <c r="F318" s="10" t="str">
        <f>"2170636059 "</f>
        <v xml:space="preserve">2170636059 </v>
      </c>
      <c r="G318" s="10" t="str">
        <f t="shared" si="9"/>
        <v>ON1</v>
      </c>
      <c r="H318" s="10" t="s">
        <v>21</v>
      </c>
      <c r="I318" s="10" t="s">
        <v>34</v>
      </c>
      <c r="J318" s="10" t="str">
        <f>""</f>
        <v/>
      </c>
      <c r="K318" s="10" t="str">
        <f>"PFES1162628960_0001"</f>
        <v>PFES1162628960_0001</v>
      </c>
      <c r="L318" s="10">
        <v>1</v>
      </c>
      <c r="M318" s="10">
        <v>1</v>
      </c>
    </row>
    <row r="319" spans="1:13">
      <c r="A319" s="8">
        <v>43263</v>
      </c>
      <c r="B319" s="9">
        <v>0.54999999999999993</v>
      </c>
      <c r="C319" s="10" t="str">
        <f>"FES1162628932"</f>
        <v>FES1162628932</v>
      </c>
      <c r="D319" s="10" t="s">
        <v>19</v>
      </c>
      <c r="E319" s="10" t="s">
        <v>360</v>
      </c>
      <c r="F319" s="10" t="str">
        <f>"2170636019 "</f>
        <v xml:space="preserve">2170636019 </v>
      </c>
      <c r="G319" s="10" t="str">
        <f t="shared" si="9"/>
        <v>ON1</v>
      </c>
      <c r="H319" s="10" t="s">
        <v>21</v>
      </c>
      <c r="I319" s="10" t="s">
        <v>144</v>
      </c>
      <c r="J319" s="10" t="str">
        <f>""</f>
        <v/>
      </c>
      <c r="K319" s="10" t="str">
        <f>"PFES1162628932_0001"</f>
        <v>PFES1162628932_0001</v>
      </c>
      <c r="L319" s="10">
        <v>1</v>
      </c>
      <c r="M319" s="10">
        <v>1</v>
      </c>
    </row>
    <row r="320" spans="1:13">
      <c r="A320" s="8">
        <v>43263</v>
      </c>
      <c r="B320" s="9">
        <v>0.54999999999999993</v>
      </c>
      <c r="C320" s="10" t="str">
        <f>"FES1162628877"</f>
        <v>FES1162628877</v>
      </c>
      <c r="D320" s="10" t="s">
        <v>19</v>
      </c>
      <c r="E320" s="10" t="s">
        <v>361</v>
      </c>
      <c r="F320" s="10" t="str">
        <f>"21706343476 "</f>
        <v xml:space="preserve">21706343476 </v>
      </c>
      <c r="G320" s="10" t="str">
        <f t="shared" si="9"/>
        <v>ON1</v>
      </c>
      <c r="H320" s="10" t="s">
        <v>21</v>
      </c>
      <c r="I320" s="10" t="s">
        <v>57</v>
      </c>
      <c r="J320" s="10" t="str">
        <f>""</f>
        <v/>
      </c>
      <c r="K320" s="10" t="str">
        <f>"PFES1162628877_0001"</f>
        <v>PFES1162628877_0001</v>
      </c>
      <c r="L320" s="10">
        <v>1</v>
      </c>
      <c r="M320" s="10">
        <v>1</v>
      </c>
    </row>
    <row r="321" spans="1:13">
      <c r="A321" s="8">
        <v>43263</v>
      </c>
      <c r="B321" s="9">
        <v>0.5493055555555556</v>
      </c>
      <c r="C321" s="10" t="str">
        <f>"FES1162628929"</f>
        <v>FES1162628929</v>
      </c>
      <c r="D321" s="10" t="s">
        <v>19</v>
      </c>
      <c r="E321" s="10" t="s">
        <v>145</v>
      </c>
      <c r="F321" s="10" t="str">
        <f>"2170636015 "</f>
        <v xml:space="preserve">2170636015 </v>
      </c>
      <c r="G321" s="10" t="str">
        <f t="shared" si="9"/>
        <v>ON1</v>
      </c>
      <c r="H321" s="10" t="s">
        <v>21</v>
      </c>
      <c r="I321" s="10" t="s">
        <v>146</v>
      </c>
      <c r="J321" s="10" t="str">
        <f>""</f>
        <v/>
      </c>
      <c r="K321" s="10" t="str">
        <f>"PFES1162628929_0001"</f>
        <v>PFES1162628929_0001</v>
      </c>
      <c r="L321" s="10">
        <v>1</v>
      </c>
      <c r="M321" s="10">
        <v>1</v>
      </c>
    </row>
    <row r="322" spans="1:13">
      <c r="A322" s="8">
        <v>43263</v>
      </c>
      <c r="B322" s="9">
        <v>0.5493055555555556</v>
      </c>
      <c r="C322" s="10" t="str">
        <f>"FES1162628924"</f>
        <v>FES1162628924</v>
      </c>
      <c r="D322" s="10" t="s">
        <v>19</v>
      </c>
      <c r="E322" s="10" t="s">
        <v>362</v>
      </c>
      <c r="F322" s="10" t="str">
        <f>"2170636007 "</f>
        <v xml:space="preserve">2170636007 </v>
      </c>
      <c r="G322" s="10" t="str">
        <f t="shared" si="9"/>
        <v>ON1</v>
      </c>
      <c r="H322" s="10" t="s">
        <v>21</v>
      </c>
      <c r="I322" s="10" t="s">
        <v>363</v>
      </c>
      <c r="J322" s="10" t="str">
        <f>""</f>
        <v/>
      </c>
      <c r="K322" s="10" t="str">
        <f>"PFES1162628924_0001"</f>
        <v>PFES1162628924_0001</v>
      </c>
      <c r="L322" s="10">
        <v>1</v>
      </c>
      <c r="M322" s="10">
        <v>1</v>
      </c>
    </row>
    <row r="323" spans="1:13">
      <c r="A323" s="8">
        <v>43263</v>
      </c>
      <c r="B323" s="9">
        <v>0.54861111111111105</v>
      </c>
      <c r="C323" s="10" t="str">
        <f>"FES1162629083"</f>
        <v>FES1162629083</v>
      </c>
      <c r="D323" s="10" t="s">
        <v>19</v>
      </c>
      <c r="E323" s="10" t="s">
        <v>95</v>
      </c>
      <c r="F323" s="10" t="str">
        <f>"2170636108 "</f>
        <v xml:space="preserve">2170636108 </v>
      </c>
      <c r="G323" s="10" t="str">
        <f t="shared" si="9"/>
        <v>ON1</v>
      </c>
      <c r="H323" s="10" t="s">
        <v>21</v>
      </c>
      <c r="I323" s="10" t="s">
        <v>96</v>
      </c>
      <c r="J323" s="10" t="str">
        <f>""</f>
        <v/>
      </c>
      <c r="K323" s="10" t="str">
        <f>"PFES1162629083_0001"</f>
        <v>PFES1162629083_0001</v>
      </c>
      <c r="L323" s="10">
        <v>1</v>
      </c>
      <c r="M323" s="10">
        <v>1</v>
      </c>
    </row>
    <row r="324" spans="1:13">
      <c r="A324" s="8">
        <v>43263</v>
      </c>
      <c r="B324" s="9">
        <v>0.54861111111111105</v>
      </c>
      <c r="C324" s="10" t="str">
        <f>"FES1162628983"</f>
        <v>FES1162628983</v>
      </c>
      <c r="D324" s="10" t="s">
        <v>19</v>
      </c>
      <c r="E324" s="10" t="s">
        <v>314</v>
      </c>
      <c r="F324" s="10" t="str">
        <f>"2170633840 "</f>
        <v xml:space="preserve">2170633840 </v>
      </c>
      <c r="G324" s="10" t="str">
        <f t="shared" si="9"/>
        <v>ON1</v>
      </c>
      <c r="H324" s="10" t="s">
        <v>21</v>
      </c>
      <c r="I324" s="10" t="s">
        <v>57</v>
      </c>
      <c r="J324" s="10" t="str">
        <f>""</f>
        <v/>
      </c>
      <c r="K324" s="10" t="str">
        <f>"PFES1162628983_0001"</f>
        <v>PFES1162628983_0001</v>
      </c>
      <c r="L324" s="10">
        <v>1</v>
      </c>
      <c r="M324" s="10">
        <v>4</v>
      </c>
    </row>
    <row r="325" spans="1:13">
      <c r="A325" s="8">
        <v>43263</v>
      </c>
      <c r="B325" s="9">
        <v>0.54861111111111105</v>
      </c>
      <c r="C325" s="10" t="str">
        <f>"FES1162629074"</f>
        <v>FES1162629074</v>
      </c>
      <c r="D325" s="10" t="s">
        <v>19</v>
      </c>
      <c r="E325" s="10" t="s">
        <v>143</v>
      </c>
      <c r="F325" s="10" t="str">
        <f>"217063099 "</f>
        <v xml:space="preserve">217063099 </v>
      </c>
      <c r="G325" s="10" t="str">
        <f t="shared" si="9"/>
        <v>ON1</v>
      </c>
      <c r="H325" s="10" t="s">
        <v>21</v>
      </c>
      <c r="I325" s="10" t="s">
        <v>144</v>
      </c>
      <c r="J325" s="10" t="str">
        <f>""</f>
        <v/>
      </c>
      <c r="K325" s="10" t="str">
        <f>"PFES1162629074_0001"</f>
        <v>PFES1162629074_0001</v>
      </c>
      <c r="L325" s="10">
        <v>1</v>
      </c>
      <c r="M325" s="10">
        <v>1</v>
      </c>
    </row>
    <row r="326" spans="1:13">
      <c r="A326" s="8">
        <v>43263</v>
      </c>
      <c r="B326" s="9">
        <v>0.54861111111111105</v>
      </c>
      <c r="C326" s="10" t="str">
        <f>"FES1162628970"</f>
        <v>FES1162628970</v>
      </c>
      <c r="D326" s="10" t="s">
        <v>19</v>
      </c>
      <c r="E326" s="10" t="s">
        <v>234</v>
      </c>
      <c r="F326" s="10" t="str">
        <f>"2170631908 "</f>
        <v xml:space="preserve">2170631908 </v>
      </c>
      <c r="G326" s="10" t="str">
        <f t="shared" si="9"/>
        <v>ON1</v>
      </c>
      <c r="H326" s="10" t="s">
        <v>21</v>
      </c>
      <c r="I326" s="10" t="s">
        <v>104</v>
      </c>
      <c r="J326" s="10" t="str">
        <f>""</f>
        <v/>
      </c>
      <c r="K326" s="10" t="str">
        <f>"PFES1162628970_0001"</f>
        <v>PFES1162628970_0001</v>
      </c>
      <c r="L326" s="10">
        <v>1</v>
      </c>
      <c r="M326" s="10">
        <v>1</v>
      </c>
    </row>
    <row r="327" spans="1:13">
      <c r="A327" s="8">
        <v>43263</v>
      </c>
      <c r="B327" s="9">
        <v>0.54791666666666672</v>
      </c>
      <c r="C327" s="10" t="str">
        <f>"FES1162629075"</f>
        <v>FES1162629075</v>
      </c>
      <c r="D327" s="10" t="s">
        <v>19</v>
      </c>
      <c r="E327" s="10" t="s">
        <v>362</v>
      </c>
      <c r="F327" s="10" t="str">
        <f>"2170636100 "</f>
        <v xml:space="preserve">2170636100 </v>
      </c>
      <c r="G327" s="10" t="str">
        <f t="shared" si="9"/>
        <v>ON1</v>
      </c>
      <c r="H327" s="10" t="s">
        <v>21</v>
      </c>
      <c r="I327" s="10" t="s">
        <v>363</v>
      </c>
      <c r="J327" s="10" t="str">
        <f>""</f>
        <v/>
      </c>
      <c r="K327" s="10" t="str">
        <f>"PFES1162629075_0001"</f>
        <v>PFES1162629075_0001</v>
      </c>
      <c r="L327" s="10">
        <v>1</v>
      </c>
      <c r="M327" s="10">
        <v>1</v>
      </c>
    </row>
    <row r="328" spans="1:13">
      <c r="A328" s="8">
        <v>43263</v>
      </c>
      <c r="B328" s="9">
        <v>0.54791666666666672</v>
      </c>
      <c r="C328" s="10" t="str">
        <f>"FES1162629068"</f>
        <v>FES1162629068</v>
      </c>
      <c r="D328" s="10" t="s">
        <v>19</v>
      </c>
      <c r="E328" s="10" t="s">
        <v>318</v>
      </c>
      <c r="F328" s="10" t="str">
        <f>"2170636087 "</f>
        <v xml:space="preserve">2170636087 </v>
      </c>
      <c r="G328" s="10" t="str">
        <f t="shared" si="9"/>
        <v>ON1</v>
      </c>
      <c r="H328" s="10" t="s">
        <v>21</v>
      </c>
      <c r="I328" s="10" t="s">
        <v>61</v>
      </c>
      <c r="J328" s="10" t="str">
        <f>""</f>
        <v/>
      </c>
      <c r="K328" s="10" t="str">
        <f>"PFES1162629068_0001"</f>
        <v>PFES1162629068_0001</v>
      </c>
      <c r="L328" s="10">
        <v>1</v>
      </c>
      <c r="M328" s="10">
        <v>1</v>
      </c>
    </row>
    <row r="329" spans="1:13">
      <c r="A329" s="8">
        <v>43263</v>
      </c>
      <c r="B329" s="9">
        <v>0.54722222222222217</v>
      </c>
      <c r="C329" s="10" t="str">
        <f>"FES1162629086"</f>
        <v>FES1162629086</v>
      </c>
      <c r="D329" s="10" t="s">
        <v>19</v>
      </c>
      <c r="E329" s="10" t="s">
        <v>364</v>
      </c>
      <c r="F329" s="10" t="str">
        <f>"2170636112 "</f>
        <v xml:space="preserve">2170636112 </v>
      </c>
      <c r="G329" s="10" t="str">
        <f t="shared" si="9"/>
        <v>ON1</v>
      </c>
      <c r="H329" s="10" t="s">
        <v>21</v>
      </c>
      <c r="I329" s="10" t="s">
        <v>146</v>
      </c>
      <c r="J329" s="10" t="str">
        <f>""</f>
        <v/>
      </c>
      <c r="K329" s="10" t="str">
        <f>"PFES1162629086_0001"</f>
        <v>PFES1162629086_0001</v>
      </c>
      <c r="L329" s="10">
        <v>1</v>
      </c>
      <c r="M329" s="10">
        <v>1</v>
      </c>
    </row>
    <row r="330" spans="1:13">
      <c r="A330" s="8">
        <v>43263</v>
      </c>
      <c r="B330" s="9">
        <v>0.54652777777777783</v>
      </c>
      <c r="C330" s="10" t="str">
        <f>"FES1162629057"</f>
        <v>FES1162629057</v>
      </c>
      <c r="D330" s="10" t="s">
        <v>19</v>
      </c>
      <c r="E330" s="10" t="s">
        <v>365</v>
      </c>
      <c r="F330" s="10" t="str">
        <f>"2170634030 "</f>
        <v xml:space="preserve">2170634030 </v>
      </c>
      <c r="G330" s="10" t="str">
        <f t="shared" si="9"/>
        <v>ON1</v>
      </c>
      <c r="H330" s="10" t="s">
        <v>21</v>
      </c>
      <c r="I330" s="10" t="s">
        <v>57</v>
      </c>
      <c r="J330" s="10" t="str">
        <f>""</f>
        <v/>
      </c>
      <c r="K330" s="10" t="str">
        <f>"PFES1162629057_0001"</f>
        <v>PFES1162629057_0001</v>
      </c>
      <c r="L330" s="10">
        <v>1</v>
      </c>
      <c r="M330" s="10">
        <v>1</v>
      </c>
    </row>
    <row r="331" spans="1:13">
      <c r="A331" s="8">
        <v>43263</v>
      </c>
      <c r="B331" s="9">
        <v>0.54652777777777783</v>
      </c>
      <c r="C331" s="10" t="str">
        <f>"FES1162629003"</f>
        <v>FES1162629003</v>
      </c>
      <c r="D331" s="10" t="s">
        <v>19</v>
      </c>
      <c r="E331" s="10" t="s">
        <v>366</v>
      </c>
      <c r="F331" s="10" t="str">
        <f>"2170634074 "</f>
        <v xml:space="preserve">2170634074 </v>
      </c>
      <c r="G331" s="10" t="str">
        <f t="shared" si="9"/>
        <v>ON1</v>
      </c>
      <c r="H331" s="10" t="s">
        <v>21</v>
      </c>
      <c r="I331" s="10" t="s">
        <v>367</v>
      </c>
      <c r="J331" s="10" t="str">
        <f>""</f>
        <v/>
      </c>
      <c r="K331" s="10" t="str">
        <f>"PFES1162629003_0001"</f>
        <v>PFES1162629003_0001</v>
      </c>
      <c r="L331" s="10">
        <v>1</v>
      </c>
      <c r="M331" s="10">
        <v>2</v>
      </c>
    </row>
    <row r="332" spans="1:13">
      <c r="A332" s="8">
        <v>43263</v>
      </c>
      <c r="B332" s="9">
        <v>0.54583333333333328</v>
      </c>
      <c r="C332" s="10" t="str">
        <f>"FES1162628937"</f>
        <v>FES1162628937</v>
      </c>
      <c r="D332" s="10" t="s">
        <v>19</v>
      </c>
      <c r="E332" s="10" t="s">
        <v>143</v>
      </c>
      <c r="F332" s="10" t="str">
        <f>"21706360630 "</f>
        <v xml:space="preserve">21706360630 </v>
      </c>
      <c r="G332" s="10" t="str">
        <f t="shared" si="9"/>
        <v>ON1</v>
      </c>
      <c r="H332" s="10" t="s">
        <v>21</v>
      </c>
      <c r="I332" s="10" t="s">
        <v>144</v>
      </c>
      <c r="J332" s="10" t="str">
        <f>""</f>
        <v/>
      </c>
      <c r="K332" s="10" t="str">
        <f>"PFES1162628937_0001"</f>
        <v>PFES1162628937_0001</v>
      </c>
      <c r="L332" s="10">
        <v>1</v>
      </c>
      <c r="M332" s="10">
        <v>1</v>
      </c>
    </row>
    <row r="333" spans="1:13">
      <c r="A333" s="8">
        <v>43263</v>
      </c>
      <c r="B333" s="9">
        <v>0.54583333333333328</v>
      </c>
      <c r="C333" s="10" t="str">
        <f>"FES1162629010"</f>
        <v>FES1162629010</v>
      </c>
      <c r="D333" s="10" t="s">
        <v>19</v>
      </c>
      <c r="E333" s="10" t="s">
        <v>95</v>
      </c>
      <c r="F333" s="10" t="str">
        <f>"2170635057 "</f>
        <v xml:space="preserve">2170635057 </v>
      </c>
      <c r="G333" s="10" t="str">
        <f t="shared" si="9"/>
        <v>ON1</v>
      </c>
      <c r="H333" s="10" t="s">
        <v>21</v>
      </c>
      <c r="I333" s="10" t="s">
        <v>96</v>
      </c>
      <c r="J333" s="10" t="str">
        <f>""</f>
        <v/>
      </c>
      <c r="K333" s="10" t="str">
        <f>"PFES1162629010_0001"</f>
        <v>PFES1162629010_0001</v>
      </c>
      <c r="L333" s="10">
        <v>1</v>
      </c>
      <c r="M333" s="10">
        <v>1</v>
      </c>
    </row>
    <row r="334" spans="1:13">
      <c r="A334" s="8">
        <v>43263</v>
      </c>
      <c r="B334" s="9">
        <v>0.54513888888888895</v>
      </c>
      <c r="C334" s="10" t="str">
        <f>"FES1162629043"</f>
        <v>FES1162629043</v>
      </c>
      <c r="D334" s="10" t="s">
        <v>19</v>
      </c>
      <c r="E334" s="10" t="s">
        <v>368</v>
      </c>
      <c r="F334" s="10" t="str">
        <f>"217062853 "</f>
        <v xml:space="preserve">217062853 </v>
      </c>
      <c r="G334" s="10" t="str">
        <f t="shared" si="9"/>
        <v>ON1</v>
      </c>
      <c r="H334" s="10" t="s">
        <v>21</v>
      </c>
      <c r="I334" s="10" t="s">
        <v>369</v>
      </c>
      <c r="J334" s="10" t="str">
        <f>""</f>
        <v/>
      </c>
      <c r="K334" s="10" t="str">
        <f>"PFES1162629043_0001"</f>
        <v>PFES1162629043_0001</v>
      </c>
      <c r="L334" s="10">
        <v>1</v>
      </c>
      <c r="M334" s="10">
        <v>1</v>
      </c>
    </row>
    <row r="335" spans="1:13">
      <c r="A335" s="8">
        <v>43263</v>
      </c>
      <c r="B335" s="9">
        <v>0.54513888888888895</v>
      </c>
      <c r="C335" s="10" t="str">
        <f>"FES1162629027"</f>
        <v>FES1162629027</v>
      </c>
      <c r="D335" s="10" t="s">
        <v>19</v>
      </c>
      <c r="E335" s="10" t="s">
        <v>314</v>
      </c>
      <c r="F335" s="10" t="str">
        <f>"2170633840 "</f>
        <v xml:space="preserve">2170633840 </v>
      </c>
      <c r="G335" s="10" t="str">
        <f t="shared" si="9"/>
        <v>ON1</v>
      </c>
      <c r="H335" s="10" t="s">
        <v>21</v>
      </c>
      <c r="I335" s="10" t="s">
        <v>57</v>
      </c>
      <c r="J335" s="10" t="str">
        <f>""</f>
        <v/>
      </c>
      <c r="K335" s="10" t="str">
        <f>"PFES1162629027_0001"</f>
        <v>PFES1162629027_0001</v>
      </c>
      <c r="L335" s="10">
        <v>1</v>
      </c>
      <c r="M335" s="10">
        <v>1</v>
      </c>
    </row>
    <row r="336" spans="1:13">
      <c r="A336" s="8">
        <v>43263</v>
      </c>
      <c r="B336" s="9">
        <v>0.5444444444444444</v>
      </c>
      <c r="C336" s="10" t="str">
        <f>"FES1162628885"</f>
        <v>FES1162628885</v>
      </c>
      <c r="D336" s="10" t="s">
        <v>19</v>
      </c>
      <c r="E336" s="10" t="s">
        <v>370</v>
      </c>
      <c r="F336" s="10" t="str">
        <f>"2170634975 "</f>
        <v xml:space="preserve">2170634975 </v>
      </c>
      <c r="G336" s="10" t="str">
        <f t="shared" si="9"/>
        <v>ON1</v>
      </c>
      <c r="H336" s="10" t="s">
        <v>21</v>
      </c>
      <c r="I336" s="10" t="s">
        <v>170</v>
      </c>
      <c r="J336" s="10" t="str">
        <f>""</f>
        <v/>
      </c>
      <c r="K336" s="10" t="str">
        <f>"PFES1162628885_0001"</f>
        <v>PFES1162628885_0001</v>
      </c>
      <c r="L336" s="10">
        <v>1</v>
      </c>
      <c r="M336" s="10">
        <v>2</v>
      </c>
    </row>
    <row r="337" spans="1:13">
      <c r="A337" s="8">
        <v>43263</v>
      </c>
      <c r="B337" s="9">
        <v>0.5444444444444444</v>
      </c>
      <c r="C337" s="10" t="str">
        <f>"FES1162628990"</f>
        <v>FES1162628990</v>
      </c>
      <c r="D337" s="10" t="s">
        <v>19</v>
      </c>
      <c r="E337" s="10" t="s">
        <v>371</v>
      </c>
      <c r="F337" s="10" t="str">
        <f>"2170633912 "</f>
        <v xml:space="preserve">2170633912 </v>
      </c>
      <c r="G337" s="10" t="str">
        <f t="shared" si="9"/>
        <v>ON1</v>
      </c>
      <c r="H337" s="10" t="s">
        <v>21</v>
      </c>
      <c r="I337" s="10" t="s">
        <v>106</v>
      </c>
      <c r="J337" s="10" t="str">
        <f>""</f>
        <v/>
      </c>
      <c r="K337" s="10" t="str">
        <f>"PFES1162628990_0001"</f>
        <v>PFES1162628990_0001</v>
      </c>
      <c r="L337" s="10">
        <v>1</v>
      </c>
      <c r="M337" s="10">
        <v>1</v>
      </c>
    </row>
    <row r="338" spans="1:13">
      <c r="A338" s="8">
        <v>43263</v>
      </c>
      <c r="B338" s="9">
        <v>0.5444444444444444</v>
      </c>
      <c r="C338" s="10" t="str">
        <f>"FES1162628945"</f>
        <v>FES1162628945</v>
      </c>
      <c r="D338" s="10" t="s">
        <v>19</v>
      </c>
      <c r="E338" s="10" t="s">
        <v>143</v>
      </c>
      <c r="F338" s="10" t="str">
        <f>"2170636039 "</f>
        <v xml:space="preserve">2170636039 </v>
      </c>
      <c r="G338" s="10" t="str">
        <f t="shared" si="9"/>
        <v>ON1</v>
      </c>
      <c r="H338" s="10" t="s">
        <v>21</v>
      </c>
      <c r="I338" s="10" t="s">
        <v>144</v>
      </c>
      <c r="J338" s="10" t="str">
        <f>""</f>
        <v/>
      </c>
      <c r="K338" s="10" t="str">
        <f>"PFES1162628945_0001"</f>
        <v>PFES1162628945_0001</v>
      </c>
      <c r="L338" s="10">
        <v>1</v>
      </c>
      <c r="M338" s="10">
        <v>1</v>
      </c>
    </row>
    <row r="339" spans="1:13">
      <c r="A339" s="8">
        <v>43263</v>
      </c>
      <c r="B339" s="9">
        <v>0.54027777777777775</v>
      </c>
      <c r="C339" s="10" t="str">
        <f>"FES1162629071"</f>
        <v>FES1162629071</v>
      </c>
      <c r="D339" s="10" t="s">
        <v>19</v>
      </c>
      <c r="E339" s="10" t="s">
        <v>37</v>
      </c>
      <c r="F339" s="10" t="str">
        <f>"2170636092 "</f>
        <v xml:space="preserve">2170636092 </v>
      </c>
      <c r="G339" s="10" t="str">
        <f>"DBC"</f>
        <v>DBC</v>
      </c>
      <c r="H339" s="10" t="s">
        <v>21</v>
      </c>
      <c r="I339" s="10" t="s">
        <v>38</v>
      </c>
      <c r="J339" s="10" t="str">
        <f>"FRAGILE OIL"</f>
        <v>FRAGILE OIL</v>
      </c>
      <c r="K339" s="10" t="str">
        <f>"PFES1162629071_0001"</f>
        <v>PFES1162629071_0001</v>
      </c>
      <c r="L339" s="10">
        <v>1</v>
      </c>
      <c r="M339" s="10">
        <v>4</v>
      </c>
    </row>
    <row r="340" spans="1:13">
      <c r="A340" s="8">
        <v>43263</v>
      </c>
      <c r="B340" s="9">
        <v>0.53680555555555554</v>
      </c>
      <c r="C340" s="10" t="str">
        <f>"FES1162628964"</f>
        <v>FES1162628964</v>
      </c>
      <c r="D340" s="10" t="s">
        <v>19</v>
      </c>
      <c r="E340" s="10" t="s">
        <v>122</v>
      </c>
      <c r="F340" s="10" t="str">
        <f>"2170620504 "</f>
        <v xml:space="preserve">2170620504 </v>
      </c>
      <c r="G340" s="10" t="str">
        <f t="shared" ref="G340:G403" si="10">"ON1"</f>
        <v>ON1</v>
      </c>
      <c r="H340" s="10" t="s">
        <v>21</v>
      </c>
      <c r="I340" s="10" t="s">
        <v>75</v>
      </c>
      <c r="J340" s="10" t="str">
        <f>""</f>
        <v/>
      </c>
      <c r="K340" s="10" t="str">
        <f>"PFES1162628964_0001"</f>
        <v>PFES1162628964_0001</v>
      </c>
      <c r="L340" s="10">
        <v>1</v>
      </c>
      <c r="M340" s="10">
        <v>3</v>
      </c>
    </row>
    <row r="341" spans="1:13">
      <c r="A341" s="8">
        <v>43263</v>
      </c>
      <c r="B341" s="9">
        <v>0.53472222222222221</v>
      </c>
      <c r="C341" s="10" t="str">
        <f>"FES1162628944"</f>
        <v>FES1162628944</v>
      </c>
      <c r="D341" s="10" t="s">
        <v>19</v>
      </c>
      <c r="E341" s="10" t="s">
        <v>234</v>
      </c>
      <c r="F341" s="10" t="str">
        <f>"2170636038 "</f>
        <v xml:space="preserve">2170636038 </v>
      </c>
      <c r="G341" s="10" t="str">
        <f t="shared" si="10"/>
        <v>ON1</v>
      </c>
      <c r="H341" s="10" t="s">
        <v>21</v>
      </c>
      <c r="I341" s="10" t="s">
        <v>200</v>
      </c>
      <c r="J341" s="10" t="str">
        <f>""</f>
        <v/>
      </c>
      <c r="K341" s="10" t="str">
        <f>"PFES1162628944_0001"</f>
        <v>PFES1162628944_0001</v>
      </c>
      <c r="L341" s="10">
        <v>1</v>
      </c>
      <c r="M341" s="10">
        <v>1</v>
      </c>
    </row>
    <row r="342" spans="1:13">
      <c r="A342" s="8">
        <v>43263</v>
      </c>
      <c r="B342" s="9">
        <v>0.53055555555555556</v>
      </c>
      <c r="C342" s="10" t="str">
        <f>"FES1162628904"</f>
        <v>FES1162628904</v>
      </c>
      <c r="D342" s="10" t="s">
        <v>19</v>
      </c>
      <c r="E342" s="10" t="s">
        <v>37</v>
      </c>
      <c r="F342" s="10" t="str">
        <f>"2170635979 "</f>
        <v xml:space="preserve">2170635979 </v>
      </c>
      <c r="G342" s="10" t="str">
        <f t="shared" si="10"/>
        <v>ON1</v>
      </c>
      <c r="H342" s="10" t="s">
        <v>21</v>
      </c>
      <c r="I342" s="10" t="s">
        <v>38</v>
      </c>
      <c r="J342" s="10" t="str">
        <f>""</f>
        <v/>
      </c>
      <c r="K342" s="10" t="str">
        <f>"PFES1162628904_0001"</f>
        <v>PFES1162628904_0001</v>
      </c>
      <c r="L342" s="10">
        <v>1</v>
      </c>
      <c r="M342" s="10">
        <v>2</v>
      </c>
    </row>
    <row r="343" spans="1:13">
      <c r="A343" s="8">
        <v>43263</v>
      </c>
      <c r="B343" s="9">
        <v>0.52777777777777779</v>
      </c>
      <c r="C343" s="10" t="str">
        <f>"FES1162628870"</f>
        <v>FES1162628870</v>
      </c>
      <c r="D343" s="10" t="s">
        <v>19</v>
      </c>
      <c r="E343" s="10" t="s">
        <v>191</v>
      </c>
      <c r="F343" s="10" t="str">
        <f>"2170633641 "</f>
        <v xml:space="preserve">2170633641 </v>
      </c>
      <c r="G343" s="10" t="str">
        <f t="shared" si="10"/>
        <v>ON1</v>
      </c>
      <c r="H343" s="10" t="s">
        <v>21</v>
      </c>
      <c r="I343" s="10" t="s">
        <v>192</v>
      </c>
      <c r="J343" s="10" t="str">
        <f>""</f>
        <v/>
      </c>
      <c r="K343" s="10" t="str">
        <f>"PFES1162628870_0001"</f>
        <v>PFES1162628870_0001</v>
      </c>
      <c r="L343" s="10">
        <v>1</v>
      </c>
      <c r="M343" s="10">
        <v>3</v>
      </c>
    </row>
    <row r="344" spans="1:13">
      <c r="A344" s="8">
        <v>43263</v>
      </c>
      <c r="B344" s="9">
        <v>0.52708333333333335</v>
      </c>
      <c r="C344" s="10" t="str">
        <f>"FES1162628920"</f>
        <v>FES1162628920</v>
      </c>
      <c r="D344" s="10" t="s">
        <v>19</v>
      </c>
      <c r="E344" s="10" t="s">
        <v>236</v>
      </c>
      <c r="F344" s="10" t="str">
        <f>"2170636003 "</f>
        <v xml:space="preserve">2170636003 </v>
      </c>
      <c r="G344" s="10" t="str">
        <f t="shared" si="10"/>
        <v>ON1</v>
      </c>
      <c r="H344" s="10" t="s">
        <v>21</v>
      </c>
      <c r="I344" s="10" t="s">
        <v>237</v>
      </c>
      <c r="J344" s="10" t="str">
        <f>""</f>
        <v/>
      </c>
      <c r="K344" s="10" t="str">
        <f>"PFES1162628920_0001"</f>
        <v>PFES1162628920_0001</v>
      </c>
      <c r="L344" s="10">
        <v>1</v>
      </c>
      <c r="M344" s="10">
        <v>1</v>
      </c>
    </row>
    <row r="345" spans="1:13">
      <c r="A345" s="8">
        <v>43263</v>
      </c>
      <c r="B345" s="9">
        <v>0.52708333333333335</v>
      </c>
      <c r="C345" s="10" t="str">
        <f>"FES1162628955"</f>
        <v>FES1162628955</v>
      </c>
      <c r="D345" s="10" t="s">
        <v>19</v>
      </c>
      <c r="E345" s="10" t="s">
        <v>372</v>
      </c>
      <c r="F345" s="10" t="str">
        <f>"2170636053 "</f>
        <v xml:space="preserve">2170636053 </v>
      </c>
      <c r="G345" s="10" t="str">
        <f t="shared" si="10"/>
        <v>ON1</v>
      </c>
      <c r="H345" s="10" t="s">
        <v>21</v>
      </c>
      <c r="I345" s="10" t="s">
        <v>93</v>
      </c>
      <c r="J345" s="10" t="str">
        <f>""</f>
        <v/>
      </c>
      <c r="K345" s="10" t="str">
        <f>"PFES1162628955_0001"</f>
        <v>PFES1162628955_0001</v>
      </c>
      <c r="L345" s="10">
        <v>1</v>
      </c>
      <c r="M345" s="10">
        <v>1</v>
      </c>
    </row>
    <row r="346" spans="1:13">
      <c r="A346" s="8">
        <v>43263</v>
      </c>
      <c r="B346" s="9">
        <v>0.52638888888888891</v>
      </c>
      <c r="C346" s="10" t="str">
        <f>"FES1162628902"</f>
        <v>FES1162628902</v>
      </c>
      <c r="D346" s="10" t="s">
        <v>19</v>
      </c>
      <c r="E346" s="10" t="s">
        <v>291</v>
      </c>
      <c r="F346" s="10" t="str">
        <f>"2170635923 "</f>
        <v xml:space="preserve">2170635923 </v>
      </c>
      <c r="G346" s="10" t="str">
        <f t="shared" si="10"/>
        <v>ON1</v>
      </c>
      <c r="H346" s="10" t="s">
        <v>21</v>
      </c>
      <c r="I346" s="10" t="s">
        <v>131</v>
      </c>
      <c r="J346" s="10" t="str">
        <f>""</f>
        <v/>
      </c>
      <c r="K346" s="10" t="str">
        <f>"PFES1162628902_0001"</f>
        <v>PFES1162628902_0001</v>
      </c>
      <c r="L346" s="10">
        <v>1</v>
      </c>
      <c r="M346" s="10">
        <v>1</v>
      </c>
    </row>
    <row r="347" spans="1:13">
      <c r="A347" s="8">
        <v>43263</v>
      </c>
      <c r="B347" s="9">
        <v>0.52638888888888891</v>
      </c>
      <c r="C347" s="10" t="str">
        <f>"FES1162628900"</f>
        <v>FES1162628900</v>
      </c>
      <c r="D347" s="10" t="s">
        <v>19</v>
      </c>
      <c r="E347" s="10" t="s">
        <v>373</v>
      </c>
      <c r="F347" s="10" t="str">
        <f>"2170635748 "</f>
        <v xml:space="preserve">2170635748 </v>
      </c>
      <c r="G347" s="10" t="str">
        <f t="shared" si="10"/>
        <v>ON1</v>
      </c>
      <c r="H347" s="10" t="s">
        <v>21</v>
      </c>
      <c r="I347" s="10" t="s">
        <v>75</v>
      </c>
      <c r="J347" s="10" t="str">
        <f>""</f>
        <v/>
      </c>
      <c r="K347" s="10" t="str">
        <f>"PFES1162628900_0001"</f>
        <v>PFES1162628900_0001</v>
      </c>
      <c r="L347" s="10">
        <v>1</v>
      </c>
      <c r="M347" s="10">
        <v>1</v>
      </c>
    </row>
    <row r="348" spans="1:13">
      <c r="A348" s="8">
        <v>43263</v>
      </c>
      <c r="B348" s="9">
        <v>0.52638888888888891</v>
      </c>
      <c r="C348" s="10" t="str">
        <f>"FES1162629038"</f>
        <v>FES1162629038</v>
      </c>
      <c r="D348" s="10" t="s">
        <v>19</v>
      </c>
      <c r="E348" s="10" t="s">
        <v>312</v>
      </c>
      <c r="F348" s="10" t="str">
        <f>"2170636076 "</f>
        <v xml:space="preserve">2170636076 </v>
      </c>
      <c r="G348" s="10" t="str">
        <f t="shared" si="10"/>
        <v>ON1</v>
      </c>
      <c r="H348" s="10" t="s">
        <v>21</v>
      </c>
      <c r="I348" s="10" t="s">
        <v>313</v>
      </c>
      <c r="J348" s="10" t="str">
        <f>""</f>
        <v/>
      </c>
      <c r="K348" s="10" t="str">
        <f>"PFES1162629038_0001"</f>
        <v>PFES1162629038_0001</v>
      </c>
      <c r="L348" s="10">
        <v>1</v>
      </c>
      <c r="M348" s="10">
        <v>1</v>
      </c>
    </row>
    <row r="349" spans="1:13">
      <c r="A349" s="8">
        <v>43263</v>
      </c>
      <c r="B349" s="9">
        <v>0.52569444444444446</v>
      </c>
      <c r="C349" s="10" t="str">
        <f>"FES1162628872"</f>
        <v>FES1162628872</v>
      </c>
      <c r="D349" s="10" t="s">
        <v>19</v>
      </c>
      <c r="E349" s="10" t="s">
        <v>74</v>
      </c>
      <c r="F349" s="10" t="str">
        <f>"2170633707 "</f>
        <v xml:space="preserve">2170633707 </v>
      </c>
      <c r="G349" s="10" t="str">
        <f t="shared" si="10"/>
        <v>ON1</v>
      </c>
      <c r="H349" s="10" t="s">
        <v>21</v>
      </c>
      <c r="I349" s="10" t="s">
        <v>75</v>
      </c>
      <c r="J349" s="10" t="str">
        <f>""</f>
        <v/>
      </c>
      <c r="K349" s="10" t="str">
        <f>"PFES1162628872_0001"</f>
        <v>PFES1162628872_0001</v>
      </c>
      <c r="L349" s="10">
        <v>1</v>
      </c>
      <c r="M349" s="10">
        <v>1</v>
      </c>
    </row>
    <row r="350" spans="1:13">
      <c r="A350" s="8">
        <v>43263</v>
      </c>
      <c r="B350" s="9">
        <v>0.69166666666666676</v>
      </c>
      <c r="C350" s="10" t="str">
        <f>"FES1162629211"</f>
        <v>FES1162629211</v>
      </c>
      <c r="D350" s="10" t="s">
        <v>19</v>
      </c>
      <c r="E350" s="10" t="s">
        <v>229</v>
      </c>
      <c r="F350" s="10" t="str">
        <f>"2170634753 "</f>
        <v xml:space="preserve">2170634753 </v>
      </c>
      <c r="G350" s="10" t="str">
        <f t="shared" si="10"/>
        <v>ON1</v>
      </c>
      <c r="H350" s="10" t="s">
        <v>21</v>
      </c>
      <c r="I350" s="10" t="s">
        <v>230</v>
      </c>
      <c r="J350" s="10" t="str">
        <f>""</f>
        <v/>
      </c>
      <c r="K350" s="10" t="str">
        <f>"PFES1162629211_0001"</f>
        <v>PFES1162629211_0001</v>
      </c>
      <c r="L350" s="10">
        <v>1</v>
      </c>
      <c r="M350" s="10">
        <v>10</v>
      </c>
    </row>
    <row r="351" spans="1:13">
      <c r="A351" s="8">
        <v>43263</v>
      </c>
      <c r="B351" s="9">
        <v>0.69097222222222221</v>
      </c>
      <c r="C351" s="10" t="str">
        <f>"FES1162629124"</f>
        <v>FES1162629124</v>
      </c>
      <c r="D351" s="10" t="s">
        <v>19</v>
      </c>
      <c r="E351" s="10" t="s">
        <v>374</v>
      </c>
      <c r="F351" s="10" t="str">
        <f>"2170636159 "</f>
        <v xml:space="preserve">2170636159 </v>
      </c>
      <c r="G351" s="10" t="str">
        <f t="shared" si="10"/>
        <v>ON1</v>
      </c>
      <c r="H351" s="10" t="s">
        <v>21</v>
      </c>
      <c r="I351" s="10" t="s">
        <v>375</v>
      </c>
      <c r="J351" s="10" t="str">
        <f>""</f>
        <v/>
      </c>
      <c r="K351" s="10" t="str">
        <f>"PFES1162629124_0001"</f>
        <v>PFES1162629124_0001</v>
      </c>
      <c r="L351" s="10">
        <v>1</v>
      </c>
      <c r="M351" s="10">
        <v>9</v>
      </c>
    </row>
    <row r="352" spans="1:13">
      <c r="A352" s="8">
        <v>43263</v>
      </c>
      <c r="B352" s="9">
        <v>0.69027777777777777</v>
      </c>
      <c r="C352" s="10" t="str">
        <f>"FES1162629193"</f>
        <v>FES1162629193</v>
      </c>
      <c r="D352" s="10" t="s">
        <v>19</v>
      </c>
      <c r="E352" s="10" t="s">
        <v>183</v>
      </c>
      <c r="F352" s="10" t="str">
        <f>"21706233 "</f>
        <v xml:space="preserve">21706233 </v>
      </c>
      <c r="G352" s="10" t="str">
        <f t="shared" si="10"/>
        <v>ON1</v>
      </c>
      <c r="H352" s="10" t="s">
        <v>21</v>
      </c>
      <c r="I352" s="10" t="s">
        <v>93</v>
      </c>
      <c r="J352" s="10" t="str">
        <f>""</f>
        <v/>
      </c>
      <c r="K352" s="10" t="str">
        <f>"PFES1162629193_0001"</f>
        <v>PFES1162629193_0001</v>
      </c>
      <c r="L352" s="10">
        <v>1</v>
      </c>
      <c r="M352" s="10">
        <v>1</v>
      </c>
    </row>
    <row r="353" spans="1:13">
      <c r="A353" s="8">
        <v>43263</v>
      </c>
      <c r="B353" s="9">
        <v>0.69027777777777777</v>
      </c>
      <c r="C353" s="10" t="str">
        <f>"FES1162629186"</f>
        <v>FES1162629186</v>
      </c>
      <c r="D353" s="10" t="s">
        <v>19</v>
      </c>
      <c r="E353" s="10" t="s">
        <v>376</v>
      </c>
      <c r="F353" s="10" t="str">
        <f>"21706224 "</f>
        <v xml:space="preserve">21706224 </v>
      </c>
      <c r="G353" s="10" t="str">
        <f t="shared" si="10"/>
        <v>ON1</v>
      </c>
      <c r="H353" s="10" t="s">
        <v>21</v>
      </c>
      <c r="I353" s="10" t="s">
        <v>83</v>
      </c>
      <c r="J353" s="10" t="str">
        <f>""</f>
        <v/>
      </c>
      <c r="K353" s="10" t="str">
        <f>"PFES1162629186_0001"</f>
        <v>PFES1162629186_0001</v>
      </c>
      <c r="L353" s="10">
        <v>1</v>
      </c>
      <c r="M353" s="10">
        <v>1</v>
      </c>
    </row>
    <row r="354" spans="1:13">
      <c r="A354" s="8">
        <v>43263</v>
      </c>
      <c r="B354" s="9">
        <v>0.68958333333333333</v>
      </c>
      <c r="C354" s="10" t="str">
        <f>"FES1162629205"</f>
        <v>FES1162629205</v>
      </c>
      <c r="D354" s="10" t="s">
        <v>19</v>
      </c>
      <c r="E354" s="10" t="s">
        <v>58</v>
      </c>
      <c r="F354" s="10" t="str">
        <f>"2170632385 "</f>
        <v xml:space="preserve">2170632385 </v>
      </c>
      <c r="G354" s="10" t="str">
        <f t="shared" si="10"/>
        <v>ON1</v>
      </c>
      <c r="H354" s="10" t="s">
        <v>21</v>
      </c>
      <c r="I354" s="10" t="s">
        <v>59</v>
      </c>
      <c r="J354" s="10" t="str">
        <f>""</f>
        <v/>
      </c>
      <c r="K354" s="10" t="str">
        <f>"PFES1162629205_0001"</f>
        <v>PFES1162629205_0001</v>
      </c>
      <c r="L354" s="10">
        <v>1</v>
      </c>
      <c r="M354" s="10">
        <v>11</v>
      </c>
    </row>
    <row r="355" spans="1:13">
      <c r="A355" s="8">
        <v>43263</v>
      </c>
      <c r="B355" s="9">
        <v>0.68958333333333333</v>
      </c>
      <c r="C355" s="10" t="str">
        <f>"FES1162629171"</f>
        <v>FES1162629171</v>
      </c>
      <c r="D355" s="10" t="s">
        <v>19</v>
      </c>
      <c r="E355" s="10" t="s">
        <v>376</v>
      </c>
      <c r="F355" s="10" t="str">
        <f>"21706210 "</f>
        <v xml:space="preserve">21706210 </v>
      </c>
      <c r="G355" s="10" t="str">
        <f t="shared" si="10"/>
        <v>ON1</v>
      </c>
      <c r="H355" s="10" t="s">
        <v>21</v>
      </c>
      <c r="I355" s="10" t="s">
        <v>83</v>
      </c>
      <c r="J355" s="10" t="str">
        <f>""</f>
        <v/>
      </c>
      <c r="K355" s="10" t="str">
        <f>"PFES1162629171_0001"</f>
        <v>PFES1162629171_0001</v>
      </c>
      <c r="L355" s="10">
        <v>1</v>
      </c>
      <c r="M355" s="10">
        <v>1</v>
      </c>
    </row>
    <row r="356" spans="1:13">
      <c r="A356" s="8">
        <v>43263</v>
      </c>
      <c r="B356" s="9">
        <v>0.68888888888888899</v>
      </c>
      <c r="C356" s="10" t="str">
        <f>"FES1162629125"</f>
        <v>FES1162629125</v>
      </c>
      <c r="D356" s="10" t="s">
        <v>19</v>
      </c>
      <c r="E356" s="10" t="s">
        <v>74</v>
      </c>
      <c r="F356" s="10" t="str">
        <f>"2170636162 "</f>
        <v xml:space="preserve">2170636162 </v>
      </c>
      <c r="G356" s="10" t="str">
        <f t="shared" si="10"/>
        <v>ON1</v>
      </c>
      <c r="H356" s="10" t="s">
        <v>21</v>
      </c>
      <c r="I356" s="10" t="s">
        <v>75</v>
      </c>
      <c r="J356" s="10" t="str">
        <f>""</f>
        <v/>
      </c>
      <c r="K356" s="10" t="str">
        <f>"PFES1162629125_0001"</f>
        <v>PFES1162629125_0001</v>
      </c>
      <c r="L356" s="10">
        <v>1</v>
      </c>
      <c r="M356" s="10">
        <v>1</v>
      </c>
    </row>
    <row r="357" spans="1:13">
      <c r="A357" s="8">
        <v>43263</v>
      </c>
      <c r="B357" s="9">
        <v>0.68888888888888899</v>
      </c>
      <c r="C357" s="10" t="str">
        <f>"FES1162629099"</f>
        <v>FES1162629099</v>
      </c>
      <c r="D357" s="10" t="s">
        <v>19</v>
      </c>
      <c r="E357" s="10" t="s">
        <v>74</v>
      </c>
      <c r="F357" s="10" t="str">
        <f>"2170636124 "</f>
        <v xml:space="preserve">2170636124 </v>
      </c>
      <c r="G357" s="10" t="str">
        <f t="shared" si="10"/>
        <v>ON1</v>
      </c>
      <c r="H357" s="10" t="s">
        <v>21</v>
      </c>
      <c r="I357" s="10" t="s">
        <v>75</v>
      </c>
      <c r="J357" s="10" t="str">
        <f>""</f>
        <v/>
      </c>
      <c r="K357" s="10" t="str">
        <f>"PFES1162629099_0001"</f>
        <v>PFES1162629099_0001</v>
      </c>
      <c r="L357" s="10">
        <v>1</v>
      </c>
      <c r="M357" s="10">
        <v>1</v>
      </c>
    </row>
    <row r="358" spans="1:13">
      <c r="A358" s="8">
        <v>43263</v>
      </c>
      <c r="B358" s="9">
        <v>0.68819444444444444</v>
      </c>
      <c r="C358" s="10" t="str">
        <f>"FES1162629137"</f>
        <v>FES1162629137</v>
      </c>
      <c r="D358" s="10" t="s">
        <v>19</v>
      </c>
      <c r="E358" s="10" t="s">
        <v>74</v>
      </c>
      <c r="F358" s="10" t="str">
        <f>"2170636172 "</f>
        <v xml:space="preserve">2170636172 </v>
      </c>
      <c r="G358" s="10" t="str">
        <f t="shared" si="10"/>
        <v>ON1</v>
      </c>
      <c r="H358" s="10" t="s">
        <v>21</v>
      </c>
      <c r="I358" s="10" t="s">
        <v>75</v>
      </c>
      <c r="J358" s="10" t="str">
        <f>""</f>
        <v/>
      </c>
      <c r="K358" s="10" t="str">
        <f>"PFES1162629137_0001"</f>
        <v>PFES1162629137_0001</v>
      </c>
      <c r="L358" s="10">
        <v>1</v>
      </c>
      <c r="M358" s="10">
        <v>1</v>
      </c>
    </row>
    <row r="359" spans="1:13">
      <c r="A359" s="8">
        <v>43263</v>
      </c>
      <c r="B359" s="9">
        <v>0.68819444444444444</v>
      </c>
      <c r="C359" s="10" t="str">
        <f>"FES1162629104"</f>
        <v>FES1162629104</v>
      </c>
      <c r="D359" s="10" t="s">
        <v>19</v>
      </c>
      <c r="E359" s="10" t="s">
        <v>119</v>
      </c>
      <c r="F359" s="10" t="str">
        <f>"2170636132 "</f>
        <v xml:space="preserve">2170636132 </v>
      </c>
      <c r="G359" s="10" t="str">
        <f t="shared" si="10"/>
        <v>ON1</v>
      </c>
      <c r="H359" s="10" t="s">
        <v>21</v>
      </c>
      <c r="I359" s="10" t="s">
        <v>83</v>
      </c>
      <c r="J359" s="10" t="str">
        <f>""</f>
        <v/>
      </c>
      <c r="K359" s="10" t="str">
        <f>"PFES1162629104_0001"</f>
        <v>PFES1162629104_0001</v>
      </c>
      <c r="L359" s="10">
        <v>1</v>
      </c>
      <c r="M359" s="10">
        <v>4</v>
      </c>
    </row>
    <row r="360" spans="1:13">
      <c r="A360" s="8">
        <v>43263</v>
      </c>
      <c r="B360" s="9">
        <v>0.68819444444444444</v>
      </c>
      <c r="C360" s="10" t="str">
        <f>"FES1162629168"</f>
        <v>FES1162629168</v>
      </c>
      <c r="D360" s="10" t="s">
        <v>19</v>
      </c>
      <c r="E360" s="10" t="s">
        <v>372</v>
      </c>
      <c r="F360" s="10" t="str">
        <f>"217063208 "</f>
        <v xml:space="preserve">217063208 </v>
      </c>
      <c r="G360" s="10" t="str">
        <f t="shared" si="10"/>
        <v>ON1</v>
      </c>
      <c r="H360" s="10" t="s">
        <v>21</v>
      </c>
      <c r="I360" s="10" t="s">
        <v>93</v>
      </c>
      <c r="J360" s="10" t="str">
        <f>""</f>
        <v/>
      </c>
      <c r="K360" s="10" t="str">
        <f>"PFES1162629168_0001"</f>
        <v>PFES1162629168_0001</v>
      </c>
      <c r="L360" s="10">
        <v>1</v>
      </c>
      <c r="M360" s="10">
        <v>1</v>
      </c>
    </row>
    <row r="361" spans="1:13">
      <c r="A361" s="8">
        <v>43263</v>
      </c>
      <c r="B361" s="9">
        <v>0.6875</v>
      </c>
      <c r="C361" s="10" t="str">
        <f>"FES1162629172"</f>
        <v>FES1162629172</v>
      </c>
      <c r="D361" s="10" t="s">
        <v>19</v>
      </c>
      <c r="E361" s="10" t="s">
        <v>377</v>
      </c>
      <c r="F361" s="10" t="str">
        <f>"2170636212 "</f>
        <v xml:space="preserve">2170636212 </v>
      </c>
      <c r="G361" s="10" t="str">
        <f t="shared" si="10"/>
        <v>ON1</v>
      </c>
      <c r="H361" s="10" t="s">
        <v>21</v>
      </c>
      <c r="I361" s="10" t="s">
        <v>378</v>
      </c>
      <c r="J361" s="10" t="str">
        <f>""</f>
        <v/>
      </c>
      <c r="K361" s="10" t="str">
        <f>"PFES1162629172_0001"</f>
        <v>PFES1162629172_0001</v>
      </c>
      <c r="L361" s="10">
        <v>1</v>
      </c>
      <c r="M361" s="10">
        <v>1</v>
      </c>
    </row>
    <row r="362" spans="1:13">
      <c r="A362" s="8">
        <v>43263</v>
      </c>
      <c r="B362" s="9">
        <v>0.6875</v>
      </c>
      <c r="C362" s="10" t="str">
        <f>"FES1162629150"</f>
        <v>FES1162629150</v>
      </c>
      <c r="D362" s="10" t="s">
        <v>19</v>
      </c>
      <c r="E362" s="10" t="s">
        <v>65</v>
      </c>
      <c r="F362" s="10" t="str">
        <f>"2170636189 "</f>
        <v xml:space="preserve">2170636189 </v>
      </c>
      <c r="G362" s="10" t="str">
        <f t="shared" si="10"/>
        <v>ON1</v>
      </c>
      <c r="H362" s="10" t="s">
        <v>21</v>
      </c>
      <c r="I362" s="10" t="s">
        <v>131</v>
      </c>
      <c r="J362" s="10" t="str">
        <f>""</f>
        <v/>
      </c>
      <c r="K362" s="10" t="str">
        <f>"PFES1162629150_0001"</f>
        <v>PFES1162629150_0001</v>
      </c>
      <c r="L362" s="10">
        <v>1</v>
      </c>
      <c r="M362" s="10">
        <v>1</v>
      </c>
    </row>
    <row r="363" spans="1:13">
      <c r="A363" s="8">
        <v>43263</v>
      </c>
      <c r="B363" s="9">
        <v>0.6875</v>
      </c>
      <c r="C363" s="10" t="str">
        <f>"FES1162629100"</f>
        <v>FES1162629100</v>
      </c>
      <c r="D363" s="10" t="s">
        <v>19</v>
      </c>
      <c r="E363" s="10" t="s">
        <v>379</v>
      </c>
      <c r="F363" s="10" t="str">
        <f>"2170636125 "</f>
        <v xml:space="preserve">2170636125 </v>
      </c>
      <c r="G363" s="10" t="str">
        <f t="shared" si="10"/>
        <v>ON1</v>
      </c>
      <c r="H363" s="10" t="s">
        <v>21</v>
      </c>
      <c r="I363" s="10" t="s">
        <v>380</v>
      </c>
      <c r="J363" s="10" t="str">
        <f>""</f>
        <v/>
      </c>
      <c r="K363" s="10" t="str">
        <f>"PFES1162629100_0001"</f>
        <v>PFES1162629100_0001</v>
      </c>
      <c r="L363" s="10">
        <v>1</v>
      </c>
      <c r="M363" s="10">
        <v>7</v>
      </c>
    </row>
    <row r="364" spans="1:13">
      <c r="A364" s="8">
        <v>43263</v>
      </c>
      <c r="B364" s="9">
        <v>0.68680555555555556</v>
      </c>
      <c r="C364" s="10" t="str">
        <f>"FES1162629140"</f>
        <v>FES1162629140</v>
      </c>
      <c r="D364" s="10" t="s">
        <v>19</v>
      </c>
      <c r="E364" s="10" t="s">
        <v>74</v>
      </c>
      <c r="F364" s="10" t="str">
        <f>"2170636174 "</f>
        <v xml:space="preserve">2170636174 </v>
      </c>
      <c r="G364" s="10" t="str">
        <f t="shared" si="10"/>
        <v>ON1</v>
      </c>
      <c r="H364" s="10" t="s">
        <v>21</v>
      </c>
      <c r="I364" s="10" t="s">
        <v>75</v>
      </c>
      <c r="J364" s="10" t="str">
        <f>""</f>
        <v/>
      </c>
      <c r="K364" s="10" t="str">
        <f>"PFES1162629140_0001"</f>
        <v>PFES1162629140_0001</v>
      </c>
      <c r="L364" s="10">
        <v>1</v>
      </c>
      <c r="M364" s="10">
        <v>1</v>
      </c>
    </row>
    <row r="365" spans="1:13">
      <c r="A365" s="8">
        <v>43263</v>
      </c>
      <c r="B365" s="9">
        <v>0.68680555555555556</v>
      </c>
      <c r="C365" s="10" t="str">
        <f>"FES1162629103"</f>
        <v>FES1162629103</v>
      </c>
      <c r="D365" s="10" t="s">
        <v>19</v>
      </c>
      <c r="E365" s="10" t="s">
        <v>377</v>
      </c>
      <c r="F365" s="10" t="str">
        <f>"2170636130 "</f>
        <v xml:space="preserve">2170636130 </v>
      </c>
      <c r="G365" s="10" t="str">
        <f t="shared" si="10"/>
        <v>ON1</v>
      </c>
      <c r="H365" s="10" t="s">
        <v>21</v>
      </c>
      <c r="I365" s="10" t="s">
        <v>378</v>
      </c>
      <c r="J365" s="10" t="str">
        <f>""</f>
        <v/>
      </c>
      <c r="K365" s="10" t="str">
        <f>"PFES1162629103_0001"</f>
        <v>PFES1162629103_0001</v>
      </c>
      <c r="L365" s="10">
        <v>1</v>
      </c>
      <c r="M365" s="10">
        <v>1</v>
      </c>
    </row>
    <row r="366" spans="1:13">
      <c r="A366" s="8">
        <v>43263</v>
      </c>
      <c r="B366" s="9">
        <v>0.68125000000000002</v>
      </c>
      <c r="C366" s="10" t="str">
        <f>"FES1162629208"</f>
        <v>FES1162629208</v>
      </c>
      <c r="D366" s="10" t="s">
        <v>19</v>
      </c>
      <c r="E366" s="10" t="s">
        <v>103</v>
      </c>
      <c r="F366" s="10" t="str">
        <f>"2170636254 "</f>
        <v xml:space="preserve">2170636254 </v>
      </c>
      <c r="G366" s="10" t="str">
        <f t="shared" si="10"/>
        <v>ON1</v>
      </c>
      <c r="H366" s="10" t="s">
        <v>21</v>
      </c>
      <c r="I366" s="10" t="s">
        <v>104</v>
      </c>
      <c r="J366" s="10" t="str">
        <f>""</f>
        <v/>
      </c>
      <c r="K366" s="10" t="str">
        <f>"PFES1162629208_0001"</f>
        <v>PFES1162629208_0001</v>
      </c>
      <c r="L366" s="10">
        <v>1</v>
      </c>
      <c r="M366" s="10">
        <v>3</v>
      </c>
    </row>
    <row r="367" spans="1:13">
      <c r="A367" s="8">
        <v>43263</v>
      </c>
      <c r="B367" s="9">
        <v>0.67986111111111114</v>
      </c>
      <c r="C367" s="10" t="str">
        <f>"FES1162629200"</f>
        <v>FES1162629200</v>
      </c>
      <c r="D367" s="10" t="s">
        <v>19</v>
      </c>
      <c r="E367" s="10" t="s">
        <v>49</v>
      </c>
      <c r="F367" s="10" t="str">
        <f>"2170636244 "</f>
        <v xml:space="preserve">2170636244 </v>
      </c>
      <c r="G367" s="10" t="str">
        <f t="shared" si="10"/>
        <v>ON1</v>
      </c>
      <c r="H367" s="10" t="s">
        <v>21</v>
      </c>
      <c r="I367" s="10" t="s">
        <v>32</v>
      </c>
      <c r="J367" s="10" t="str">
        <f>""</f>
        <v/>
      </c>
      <c r="K367" s="10" t="str">
        <f>"PFES1162629200_0001"</f>
        <v>PFES1162629200_0001</v>
      </c>
      <c r="L367" s="10">
        <v>1</v>
      </c>
      <c r="M367" s="10">
        <v>13</v>
      </c>
    </row>
    <row r="368" spans="1:13">
      <c r="A368" s="8">
        <v>43263</v>
      </c>
      <c r="B368" s="9">
        <v>0.6791666666666667</v>
      </c>
      <c r="C368" s="10" t="str">
        <f>"FES1162629192"</f>
        <v>FES1162629192</v>
      </c>
      <c r="D368" s="10" t="s">
        <v>19</v>
      </c>
      <c r="E368" s="10" t="s">
        <v>252</v>
      </c>
      <c r="F368" s="10" t="str">
        <f>"2170636231 "</f>
        <v xml:space="preserve">2170636231 </v>
      </c>
      <c r="G368" s="10" t="str">
        <f t="shared" si="10"/>
        <v>ON1</v>
      </c>
      <c r="H368" s="10" t="s">
        <v>21</v>
      </c>
      <c r="I368" s="10" t="s">
        <v>253</v>
      </c>
      <c r="J368" s="10" t="str">
        <f>""</f>
        <v/>
      </c>
      <c r="K368" s="10" t="str">
        <f>"PFES1162629192_0001"</f>
        <v>PFES1162629192_0001</v>
      </c>
      <c r="L368" s="10">
        <v>1</v>
      </c>
      <c r="M368" s="10">
        <v>3</v>
      </c>
    </row>
    <row r="369" spans="1:13">
      <c r="A369" s="8">
        <v>43263</v>
      </c>
      <c r="B369" s="9">
        <v>0.6777777777777777</v>
      </c>
      <c r="C369" s="10" t="str">
        <f>"FES1162629182"</f>
        <v>FES1162629182</v>
      </c>
      <c r="D369" s="10" t="s">
        <v>19</v>
      </c>
      <c r="E369" s="10" t="s">
        <v>56</v>
      </c>
      <c r="F369" s="10" t="str">
        <f>"2170635222 "</f>
        <v xml:space="preserve">2170635222 </v>
      </c>
      <c r="G369" s="10" t="str">
        <f t="shared" si="10"/>
        <v>ON1</v>
      </c>
      <c r="H369" s="10" t="s">
        <v>21</v>
      </c>
      <c r="I369" s="10" t="s">
        <v>57</v>
      </c>
      <c r="J369" s="10" t="str">
        <f>""</f>
        <v/>
      </c>
      <c r="K369" s="10" t="str">
        <f>"PFES1162629182_0001"</f>
        <v>PFES1162629182_0001</v>
      </c>
      <c r="L369" s="10">
        <v>1</v>
      </c>
      <c r="M369" s="10">
        <v>1</v>
      </c>
    </row>
    <row r="370" spans="1:13">
      <c r="A370" s="8">
        <v>43263</v>
      </c>
      <c r="B370" s="9">
        <v>0.67708333333333337</v>
      </c>
      <c r="C370" s="10" t="str">
        <f>"FES1162629187"</f>
        <v>FES1162629187</v>
      </c>
      <c r="D370" s="10" t="s">
        <v>19</v>
      </c>
      <c r="E370" s="10" t="s">
        <v>252</v>
      </c>
      <c r="F370" s="10" t="str">
        <f>"2170636228 "</f>
        <v xml:space="preserve">2170636228 </v>
      </c>
      <c r="G370" s="10" t="str">
        <f t="shared" si="10"/>
        <v>ON1</v>
      </c>
      <c r="H370" s="10" t="s">
        <v>21</v>
      </c>
      <c r="I370" s="10" t="s">
        <v>253</v>
      </c>
      <c r="J370" s="10" t="str">
        <f>""</f>
        <v/>
      </c>
      <c r="K370" s="10" t="str">
        <f>"PFES1162629187_0001"</f>
        <v>PFES1162629187_0001</v>
      </c>
      <c r="L370" s="10">
        <v>1</v>
      </c>
      <c r="M370" s="10">
        <v>6</v>
      </c>
    </row>
    <row r="371" spans="1:13">
      <c r="A371" s="8">
        <v>43263</v>
      </c>
      <c r="B371" s="9">
        <v>0.67569444444444438</v>
      </c>
      <c r="C371" s="10" t="str">
        <f>"FES1162629194"</f>
        <v>FES1162629194</v>
      </c>
      <c r="D371" s="10" t="s">
        <v>19</v>
      </c>
      <c r="E371" s="10" t="s">
        <v>60</v>
      </c>
      <c r="F371" s="10" t="str">
        <f>"2170636234 "</f>
        <v xml:space="preserve">2170636234 </v>
      </c>
      <c r="G371" s="10" t="str">
        <f t="shared" si="10"/>
        <v>ON1</v>
      </c>
      <c r="H371" s="10" t="s">
        <v>21</v>
      </c>
      <c r="I371" s="10" t="s">
        <v>61</v>
      </c>
      <c r="J371" s="10" t="str">
        <f>""</f>
        <v/>
      </c>
      <c r="K371" s="10" t="str">
        <f>"PFES1162629194_0001"</f>
        <v>PFES1162629194_0001</v>
      </c>
      <c r="L371" s="10">
        <v>1</v>
      </c>
      <c r="M371" s="10">
        <v>2</v>
      </c>
    </row>
    <row r="372" spans="1:13">
      <c r="A372" s="8">
        <v>43263</v>
      </c>
      <c r="B372" s="9">
        <v>0.67499999999999993</v>
      </c>
      <c r="C372" s="10" t="str">
        <f>"FES1162629143"</f>
        <v>FES1162629143</v>
      </c>
      <c r="D372" s="10" t="s">
        <v>19</v>
      </c>
      <c r="E372" s="10" t="s">
        <v>49</v>
      </c>
      <c r="F372" s="10" t="str">
        <f>"2170636181 "</f>
        <v xml:space="preserve">2170636181 </v>
      </c>
      <c r="G372" s="10" t="str">
        <f t="shared" si="10"/>
        <v>ON1</v>
      </c>
      <c r="H372" s="10" t="s">
        <v>21</v>
      </c>
      <c r="I372" s="10" t="s">
        <v>32</v>
      </c>
      <c r="J372" s="10" t="str">
        <f>""</f>
        <v/>
      </c>
      <c r="K372" s="10" t="str">
        <f>"PFES1162629143_0001"</f>
        <v>PFES1162629143_0001</v>
      </c>
      <c r="L372" s="10">
        <v>1</v>
      </c>
      <c r="M372" s="10">
        <v>5</v>
      </c>
    </row>
    <row r="373" spans="1:13">
      <c r="A373" s="8">
        <v>43263</v>
      </c>
      <c r="B373" s="9">
        <v>0.6743055555555556</v>
      </c>
      <c r="C373" s="10" t="str">
        <f>"FES1162629206"</f>
        <v>FES1162629206</v>
      </c>
      <c r="D373" s="10" t="s">
        <v>19</v>
      </c>
      <c r="E373" s="10" t="s">
        <v>381</v>
      </c>
      <c r="F373" s="10" t="str">
        <f>"2170635252 "</f>
        <v xml:space="preserve">2170635252 </v>
      </c>
      <c r="G373" s="10" t="str">
        <f t="shared" si="10"/>
        <v>ON1</v>
      </c>
      <c r="H373" s="10" t="s">
        <v>21</v>
      </c>
      <c r="I373" s="10" t="s">
        <v>382</v>
      </c>
      <c r="J373" s="10" t="str">
        <f>""</f>
        <v/>
      </c>
      <c r="K373" s="10" t="str">
        <f>"PFES1162629206_0001"</f>
        <v>PFES1162629206_0001</v>
      </c>
      <c r="L373" s="10">
        <v>1</v>
      </c>
      <c r="M373" s="10">
        <v>1</v>
      </c>
    </row>
    <row r="374" spans="1:13">
      <c r="A374" s="8">
        <v>43263</v>
      </c>
      <c r="B374" s="9">
        <v>0.67361111111111116</v>
      </c>
      <c r="C374" s="10" t="str">
        <f>"FES1162629183"</f>
        <v>FES1162629183</v>
      </c>
      <c r="D374" s="10" t="s">
        <v>19</v>
      </c>
      <c r="E374" s="10" t="s">
        <v>383</v>
      </c>
      <c r="F374" s="10" t="str">
        <f>"2170636006 "</f>
        <v xml:space="preserve">2170636006 </v>
      </c>
      <c r="G374" s="10" t="str">
        <f t="shared" si="10"/>
        <v>ON1</v>
      </c>
      <c r="H374" s="10" t="s">
        <v>21</v>
      </c>
      <c r="I374" s="10" t="s">
        <v>384</v>
      </c>
      <c r="J374" s="10" t="str">
        <f>""</f>
        <v/>
      </c>
      <c r="K374" s="10" t="str">
        <f>"PFES1162629183_0001"</f>
        <v>PFES1162629183_0001</v>
      </c>
      <c r="L374" s="10">
        <v>1</v>
      </c>
      <c r="M374" s="10">
        <v>7</v>
      </c>
    </row>
    <row r="375" spans="1:13">
      <c r="A375" s="8">
        <v>43263</v>
      </c>
      <c r="B375" s="9">
        <v>0.67291666666666661</v>
      </c>
      <c r="C375" s="10" t="str">
        <f>"FES1162629141"</f>
        <v>FES1162629141</v>
      </c>
      <c r="D375" s="10" t="s">
        <v>19</v>
      </c>
      <c r="E375" s="10" t="s">
        <v>385</v>
      </c>
      <c r="F375" s="10" t="str">
        <f>"2170636175 "</f>
        <v xml:space="preserve">2170636175 </v>
      </c>
      <c r="G375" s="10" t="str">
        <f t="shared" si="10"/>
        <v>ON1</v>
      </c>
      <c r="H375" s="10" t="s">
        <v>21</v>
      </c>
      <c r="I375" s="10" t="s">
        <v>386</v>
      </c>
      <c r="J375" s="10" t="str">
        <f>""</f>
        <v/>
      </c>
      <c r="K375" s="10" t="str">
        <f>"PFES1162629141_0001"</f>
        <v>PFES1162629141_0001</v>
      </c>
      <c r="L375" s="10">
        <v>1</v>
      </c>
      <c r="M375" s="10">
        <v>3</v>
      </c>
    </row>
    <row r="376" spans="1:13">
      <c r="A376" s="8">
        <v>43263</v>
      </c>
      <c r="B376" s="9">
        <v>0.67291666666666661</v>
      </c>
      <c r="C376" s="10" t="str">
        <f>"FES1162629175"</f>
        <v>FES1162629175</v>
      </c>
      <c r="D376" s="10" t="s">
        <v>19</v>
      </c>
      <c r="E376" s="10" t="s">
        <v>126</v>
      </c>
      <c r="F376" s="10" t="str">
        <f>"217063216 "</f>
        <v xml:space="preserve">217063216 </v>
      </c>
      <c r="G376" s="10" t="str">
        <f t="shared" si="10"/>
        <v>ON1</v>
      </c>
      <c r="H376" s="10" t="s">
        <v>21</v>
      </c>
      <c r="I376" s="10" t="s">
        <v>127</v>
      </c>
      <c r="J376" s="10" t="str">
        <f>""</f>
        <v/>
      </c>
      <c r="K376" s="10" t="str">
        <f>"PFES1162629175_0001"</f>
        <v>PFES1162629175_0001</v>
      </c>
      <c r="L376" s="10">
        <v>1</v>
      </c>
      <c r="M376" s="10">
        <v>1</v>
      </c>
    </row>
    <row r="377" spans="1:13">
      <c r="A377" s="8">
        <v>43263</v>
      </c>
      <c r="B377" s="9">
        <v>0.67291666666666661</v>
      </c>
      <c r="C377" s="10" t="str">
        <f>"FES1162629079"</f>
        <v>FES1162629079</v>
      </c>
      <c r="D377" s="10" t="s">
        <v>19</v>
      </c>
      <c r="E377" s="10" t="s">
        <v>327</v>
      </c>
      <c r="F377" s="10" t="str">
        <f>"2170635727 "</f>
        <v xml:space="preserve">2170635727 </v>
      </c>
      <c r="G377" s="10" t="str">
        <f t="shared" si="10"/>
        <v>ON1</v>
      </c>
      <c r="H377" s="10" t="s">
        <v>21</v>
      </c>
      <c r="I377" s="10" t="s">
        <v>69</v>
      </c>
      <c r="J377" s="10" t="str">
        <f>""</f>
        <v/>
      </c>
      <c r="K377" s="10" t="str">
        <f>"PFES1162629079_0001"</f>
        <v>PFES1162629079_0001</v>
      </c>
      <c r="L377" s="10">
        <v>1</v>
      </c>
      <c r="M377" s="10">
        <v>1</v>
      </c>
    </row>
    <row r="378" spans="1:13">
      <c r="A378" s="8">
        <v>43263</v>
      </c>
      <c r="B378" s="9">
        <v>0.67291666666666661</v>
      </c>
      <c r="C378" s="10" t="str">
        <f>"FES1162629020"</f>
        <v>FES1162629020</v>
      </c>
      <c r="D378" s="10" t="s">
        <v>19</v>
      </c>
      <c r="E378" s="10" t="s">
        <v>117</v>
      </c>
      <c r="F378" s="10" t="str">
        <f>"217063582 "</f>
        <v xml:space="preserve">217063582 </v>
      </c>
      <c r="G378" s="10" t="str">
        <f t="shared" si="10"/>
        <v>ON1</v>
      </c>
      <c r="H378" s="10" t="s">
        <v>21</v>
      </c>
      <c r="I378" s="10" t="s">
        <v>118</v>
      </c>
      <c r="J378" s="10" t="str">
        <f>""</f>
        <v/>
      </c>
      <c r="K378" s="10" t="str">
        <f>"PFES1162629020_0001"</f>
        <v>PFES1162629020_0001</v>
      </c>
      <c r="L378" s="10">
        <v>1</v>
      </c>
      <c r="M378" s="10">
        <v>1</v>
      </c>
    </row>
    <row r="379" spans="1:13">
      <c r="A379" s="8">
        <v>43263</v>
      </c>
      <c r="B379" s="9">
        <v>0.67222222222222217</v>
      </c>
      <c r="C379" s="10" t="str">
        <f>"FES1162629116"</f>
        <v>FES1162629116</v>
      </c>
      <c r="D379" s="10" t="s">
        <v>19</v>
      </c>
      <c r="E379" s="10" t="s">
        <v>278</v>
      </c>
      <c r="F379" s="10" t="str">
        <f>"217065882 "</f>
        <v xml:space="preserve">217065882 </v>
      </c>
      <c r="G379" s="10" t="str">
        <f t="shared" si="10"/>
        <v>ON1</v>
      </c>
      <c r="H379" s="10" t="s">
        <v>21</v>
      </c>
      <c r="I379" s="10" t="s">
        <v>279</v>
      </c>
      <c r="J379" s="10" t="str">
        <f>""</f>
        <v/>
      </c>
      <c r="K379" s="10" t="str">
        <f>"PFES1162629116_0001"</f>
        <v>PFES1162629116_0001</v>
      </c>
      <c r="L379" s="10">
        <v>1</v>
      </c>
      <c r="M379" s="10">
        <v>1</v>
      </c>
    </row>
    <row r="380" spans="1:13">
      <c r="A380" s="8">
        <v>43263</v>
      </c>
      <c r="B380" s="9">
        <v>0.67222222222222217</v>
      </c>
      <c r="C380" s="10" t="str">
        <f>"FES1162629176"</f>
        <v>FES1162629176</v>
      </c>
      <c r="D380" s="10" t="s">
        <v>19</v>
      </c>
      <c r="E380" s="10" t="s">
        <v>387</v>
      </c>
      <c r="F380" s="10" t="str">
        <f>"217063217 "</f>
        <v xml:space="preserve">217063217 </v>
      </c>
      <c r="G380" s="10" t="str">
        <f t="shared" si="10"/>
        <v>ON1</v>
      </c>
      <c r="H380" s="10" t="s">
        <v>21</v>
      </c>
      <c r="I380" s="10" t="s">
        <v>69</v>
      </c>
      <c r="J380" s="10" t="str">
        <f>""</f>
        <v/>
      </c>
      <c r="K380" s="10" t="str">
        <f>"PFES1162629176_0001"</f>
        <v>PFES1162629176_0001</v>
      </c>
      <c r="L380" s="10">
        <v>1</v>
      </c>
      <c r="M380" s="10">
        <v>1</v>
      </c>
    </row>
    <row r="381" spans="1:13">
      <c r="A381" s="8">
        <v>43263</v>
      </c>
      <c r="B381" s="9">
        <v>0.67222222222222217</v>
      </c>
      <c r="C381" s="10" t="str">
        <f>"FES1162629165"</f>
        <v>FES1162629165</v>
      </c>
      <c r="D381" s="10" t="s">
        <v>19</v>
      </c>
      <c r="E381" s="10" t="s">
        <v>101</v>
      </c>
      <c r="F381" s="10" t="str">
        <f>"2170635406 "</f>
        <v xml:space="preserve">2170635406 </v>
      </c>
      <c r="G381" s="10" t="str">
        <f t="shared" si="10"/>
        <v>ON1</v>
      </c>
      <c r="H381" s="10" t="s">
        <v>21</v>
      </c>
      <c r="I381" s="10" t="s">
        <v>102</v>
      </c>
      <c r="J381" s="10" t="str">
        <f>""</f>
        <v/>
      </c>
      <c r="K381" s="10" t="str">
        <f>"PFES1162629165_0001"</f>
        <v>PFES1162629165_0001</v>
      </c>
      <c r="L381" s="10">
        <v>1</v>
      </c>
      <c r="M381" s="10">
        <v>1</v>
      </c>
    </row>
    <row r="382" spans="1:13">
      <c r="A382" s="8">
        <v>43263</v>
      </c>
      <c r="B382" s="9">
        <v>0.52569444444444446</v>
      </c>
      <c r="C382" s="10" t="str">
        <f>"FES1162628882"</f>
        <v>FES1162628882</v>
      </c>
      <c r="D382" s="10" t="s">
        <v>19</v>
      </c>
      <c r="E382" s="10" t="s">
        <v>388</v>
      </c>
      <c r="F382" s="10" t="str">
        <f>"2170634773 "</f>
        <v xml:space="preserve">2170634773 </v>
      </c>
      <c r="G382" s="10" t="str">
        <f t="shared" si="10"/>
        <v>ON1</v>
      </c>
      <c r="H382" s="10" t="s">
        <v>21</v>
      </c>
      <c r="I382" s="10" t="s">
        <v>389</v>
      </c>
      <c r="J382" s="10" t="str">
        <f>""</f>
        <v/>
      </c>
      <c r="K382" s="10" t="str">
        <f>"PFES1162628882_0001"</f>
        <v>PFES1162628882_0001</v>
      </c>
      <c r="L382" s="10">
        <v>1</v>
      </c>
      <c r="M382" s="10">
        <v>14</v>
      </c>
    </row>
    <row r="383" spans="1:13">
      <c r="A383" s="8">
        <v>43263</v>
      </c>
      <c r="B383" s="9">
        <v>0.52569444444444446</v>
      </c>
      <c r="C383" s="10" t="str">
        <f>"FES1162629011"</f>
        <v>FES1162629011</v>
      </c>
      <c r="D383" s="10" t="s">
        <v>19</v>
      </c>
      <c r="E383" s="10" t="s">
        <v>390</v>
      </c>
      <c r="F383" s="10" t="str">
        <f>"2170635115 "</f>
        <v xml:space="preserve">2170635115 </v>
      </c>
      <c r="G383" s="10" t="str">
        <f t="shared" si="10"/>
        <v>ON1</v>
      </c>
      <c r="H383" s="10" t="s">
        <v>21</v>
      </c>
      <c r="I383" s="10" t="s">
        <v>391</v>
      </c>
      <c r="J383" s="10" t="str">
        <f>""</f>
        <v/>
      </c>
      <c r="K383" s="10" t="str">
        <f>"PFES1162629011_0001"</f>
        <v>PFES1162629011_0001</v>
      </c>
      <c r="L383" s="10">
        <v>1</v>
      </c>
      <c r="M383" s="10">
        <v>1</v>
      </c>
    </row>
    <row r="384" spans="1:13">
      <c r="A384" s="8">
        <v>43263</v>
      </c>
      <c r="B384" s="9">
        <v>0.52500000000000002</v>
      </c>
      <c r="C384" s="10" t="str">
        <f>"FES1162628936"</f>
        <v>FES1162628936</v>
      </c>
      <c r="D384" s="10" t="s">
        <v>19</v>
      </c>
      <c r="E384" s="10" t="s">
        <v>392</v>
      </c>
      <c r="F384" s="10" t="str">
        <f>"2170636025 "</f>
        <v xml:space="preserve">2170636025 </v>
      </c>
      <c r="G384" s="10" t="str">
        <f t="shared" si="10"/>
        <v>ON1</v>
      </c>
      <c r="H384" s="10" t="s">
        <v>21</v>
      </c>
      <c r="I384" s="10" t="s">
        <v>393</v>
      </c>
      <c r="J384" s="10" t="str">
        <f>""</f>
        <v/>
      </c>
      <c r="K384" s="10" t="str">
        <f>"PFES1162628936_0001"</f>
        <v>PFES1162628936_0001</v>
      </c>
      <c r="L384" s="10">
        <v>1</v>
      </c>
      <c r="M384" s="10">
        <v>1</v>
      </c>
    </row>
    <row r="385" spans="1:13">
      <c r="A385" s="8">
        <v>43263</v>
      </c>
      <c r="B385" s="9">
        <v>0.52500000000000002</v>
      </c>
      <c r="C385" s="10" t="str">
        <f>"FES1162628892"</f>
        <v>FES1162628892</v>
      </c>
      <c r="D385" s="10" t="s">
        <v>19</v>
      </c>
      <c r="E385" s="10" t="s">
        <v>394</v>
      </c>
      <c r="F385" s="10" t="str">
        <f>"2170635545 "</f>
        <v xml:space="preserve">2170635545 </v>
      </c>
      <c r="G385" s="10" t="str">
        <f t="shared" si="10"/>
        <v>ON1</v>
      </c>
      <c r="H385" s="10" t="s">
        <v>21</v>
      </c>
      <c r="I385" s="10" t="s">
        <v>75</v>
      </c>
      <c r="J385" s="10" t="str">
        <f>""</f>
        <v/>
      </c>
      <c r="K385" s="10" t="str">
        <f>"PFES1162628892_0001"</f>
        <v>PFES1162628892_0001</v>
      </c>
      <c r="L385" s="10">
        <v>1</v>
      </c>
      <c r="M385" s="10">
        <v>1</v>
      </c>
    </row>
    <row r="386" spans="1:13">
      <c r="A386" s="8">
        <v>43263</v>
      </c>
      <c r="B386" s="9">
        <v>0.52500000000000002</v>
      </c>
      <c r="C386" s="10" t="str">
        <f>"FES1162629022"</f>
        <v>FES1162629022</v>
      </c>
      <c r="D386" s="10" t="s">
        <v>19</v>
      </c>
      <c r="E386" s="10" t="s">
        <v>395</v>
      </c>
      <c r="F386" s="10" t="str">
        <f>"2170636070 "</f>
        <v xml:space="preserve">2170636070 </v>
      </c>
      <c r="G386" s="10" t="str">
        <f t="shared" si="10"/>
        <v>ON1</v>
      </c>
      <c r="H386" s="10" t="s">
        <v>21</v>
      </c>
      <c r="I386" s="10" t="s">
        <v>396</v>
      </c>
      <c r="J386" s="10" t="str">
        <f>""</f>
        <v/>
      </c>
      <c r="K386" s="10" t="str">
        <f>"PFES1162629022_0001"</f>
        <v>PFES1162629022_0001</v>
      </c>
      <c r="L386" s="10">
        <v>1</v>
      </c>
      <c r="M386" s="10">
        <v>2</v>
      </c>
    </row>
    <row r="387" spans="1:13">
      <c r="A387" s="8">
        <v>43263</v>
      </c>
      <c r="B387" s="9">
        <v>0.52430555555555558</v>
      </c>
      <c r="C387" s="10" t="str">
        <f>"FES1162628899"</f>
        <v>FES1162628899</v>
      </c>
      <c r="D387" s="10" t="s">
        <v>19</v>
      </c>
      <c r="E387" s="10" t="s">
        <v>67</v>
      </c>
      <c r="F387" s="10" t="str">
        <f>"2170635673 "</f>
        <v xml:space="preserve">2170635673 </v>
      </c>
      <c r="G387" s="10" t="str">
        <f t="shared" si="10"/>
        <v>ON1</v>
      </c>
      <c r="H387" s="10" t="s">
        <v>21</v>
      </c>
      <c r="I387" s="10" t="s">
        <v>397</v>
      </c>
      <c r="J387" s="10" t="str">
        <f>""</f>
        <v/>
      </c>
      <c r="K387" s="10" t="str">
        <f>"PFES1162628899_0001"</f>
        <v>PFES1162628899_0001</v>
      </c>
      <c r="L387" s="10">
        <v>1</v>
      </c>
      <c r="M387" s="10">
        <v>1</v>
      </c>
    </row>
    <row r="388" spans="1:13">
      <c r="A388" s="8">
        <v>43263</v>
      </c>
      <c r="B388" s="9">
        <v>0.52361111111111114</v>
      </c>
      <c r="C388" s="10" t="str">
        <f>"FES1162628988"</f>
        <v>FES1162628988</v>
      </c>
      <c r="D388" s="10" t="s">
        <v>19</v>
      </c>
      <c r="E388" s="10" t="s">
        <v>120</v>
      </c>
      <c r="F388" s="10" t="str">
        <f>"2170633877 "</f>
        <v xml:space="preserve">2170633877 </v>
      </c>
      <c r="G388" s="10" t="str">
        <f t="shared" si="10"/>
        <v>ON1</v>
      </c>
      <c r="H388" s="10" t="s">
        <v>21</v>
      </c>
      <c r="I388" s="10" t="s">
        <v>38</v>
      </c>
      <c r="J388" s="10" t="str">
        <f>""</f>
        <v/>
      </c>
      <c r="K388" s="10" t="str">
        <f>"PFES1162628988_0001"</f>
        <v>PFES1162628988_0001</v>
      </c>
      <c r="L388" s="10">
        <v>1</v>
      </c>
      <c r="M388" s="10">
        <v>1</v>
      </c>
    </row>
    <row r="389" spans="1:13">
      <c r="A389" s="8">
        <v>43263</v>
      </c>
      <c r="B389" s="9">
        <v>0.5229166666666667</v>
      </c>
      <c r="C389" s="10" t="str">
        <f>"FES1162629070"</f>
        <v>FES1162629070</v>
      </c>
      <c r="D389" s="10" t="s">
        <v>19</v>
      </c>
      <c r="E389" s="10" t="s">
        <v>62</v>
      </c>
      <c r="F389" s="10" t="str">
        <f>"2170636089 "</f>
        <v xml:space="preserve">2170636089 </v>
      </c>
      <c r="G389" s="10" t="str">
        <f t="shared" si="10"/>
        <v>ON1</v>
      </c>
      <c r="H389" s="10" t="s">
        <v>21</v>
      </c>
      <c r="I389" s="10" t="s">
        <v>63</v>
      </c>
      <c r="J389" s="10" t="str">
        <f>""</f>
        <v/>
      </c>
      <c r="K389" s="10" t="str">
        <f>"PFES1162629070_0001"</f>
        <v>PFES1162629070_0001</v>
      </c>
      <c r="L389" s="10">
        <v>1</v>
      </c>
      <c r="M389" s="10">
        <v>4</v>
      </c>
    </row>
    <row r="390" spans="1:13">
      <c r="A390" s="8">
        <v>43263</v>
      </c>
      <c r="B390" s="9">
        <v>0.52222222222222225</v>
      </c>
      <c r="C390" s="10" t="str">
        <f>"FES1162628897"</f>
        <v>FES1162628897</v>
      </c>
      <c r="D390" s="10" t="s">
        <v>19</v>
      </c>
      <c r="E390" s="10" t="s">
        <v>320</v>
      </c>
      <c r="F390" s="10" t="str">
        <f>"2170635660 "</f>
        <v xml:space="preserve">2170635660 </v>
      </c>
      <c r="G390" s="10" t="str">
        <f t="shared" si="10"/>
        <v>ON1</v>
      </c>
      <c r="H390" s="10" t="s">
        <v>21</v>
      </c>
      <c r="I390" s="10" t="s">
        <v>79</v>
      </c>
      <c r="J390" s="10" t="str">
        <f>""</f>
        <v/>
      </c>
      <c r="K390" s="10" t="str">
        <f>"PFES1162628897_0001"</f>
        <v>PFES1162628897_0001</v>
      </c>
      <c r="L390" s="10">
        <v>1</v>
      </c>
      <c r="M390" s="10">
        <v>1</v>
      </c>
    </row>
    <row r="391" spans="1:13">
      <c r="A391" s="8">
        <v>43263</v>
      </c>
      <c r="B391" s="9">
        <v>0.52152777777777781</v>
      </c>
      <c r="C391" s="10" t="str">
        <f>"FES1162628952"</f>
        <v>FES1162628952</v>
      </c>
      <c r="D391" s="10" t="s">
        <v>19</v>
      </c>
      <c r="E391" s="10" t="s">
        <v>64</v>
      </c>
      <c r="F391" s="10" t="str">
        <f>"2170636046 "</f>
        <v xml:space="preserve">2170636046 </v>
      </c>
      <c r="G391" s="10" t="str">
        <f t="shared" si="10"/>
        <v>ON1</v>
      </c>
      <c r="H391" s="10" t="s">
        <v>21</v>
      </c>
      <c r="I391" s="10" t="s">
        <v>40</v>
      </c>
      <c r="J391" s="10" t="str">
        <f>""</f>
        <v/>
      </c>
      <c r="K391" s="10" t="str">
        <f>"PFES1162628952_0001"</f>
        <v>PFES1162628952_0001</v>
      </c>
      <c r="L391" s="10">
        <v>1</v>
      </c>
      <c r="M391" s="10">
        <v>1</v>
      </c>
    </row>
    <row r="392" spans="1:13">
      <c r="A392" s="8">
        <v>43263</v>
      </c>
      <c r="B392" s="9">
        <v>0.52083333333333337</v>
      </c>
      <c r="C392" s="10" t="str">
        <f>"FES1162628943"</f>
        <v>FES1162628943</v>
      </c>
      <c r="D392" s="10" t="s">
        <v>19</v>
      </c>
      <c r="E392" s="10" t="s">
        <v>64</v>
      </c>
      <c r="F392" s="10" t="str">
        <f>"2170636037 "</f>
        <v xml:space="preserve">2170636037 </v>
      </c>
      <c r="G392" s="10" t="str">
        <f t="shared" si="10"/>
        <v>ON1</v>
      </c>
      <c r="H392" s="10" t="s">
        <v>21</v>
      </c>
      <c r="I392" s="10" t="s">
        <v>40</v>
      </c>
      <c r="J392" s="10" t="str">
        <f>""</f>
        <v/>
      </c>
      <c r="K392" s="10" t="str">
        <f>"PFES1162628943_0001"</f>
        <v>PFES1162628943_0001</v>
      </c>
      <c r="L392" s="10">
        <v>1</v>
      </c>
      <c r="M392" s="10">
        <v>1</v>
      </c>
    </row>
    <row r="393" spans="1:13">
      <c r="A393" s="8">
        <v>43263</v>
      </c>
      <c r="B393" s="9">
        <v>0.52013888888888882</v>
      </c>
      <c r="C393" s="10" t="str">
        <f>"FES1162628894"</f>
        <v>FES1162628894</v>
      </c>
      <c r="D393" s="10" t="s">
        <v>19</v>
      </c>
      <c r="E393" s="10" t="s">
        <v>398</v>
      </c>
      <c r="F393" s="10" t="str">
        <f>"2170635613 "</f>
        <v xml:space="preserve">2170635613 </v>
      </c>
      <c r="G393" s="10" t="str">
        <f t="shared" si="10"/>
        <v>ON1</v>
      </c>
      <c r="H393" s="10" t="s">
        <v>21</v>
      </c>
      <c r="I393" s="10" t="s">
        <v>32</v>
      </c>
      <c r="J393" s="10" t="str">
        <f>""</f>
        <v/>
      </c>
      <c r="K393" s="10" t="str">
        <f>"PFES1162628894_0001"</f>
        <v>PFES1162628894_0001</v>
      </c>
      <c r="L393" s="10">
        <v>1</v>
      </c>
      <c r="M393" s="10">
        <v>2</v>
      </c>
    </row>
    <row r="394" spans="1:13">
      <c r="A394" s="8">
        <v>43263</v>
      </c>
      <c r="B394" s="9">
        <v>0.52013888888888882</v>
      </c>
      <c r="C394" s="10" t="str">
        <f>"FES1162629051"</f>
        <v>FES1162629051</v>
      </c>
      <c r="D394" s="10" t="s">
        <v>19</v>
      </c>
      <c r="E394" s="10" t="s">
        <v>335</v>
      </c>
      <c r="F394" s="10" t="str">
        <f>"2170633727 "</f>
        <v xml:space="preserve">2170633727 </v>
      </c>
      <c r="G394" s="10" t="str">
        <f t="shared" si="10"/>
        <v>ON1</v>
      </c>
      <c r="H394" s="10" t="s">
        <v>21</v>
      </c>
      <c r="I394" s="10" t="s">
        <v>336</v>
      </c>
      <c r="J394" s="10" t="str">
        <f>""</f>
        <v/>
      </c>
      <c r="K394" s="10" t="str">
        <f>"PFES1162629051_0001"</f>
        <v>PFES1162629051_0001</v>
      </c>
      <c r="L394" s="10">
        <v>1</v>
      </c>
      <c r="M394" s="10">
        <v>1</v>
      </c>
    </row>
    <row r="395" spans="1:13">
      <c r="A395" s="8">
        <v>43263</v>
      </c>
      <c r="B395" s="9">
        <v>0.52013888888888882</v>
      </c>
      <c r="C395" s="10" t="str">
        <f>"FES1162628935"</f>
        <v>FES1162628935</v>
      </c>
      <c r="D395" s="10" t="s">
        <v>19</v>
      </c>
      <c r="E395" s="10" t="s">
        <v>399</v>
      </c>
      <c r="F395" s="10" t="str">
        <f>"2170636023 "</f>
        <v xml:space="preserve">2170636023 </v>
      </c>
      <c r="G395" s="10" t="str">
        <f t="shared" si="10"/>
        <v>ON1</v>
      </c>
      <c r="H395" s="10" t="s">
        <v>21</v>
      </c>
      <c r="I395" s="10" t="s">
        <v>400</v>
      </c>
      <c r="J395" s="10" t="str">
        <f>""</f>
        <v/>
      </c>
      <c r="K395" s="10" t="str">
        <f>"PFES1162628935_0001"</f>
        <v>PFES1162628935_0001</v>
      </c>
      <c r="L395" s="10">
        <v>1</v>
      </c>
      <c r="M395" s="10">
        <v>1</v>
      </c>
    </row>
    <row r="396" spans="1:13">
      <c r="A396" s="8">
        <v>43263</v>
      </c>
      <c r="B396" s="9">
        <v>0.51944444444444449</v>
      </c>
      <c r="C396" s="10" t="str">
        <f>"FES1162628895"</f>
        <v>FES1162628895</v>
      </c>
      <c r="D396" s="10" t="s">
        <v>19</v>
      </c>
      <c r="E396" s="10" t="s">
        <v>401</v>
      </c>
      <c r="F396" s="10" t="str">
        <f>"2170635632 "</f>
        <v xml:space="preserve">2170635632 </v>
      </c>
      <c r="G396" s="10" t="str">
        <f t="shared" si="10"/>
        <v>ON1</v>
      </c>
      <c r="H396" s="10" t="s">
        <v>21</v>
      </c>
      <c r="I396" s="10" t="s">
        <v>30</v>
      </c>
      <c r="J396" s="10" t="str">
        <f>""</f>
        <v/>
      </c>
      <c r="K396" s="10" t="str">
        <f>"PFES1162628895_0001"</f>
        <v>PFES1162628895_0001</v>
      </c>
      <c r="L396" s="10">
        <v>1</v>
      </c>
      <c r="M396" s="10">
        <v>1</v>
      </c>
    </row>
    <row r="397" spans="1:13">
      <c r="A397" s="8">
        <v>43263</v>
      </c>
      <c r="B397" s="9">
        <v>0.51944444444444449</v>
      </c>
      <c r="C397" s="10" t="str">
        <f>"FES1162628901"</f>
        <v>FES1162628901</v>
      </c>
      <c r="D397" s="10" t="s">
        <v>19</v>
      </c>
      <c r="E397" s="10" t="s">
        <v>402</v>
      </c>
      <c r="F397" s="10" t="str">
        <f>"2170635884 "</f>
        <v xml:space="preserve">2170635884 </v>
      </c>
      <c r="G397" s="10" t="str">
        <f t="shared" si="10"/>
        <v>ON1</v>
      </c>
      <c r="H397" s="10" t="s">
        <v>21</v>
      </c>
      <c r="I397" s="10" t="s">
        <v>389</v>
      </c>
      <c r="J397" s="10" t="str">
        <f>""</f>
        <v/>
      </c>
      <c r="K397" s="10" t="str">
        <f>"PFES1162628901_0001"</f>
        <v>PFES1162628901_0001</v>
      </c>
      <c r="L397" s="10">
        <v>1</v>
      </c>
      <c r="M397" s="10">
        <v>1</v>
      </c>
    </row>
    <row r="398" spans="1:13">
      <c r="A398" s="8">
        <v>43263</v>
      </c>
      <c r="B398" s="9">
        <v>0.51874999999999993</v>
      </c>
      <c r="C398" s="10" t="str">
        <f>"FES1162629053"</f>
        <v>FES1162629053</v>
      </c>
      <c r="D398" s="10" t="s">
        <v>19</v>
      </c>
      <c r="E398" s="10" t="s">
        <v>403</v>
      </c>
      <c r="F398" s="10" t="str">
        <f>"2170633741 "</f>
        <v xml:space="preserve">2170633741 </v>
      </c>
      <c r="G398" s="10" t="str">
        <f t="shared" si="10"/>
        <v>ON1</v>
      </c>
      <c r="H398" s="10" t="s">
        <v>21</v>
      </c>
      <c r="I398" s="10" t="s">
        <v>66</v>
      </c>
      <c r="J398" s="10" t="str">
        <f>""</f>
        <v/>
      </c>
      <c r="K398" s="10" t="str">
        <f>"PFES1162629053_0001"</f>
        <v>PFES1162629053_0001</v>
      </c>
      <c r="L398" s="10">
        <v>1</v>
      </c>
      <c r="M398" s="10">
        <v>1</v>
      </c>
    </row>
    <row r="399" spans="1:13">
      <c r="A399" s="8">
        <v>43263</v>
      </c>
      <c r="B399" s="9">
        <v>0.5180555555555556</v>
      </c>
      <c r="C399" s="10" t="str">
        <f>"FES1162628916"</f>
        <v>FES1162628916</v>
      </c>
      <c r="D399" s="10" t="s">
        <v>19</v>
      </c>
      <c r="E399" s="10" t="s">
        <v>404</v>
      </c>
      <c r="F399" s="10" t="str">
        <f>"2170635997 "</f>
        <v xml:space="preserve">2170635997 </v>
      </c>
      <c r="G399" s="10" t="str">
        <f t="shared" si="10"/>
        <v>ON1</v>
      </c>
      <c r="H399" s="10" t="s">
        <v>21</v>
      </c>
      <c r="I399" s="10" t="s">
        <v>405</v>
      </c>
      <c r="J399" s="10" t="str">
        <f>""</f>
        <v/>
      </c>
      <c r="K399" s="10" t="str">
        <f>"PFES1162628916_0001"</f>
        <v>PFES1162628916_0001</v>
      </c>
      <c r="L399" s="10">
        <v>1</v>
      </c>
      <c r="M399" s="10">
        <v>1</v>
      </c>
    </row>
    <row r="400" spans="1:13">
      <c r="A400" s="8">
        <v>43263</v>
      </c>
      <c r="B400" s="9">
        <v>0.5180555555555556</v>
      </c>
      <c r="C400" s="10" t="str">
        <f>"FES1162628886"</f>
        <v>FES1162628886</v>
      </c>
      <c r="D400" s="10" t="s">
        <v>19</v>
      </c>
      <c r="E400" s="10" t="s">
        <v>406</v>
      </c>
      <c r="F400" s="10" t="str">
        <f>"2170635196 "</f>
        <v xml:space="preserve">2170635196 </v>
      </c>
      <c r="G400" s="10" t="str">
        <f t="shared" si="10"/>
        <v>ON1</v>
      </c>
      <c r="H400" s="10" t="s">
        <v>21</v>
      </c>
      <c r="I400" s="10" t="s">
        <v>407</v>
      </c>
      <c r="J400" s="10" t="str">
        <f>""</f>
        <v/>
      </c>
      <c r="K400" s="10" t="str">
        <f>"PFES1162628886_0001"</f>
        <v>PFES1162628886_0001</v>
      </c>
      <c r="L400" s="10">
        <v>1</v>
      </c>
      <c r="M400" s="10">
        <v>1</v>
      </c>
    </row>
    <row r="401" spans="1:13">
      <c r="A401" s="8">
        <v>43263</v>
      </c>
      <c r="B401" s="9">
        <v>0.51736111111111105</v>
      </c>
      <c r="C401" s="10" t="str">
        <f>"FES1162628927"</f>
        <v>FES1162628927</v>
      </c>
      <c r="D401" s="10" t="s">
        <v>19</v>
      </c>
      <c r="E401" s="10" t="s">
        <v>278</v>
      </c>
      <c r="F401" s="10" t="str">
        <f>"2170635882 "</f>
        <v xml:space="preserve">2170635882 </v>
      </c>
      <c r="G401" s="10" t="str">
        <f t="shared" si="10"/>
        <v>ON1</v>
      </c>
      <c r="H401" s="10" t="s">
        <v>21</v>
      </c>
      <c r="I401" s="10" t="s">
        <v>279</v>
      </c>
      <c r="J401" s="10" t="str">
        <f>""</f>
        <v/>
      </c>
      <c r="K401" s="10" t="str">
        <f>"PFES1162628927_0001"</f>
        <v>PFES1162628927_0001</v>
      </c>
      <c r="L401" s="10">
        <v>1</v>
      </c>
      <c r="M401" s="10">
        <v>1</v>
      </c>
    </row>
    <row r="402" spans="1:13">
      <c r="A402" s="8">
        <v>43263</v>
      </c>
      <c r="B402" s="9">
        <v>0.51736111111111105</v>
      </c>
      <c r="C402" s="10" t="str">
        <f>"FES1162628907"</f>
        <v>FES1162628907</v>
      </c>
      <c r="D402" s="10" t="s">
        <v>19</v>
      </c>
      <c r="E402" s="10" t="s">
        <v>117</v>
      </c>
      <c r="F402" s="10" t="str">
        <f>"2170635983 "</f>
        <v xml:space="preserve">2170635983 </v>
      </c>
      <c r="G402" s="10" t="str">
        <f t="shared" si="10"/>
        <v>ON1</v>
      </c>
      <c r="H402" s="10" t="s">
        <v>21</v>
      </c>
      <c r="I402" s="10" t="s">
        <v>118</v>
      </c>
      <c r="J402" s="10" t="str">
        <f>""</f>
        <v/>
      </c>
      <c r="K402" s="10" t="str">
        <f>"PFES1162628907_0001"</f>
        <v>PFES1162628907_0001</v>
      </c>
      <c r="L402" s="10">
        <v>1</v>
      </c>
      <c r="M402" s="10">
        <v>1</v>
      </c>
    </row>
    <row r="403" spans="1:13">
      <c r="A403" s="8">
        <v>43263</v>
      </c>
      <c r="B403" s="9">
        <v>0.51666666666666672</v>
      </c>
      <c r="C403" s="10" t="str">
        <f>"FES1162629062"</f>
        <v>FES1162629062</v>
      </c>
      <c r="D403" s="10" t="s">
        <v>19</v>
      </c>
      <c r="E403" s="10" t="s">
        <v>408</v>
      </c>
      <c r="F403" s="10" t="str">
        <f>"2170634120 "</f>
        <v xml:space="preserve">2170634120 </v>
      </c>
      <c r="G403" s="10" t="str">
        <f t="shared" si="10"/>
        <v>ON1</v>
      </c>
      <c r="H403" s="10" t="s">
        <v>21</v>
      </c>
      <c r="I403" s="10" t="s">
        <v>297</v>
      </c>
      <c r="J403" s="10" t="str">
        <f>""</f>
        <v/>
      </c>
      <c r="K403" s="10" t="str">
        <f>"PFES1162629062_0001"</f>
        <v>PFES1162629062_0001</v>
      </c>
      <c r="L403" s="10">
        <v>1</v>
      </c>
      <c r="M403" s="10">
        <v>1</v>
      </c>
    </row>
    <row r="404" spans="1:13">
      <c r="A404" s="8">
        <v>43263</v>
      </c>
      <c r="B404" s="9">
        <v>0.51666666666666672</v>
      </c>
      <c r="C404" s="10" t="str">
        <f>"FES1162629039"</f>
        <v>FES1162629039</v>
      </c>
      <c r="D404" s="10" t="s">
        <v>19</v>
      </c>
      <c r="E404" s="10" t="s">
        <v>409</v>
      </c>
      <c r="F404" s="10" t="str">
        <f>"2170630677 "</f>
        <v xml:space="preserve">2170630677 </v>
      </c>
      <c r="G404" s="10" t="str">
        <f t="shared" ref="G404:G430" si="11">"ON1"</f>
        <v>ON1</v>
      </c>
      <c r="H404" s="10" t="s">
        <v>21</v>
      </c>
      <c r="I404" s="10" t="s">
        <v>265</v>
      </c>
      <c r="J404" s="10" t="str">
        <f>""</f>
        <v/>
      </c>
      <c r="K404" s="10" t="str">
        <f>"PFES1162629039_0001"</f>
        <v>PFES1162629039_0001</v>
      </c>
      <c r="L404" s="10">
        <v>1</v>
      </c>
      <c r="M404" s="10">
        <v>1</v>
      </c>
    </row>
    <row r="405" spans="1:13">
      <c r="A405" s="8">
        <v>43263</v>
      </c>
      <c r="B405" s="9">
        <v>0.51597222222222217</v>
      </c>
      <c r="C405" s="10" t="str">
        <f>"FES1162628939"</f>
        <v>FES1162628939</v>
      </c>
      <c r="D405" s="10" t="s">
        <v>19</v>
      </c>
      <c r="E405" s="10" t="s">
        <v>410</v>
      </c>
      <c r="F405" s="10" t="str">
        <f>"2170636032 "</f>
        <v xml:space="preserve">2170636032 </v>
      </c>
      <c r="G405" s="10" t="str">
        <f t="shared" si="11"/>
        <v>ON1</v>
      </c>
      <c r="H405" s="10" t="s">
        <v>21</v>
      </c>
      <c r="I405" s="10" t="s">
        <v>42</v>
      </c>
      <c r="J405" s="10" t="str">
        <f>""</f>
        <v/>
      </c>
      <c r="K405" s="10" t="str">
        <f>"PFES1162628939_0001"</f>
        <v>PFES1162628939_0001</v>
      </c>
      <c r="L405" s="10">
        <v>1</v>
      </c>
      <c r="M405" s="10">
        <v>1</v>
      </c>
    </row>
    <row r="406" spans="1:13">
      <c r="A406" s="8">
        <v>43263</v>
      </c>
      <c r="B406" s="9">
        <v>0.51597222222222217</v>
      </c>
      <c r="C406" s="10" t="str">
        <f>"FES1162628876"</f>
        <v>FES1162628876</v>
      </c>
      <c r="D406" s="10" t="s">
        <v>19</v>
      </c>
      <c r="E406" s="10" t="s">
        <v>411</v>
      </c>
      <c r="F406" s="10" t="str">
        <f>"2170634370 "</f>
        <v xml:space="preserve">2170634370 </v>
      </c>
      <c r="G406" s="10" t="str">
        <f t="shared" si="11"/>
        <v>ON1</v>
      </c>
      <c r="H406" s="10" t="s">
        <v>21</v>
      </c>
      <c r="I406" s="10" t="s">
        <v>28</v>
      </c>
      <c r="J406" s="10" t="str">
        <f>""</f>
        <v/>
      </c>
      <c r="K406" s="10" t="str">
        <f>"PFES1162628876_0001"</f>
        <v>PFES1162628876_0001</v>
      </c>
      <c r="L406" s="10">
        <v>1</v>
      </c>
      <c r="M406" s="10">
        <v>1</v>
      </c>
    </row>
    <row r="407" spans="1:13">
      <c r="A407" s="8">
        <v>43263</v>
      </c>
      <c r="B407" s="9">
        <v>0.51527777777777783</v>
      </c>
      <c r="C407" s="10" t="str">
        <f>"FES1162628891"</f>
        <v>FES1162628891</v>
      </c>
      <c r="D407" s="10" t="s">
        <v>19</v>
      </c>
      <c r="E407" s="10" t="s">
        <v>412</v>
      </c>
      <c r="F407" s="10" t="str">
        <f>"2170635534 "</f>
        <v xml:space="preserve">2170635534 </v>
      </c>
      <c r="G407" s="10" t="str">
        <f t="shared" si="11"/>
        <v>ON1</v>
      </c>
      <c r="H407" s="10" t="s">
        <v>21</v>
      </c>
      <c r="I407" s="10" t="s">
        <v>413</v>
      </c>
      <c r="J407" s="10" t="str">
        <f>""</f>
        <v/>
      </c>
      <c r="K407" s="10" t="str">
        <f>"PFES1162628891_0001"</f>
        <v>PFES1162628891_0001</v>
      </c>
      <c r="L407" s="10">
        <v>1</v>
      </c>
      <c r="M407" s="10">
        <v>1</v>
      </c>
    </row>
    <row r="408" spans="1:13">
      <c r="A408" s="8">
        <v>43263</v>
      </c>
      <c r="B408" s="9">
        <v>0.51527777777777783</v>
      </c>
      <c r="C408" s="10" t="str">
        <f>"FES1162628951"</f>
        <v>FES1162628951</v>
      </c>
      <c r="D408" s="10" t="s">
        <v>19</v>
      </c>
      <c r="E408" s="10" t="s">
        <v>414</v>
      </c>
      <c r="F408" s="10" t="str">
        <f>"2170636045 "</f>
        <v xml:space="preserve">2170636045 </v>
      </c>
      <c r="G408" s="10" t="str">
        <f t="shared" si="11"/>
        <v>ON1</v>
      </c>
      <c r="H408" s="10" t="s">
        <v>21</v>
      </c>
      <c r="I408" s="10" t="s">
        <v>415</v>
      </c>
      <c r="J408" s="10" t="str">
        <f>""</f>
        <v/>
      </c>
      <c r="K408" s="10" t="str">
        <f>"PFES1162628951_0001"</f>
        <v>PFES1162628951_0001</v>
      </c>
      <c r="L408" s="10">
        <v>1</v>
      </c>
      <c r="M408" s="10">
        <v>3</v>
      </c>
    </row>
    <row r="409" spans="1:13">
      <c r="A409" s="8">
        <v>43263</v>
      </c>
      <c r="B409" s="9">
        <v>0.51458333333333328</v>
      </c>
      <c r="C409" s="10" t="str">
        <f>"FES1162629066"</f>
        <v>FES1162629066</v>
      </c>
      <c r="D409" s="10" t="s">
        <v>19</v>
      </c>
      <c r="E409" s="10" t="s">
        <v>416</v>
      </c>
      <c r="F409" s="10" t="str">
        <f>"2170636079 "</f>
        <v xml:space="preserve">2170636079 </v>
      </c>
      <c r="G409" s="10" t="str">
        <f t="shared" si="11"/>
        <v>ON1</v>
      </c>
      <c r="H409" s="10" t="s">
        <v>21</v>
      </c>
      <c r="I409" s="10" t="s">
        <v>265</v>
      </c>
      <c r="J409" s="10" t="str">
        <f>""</f>
        <v/>
      </c>
      <c r="K409" s="10" t="str">
        <f>"PFES1162629066_0001"</f>
        <v>PFES1162629066_0001</v>
      </c>
      <c r="L409" s="10">
        <v>1</v>
      </c>
      <c r="M409" s="10">
        <v>1</v>
      </c>
    </row>
    <row r="410" spans="1:13">
      <c r="A410" s="8">
        <v>43263</v>
      </c>
      <c r="B410" s="9">
        <v>0.51458333333333328</v>
      </c>
      <c r="C410" s="10" t="str">
        <f>"FES1162628919"</f>
        <v>FES1162628919</v>
      </c>
      <c r="D410" s="10" t="s">
        <v>19</v>
      </c>
      <c r="E410" s="10" t="s">
        <v>417</v>
      </c>
      <c r="F410" s="10" t="str">
        <f>"217063600 "</f>
        <v xml:space="preserve">217063600 </v>
      </c>
      <c r="G410" s="10" t="str">
        <f t="shared" si="11"/>
        <v>ON1</v>
      </c>
      <c r="H410" s="10" t="s">
        <v>21</v>
      </c>
      <c r="I410" s="10" t="s">
        <v>418</v>
      </c>
      <c r="J410" s="10" t="str">
        <f>""</f>
        <v/>
      </c>
      <c r="K410" s="10" t="str">
        <f>"PFES1162628919_0001"</f>
        <v>PFES1162628919_0001</v>
      </c>
      <c r="L410" s="10">
        <v>1</v>
      </c>
      <c r="M410" s="10">
        <v>1</v>
      </c>
    </row>
    <row r="411" spans="1:13">
      <c r="A411" s="8">
        <v>43263</v>
      </c>
      <c r="B411" s="9">
        <v>0.51388888888888895</v>
      </c>
      <c r="C411" s="10" t="str">
        <f>"FES1162628973"</f>
        <v>FES1162628973</v>
      </c>
      <c r="D411" s="10" t="s">
        <v>19</v>
      </c>
      <c r="E411" s="10" t="s">
        <v>307</v>
      </c>
      <c r="F411" s="10" t="str">
        <f>"2170633644 "</f>
        <v xml:space="preserve">2170633644 </v>
      </c>
      <c r="G411" s="10" t="str">
        <f t="shared" si="11"/>
        <v>ON1</v>
      </c>
      <c r="H411" s="10" t="s">
        <v>21</v>
      </c>
      <c r="I411" s="10" t="s">
        <v>305</v>
      </c>
      <c r="J411" s="10" t="str">
        <f>""</f>
        <v/>
      </c>
      <c r="K411" s="10" t="str">
        <f>"PFES1162628973_0001"</f>
        <v>PFES1162628973_0001</v>
      </c>
      <c r="L411" s="10">
        <v>1</v>
      </c>
      <c r="M411" s="10">
        <v>1</v>
      </c>
    </row>
    <row r="412" spans="1:13">
      <c r="A412" s="8">
        <v>43263</v>
      </c>
      <c r="B412" s="9">
        <v>0.5131944444444444</v>
      </c>
      <c r="C412" s="10" t="str">
        <f>"FES1162628956"</f>
        <v>FES1162628956</v>
      </c>
      <c r="D412" s="10" t="s">
        <v>19</v>
      </c>
      <c r="E412" s="10" t="s">
        <v>419</v>
      </c>
      <c r="F412" s="10" t="str">
        <f>"2170635819 "</f>
        <v xml:space="preserve">2170635819 </v>
      </c>
      <c r="G412" s="10" t="str">
        <f t="shared" si="11"/>
        <v>ON1</v>
      </c>
      <c r="H412" s="10" t="s">
        <v>21</v>
      </c>
      <c r="I412" s="10" t="s">
        <v>420</v>
      </c>
      <c r="J412" s="10" t="str">
        <f>""</f>
        <v/>
      </c>
      <c r="K412" s="10" t="str">
        <f>"PFES1162628956_0001"</f>
        <v>PFES1162628956_0001</v>
      </c>
      <c r="L412" s="10">
        <v>1</v>
      </c>
      <c r="M412" s="10">
        <v>1</v>
      </c>
    </row>
    <row r="413" spans="1:13">
      <c r="A413" s="8">
        <v>43263</v>
      </c>
      <c r="B413" s="9">
        <v>0.5131944444444444</v>
      </c>
      <c r="C413" s="10" t="str">
        <f>"FES1162628869"</f>
        <v>FES1162628869</v>
      </c>
      <c r="D413" s="10" t="s">
        <v>19</v>
      </c>
      <c r="E413" s="10" t="s">
        <v>67</v>
      </c>
      <c r="F413" s="10" t="str">
        <f>"2170632239 "</f>
        <v xml:space="preserve">2170632239 </v>
      </c>
      <c r="G413" s="10" t="str">
        <f t="shared" si="11"/>
        <v>ON1</v>
      </c>
      <c r="H413" s="10" t="s">
        <v>21</v>
      </c>
      <c r="I413" s="10" t="s">
        <v>397</v>
      </c>
      <c r="J413" s="10" t="str">
        <f>""</f>
        <v/>
      </c>
      <c r="K413" s="10" t="str">
        <f>"PFES1162628869_0001"</f>
        <v>PFES1162628869_0001</v>
      </c>
      <c r="L413" s="10">
        <v>1</v>
      </c>
      <c r="M413" s="10">
        <v>2</v>
      </c>
    </row>
    <row r="414" spans="1:13">
      <c r="A414" s="8">
        <v>43263</v>
      </c>
      <c r="B414" s="9">
        <v>0.51250000000000007</v>
      </c>
      <c r="C414" s="10" t="str">
        <f>"FES1162628910"</f>
        <v>FES1162628910</v>
      </c>
      <c r="D414" s="10" t="s">
        <v>19</v>
      </c>
      <c r="E414" s="10" t="s">
        <v>421</v>
      </c>
      <c r="F414" s="10" t="str">
        <f>"2170635786 "</f>
        <v xml:space="preserve">2170635786 </v>
      </c>
      <c r="G414" s="10" t="str">
        <f t="shared" si="11"/>
        <v>ON1</v>
      </c>
      <c r="H414" s="10" t="s">
        <v>21</v>
      </c>
      <c r="I414" s="10" t="s">
        <v>422</v>
      </c>
      <c r="J414" s="10" t="str">
        <f>""</f>
        <v/>
      </c>
      <c r="K414" s="10" t="str">
        <f>"PFES1162628910_0001"</f>
        <v>PFES1162628910_0001</v>
      </c>
      <c r="L414" s="10">
        <v>1</v>
      </c>
      <c r="M414" s="10">
        <v>1</v>
      </c>
    </row>
    <row r="415" spans="1:13">
      <c r="A415" s="8">
        <v>43263</v>
      </c>
      <c r="B415" s="9">
        <v>0.50555555555555554</v>
      </c>
      <c r="C415" s="10" t="str">
        <f>"FES1162628958"</f>
        <v>FES1162628958</v>
      </c>
      <c r="D415" s="10" t="s">
        <v>19</v>
      </c>
      <c r="E415" s="10" t="s">
        <v>416</v>
      </c>
      <c r="F415" s="10" t="str">
        <f>"2170636057 "</f>
        <v xml:space="preserve">2170636057 </v>
      </c>
      <c r="G415" s="10" t="str">
        <f t="shared" si="11"/>
        <v>ON1</v>
      </c>
      <c r="H415" s="10" t="s">
        <v>21</v>
      </c>
      <c r="I415" s="10" t="s">
        <v>265</v>
      </c>
      <c r="J415" s="10" t="str">
        <f>""</f>
        <v/>
      </c>
      <c r="K415" s="10" t="str">
        <f>"PFES1162628958_0001"</f>
        <v>PFES1162628958_0001</v>
      </c>
      <c r="L415" s="10">
        <v>1</v>
      </c>
      <c r="M415" s="10">
        <v>1</v>
      </c>
    </row>
    <row r="416" spans="1:13">
      <c r="A416" s="8">
        <v>43263</v>
      </c>
      <c r="B416" s="9">
        <v>0.50555555555555554</v>
      </c>
      <c r="C416" s="10" t="str">
        <f>"FES1162629001"</f>
        <v>FES1162629001</v>
      </c>
      <c r="D416" s="10" t="s">
        <v>19</v>
      </c>
      <c r="E416" s="10" t="s">
        <v>261</v>
      </c>
      <c r="F416" s="10" t="str">
        <f>"2170634060 "</f>
        <v xml:space="preserve">2170634060 </v>
      </c>
      <c r="G416" s="10" t="str">
        <f t="shared" si="11"/>
        <v>ON1</v>
      </c>
      <c r="H416" s="10" t="s">
        <v>21</v>
      </c>
      <c r="I416" s="10" t="s">
        <v>423</v>
      </c>
      <c r="J416" s="10" t="str">
        <f>""</f>
        <v/>
      </c>
      <c r="K416" s="10" t="str">
        <f>"PFES1162629001_0001"</f>
        <v>PFES1162629001_0001</v>
      </c>
      <c r="L416" s="10">
        <v>1</v>
      </c>
      <c r="M416" s="10">
        <v>1</v>
      </c>
    </row>
    <row r="417" spans="1:13">
      <c r="A417" s="8">
        <v>43263</v>
      </c>
      <c r="B417" s="9">
        <v>0.50416666666666665</v>
      </c>
      <c r="C417" s="10" t="str">
        <f>"FES1162629024"</f>
        <v>FES1162629024</v>
      </c>
      <c r="D417" s="10" t="s">
        <v>19</v>
      </c>
      <c r="E417" s="10" t="s">
        <v>424</v>
      </c>
      <c r="F417" s="10" t="str">
        <f>"2170630000 "</f>
        <v xml:space="preserve">2170630000 </v>
      </c>
      <c r="G417" s="10" t="str">
        <f t="shared" si="11"/>
        <v>ON1</v>
      </c>
      <c r="H417" s="10" t="s">
        <v>21</v>
      </c>
      <c r="I417" s="10" t="s">
        <v>425</v>
      </c>
      <c r="J417" s="10" t="str">
        <f>""</f>
        <v/>
      </c>
      <c r="K417" s="10" t="str">
        <f>"PFES1162629024_0001"</f>
        <v>PFES1162629024_0001</v>
      </c>
      <c r="L417" s="10">
        <v>1</v>
      </c>
      <c r="M417" s="10">
        <v>1</v>
      </c>
    </row>
    <row r="418" spans="1:13">
      <c r="A418" s="8">
        <v>43263</v>
      </c>
      <c r="B418" s="9">
        <v>0.50416666666666665</v>
      </c>
      <c r="C418" s="10" t="str">
        <f>"FES1162628972"</f>
        <v>FES1162628972</v>
      </c>
      <c r="D418" s="10" t="s">
        <v>19</v>
      </c>
      <c r="E418" s="10" t="s">
        <v>426</v>
      </c>
      <c r="F418" s="10" t="str">
        <f>"2170632939 "</f>
        <v xml:space="preserve">2170632939 </v>
      </c>
      <c r="G418" s="10" t="str">
        <f t="shared" si="11"/>
        <v>ON1</v>
      </c>
      <c r="H418" s="10" t="s">
        <v>21</v>
      </c>
      <c r="I418" s="10" t="s">
        <v>427</v>
      </c>
      <c r="J418" s="10" t="str">
        <f>""</f>
        <v/>
      </c>
      <c r="K418" s="10" t="str">
        <f>"PFES1162628972_0001"</f>
        <v>PFES1162628972_0001</v>
      </c>
      <c r="L418" s="10">
        <v>1</v>
      </c>
      <c r="M418" s="10">
        <v>19</v>
      </c>
    </row>
    <row r="419" spans="1:13">
      <c r="A419" s="8">
        <v>43263</v>
      </c>
      <c r="B419" s="9">
        <v>0.50277777777777777</v>
      </c>
      <c r="C419" s="10" t="str">
        <f>"FES1162629055"</f>
        <v>FES1162629055</v>
      </c>
      <c r="D419" s="10" t="s">
        <v>19</v>
      </c>
      <c r="E419" s="10" t="s">
        <v>320</v>
      </c>
      <c r="F419" s="10" t="str">
        <f>"2170633943 "</f>
        <v xml:space="preserve">2170633943 </v>
      </c>
      <c r="G419" s="10" t="str">
        <f t="shared" si="11"/>
        <v>ON1</v>
      </c>
      <c r="H419" s="10" t="s">
        <v>21</v>
      </c>
      <c r="I419" s="10" t="s">
        <v>79</v>
      </c>
      <c r="J419" s="10" t="str">
        <f>""</f>
        <v/>
      </c>
      <c r="K419" s="10" t="str">
        <f>"PFES1162629055_0001"</f>
        <v>PFES1162629055_0001</v>
      </c>
      <c r="L419" s="10">
        <v>1</v>
      </c>
      <c r="M419" s="10">
        <v>1</v>
      </c>
    </row>
    <row r="420" spans="1:13">
      <c r="A420" s="8">
        <v>43263</v>
      </c>
      <c r="B420" s="9">
        <v>0.50277777777777777</v>
      </c>
      <c r="C420" s="10" t="str">
        <f>"FES1162628949"</f>
        <v>FES1162628949</v>
      </c>
      <c r="D420" s="10" t="s">
        <v>19</v>
      </c>
      <c r="E420" s="10" t="s">
        <v>33</v>
      </c>
      <c r="F420" s="10" t="str">
        <f>"2170636043 "</f>
        <v xml:space="preserve">2170636043 </v>
      </c>
      <c r="G420" s="10" t="str">
        <f t="shared" si="11"/>
        <v>ON1</v>
      </c>
      <c r="H420" s="10" t="s">
        <v>21</v>
      </c>
      <c r="I420" s="10" t="s">
        <v>34</v>
      </c>
      <c r="J420" s="10" t="str">
        <f>""</f>
        <v/>
      </c>
      <c r="K420" s="10" t="str">
        <f>"PFES1162628949_0001"</f>
        <v>PFES1162628949_0001</v>
      </c>
      <c r="L420" s="10">
        <v>1</v>
      </c>
      <c r="M420" s="10">
        <v>1</v>
      </c>
    </row>
    <row r="421" spans="1:13">
      <c r="A421" s="8">
        <v>43263</v>
      </c>
      <c r="B421" s="9">
        <v>0.50208333333333333</v>
      </c>
      <c r="C421" s="10" t="str">
        <f>"FES1162628921"</f>
        <v>FES1162628921</v>
      </c>
      <c r="D421" s="10" t="s">
        <v>19</v>
      </c>
      <c r="E421" s="10" t="s">
        <v>428</v>
      </c>
      <c r="F421" s="10" t="str">
        <f>"2170636004 "</f>
        <v xml:space="preserve">2170636004 </v>
      </c>
      <c r="G421" s="10" t="str">
        <f t="shared" si="11"/>
        <v>ON1</v>
      </c>
      <c r="H421" s="10" t="s">
        <v>21</v>
      </c>
      <c r="I421" s="10" t="s">
        <v>112</v>
      </c>
      <c r="J421" s="10" t="str">
        <f>""</f>
        <v/>
      </c>
      <c r="K421" s="10" t="str">
        <f>"PFES1162628921_0001"</f>
        <v>PFES1162628921_0001</v>
      </c>
      <c r="L421" s="10">
        <v>1</v>
      </c>
      <c r="M421" s="10">
        <v>1</v>
      </c>
    </row>
    <row r="422" spans="1:13">
      <c r="A422" s="8">
        <v>43263</v>
      </c>
      <c r="B422" s="9">
        <v>0.50208333333333333</v>
      </c>
      <c r="C422" s="10" t="str">
        <f>"FES1162628959"</f>
        <v>FES1162628959</v>
      </c>
      <c r="D422" s="10" t="s">
        <v>19</v>
      </c>
      <c r="E422" s="10" t="s">
        <v>429</v>
      </c>
      <c r="F422" s="10" t="str">
        <f>"2170635058 "</f>
        <v xml:space="preserve">2170635058 </v>
      </c>
      <c r="G422" s="10" t="str">
        <f t="shared" si="11"/>
        <v>ON1</v>
      </c>
      <c r="H422" s="10" t="s">
        <v>21</v>
      </c>
      <c r="I422" s="10" t="s">
        <v>83</v>
      </c>
      <c r="J422" s="10" t="str">
        <f>""</f>
        <v/>
      </c>
      <c r="K422" s="10" t="str">
        <f>"PFES1162628959_0001"</f>
        <v>PFES1162628959_0001</v>
      </c>
      <c r="L422" s="10">
        <v>1</v>
      </c>
      <c r="M422" s="10">
        <v>1</v>
      </c>
    </row>
    <row r="423" spans="1:13">
      <c r="A423" s="8">
        <v>43263</v>
      </c>
      <c r="B423" s="9">
        <v>0.50138888888888888</v>
      </c>
      <c r="C423" s="10" t="str">
        <f>"FES1162628926"</f>
        <v>FES1162628926</v>
      </c>
      <c r="D423" s="10" t="s">
        <v>19</v>
      </c>
      <c r="E423" s="10" t="s">
        <v>316</v>
      </c>
      <c r="F423" s="10" t="str">
        <f>"2170636009 "</f>
        <v xml:space="preserve">2170636009 </v>
      </c>
      <c r="G423" s="10" t="str">
        <f t="shared" si="11"/>
        <v>ON1</v>
      </c>
      <c r="H423" s="10" t="s">
        <v>21</v>
      </c>
      <c r="I423" s="10" t="s">
        <v>317</v>
      </c>
      <c r="J423" s="10" t="str">
        <f>""</f>
        <v/>
      </c>
      <c r="K423" s="10" t="str">
        <f>"PFES1162628926_0001"</f>
        <v>PFES1162628926_0001</v>
      </c>
      <c r="L423" s="10">
        <v>1</v>
      </c>
      <c r="M423" s="10">
        <v>1</v>
      </c>
    </row>
    <row r="424" spans="1:13">
      <c r="A424" s="8">
        <v>43264</v>
      </c>
      <c r="B424" s="9">
        <v>0.69027777777777777</v>
      </c>
      <c r="C424" s="10" t="str">
        <f>"FES1162629450"</f>
        <v>FES1162629450</v>
      </c>
      <c r="D424" s="10" t="s">
        <v>19</v>
      </c>
      <c r="E424" s="10" t="s">
        <v>430</v>
      </c>
      <c r="F424" s="10" t="str">
        <f>"2170636496 "</f>
        <v xml:space="preserve">2170636496 </v>
      </c>
      <c r="G424" s="10" t="str">
        <f t="shared" si="11"/>
        <v>ON1</v>
      </c>
      <c r="H424" s="10" t="s">
        <v>21</v>
      </c>
      <c r="I424" s="10" t="s">
        <v>42</v>
      </c>
      <c r="J424" s="10" t="str">
        <f>""</f>
        <v/>
      </c>
      <c r="K424" s="10" t="str">
        <f>"PFES1162629450_0001"</f>
        <v>PFES1162629450_0001</v>
      </c>
      <c r="L424" s="10">
        <v>1</v>
      </c>
      <c r="M424" s="10">
        <v>7</v>
      </c>
    </row>
    <row r="425" spans="1:13">
      <c r="A425" s="8">
        <v>43264</v>
      </c>
      <c r="B425" s="9">
        <v>0.68888888888888899</v>
      </c>
      <c r="C425" s="10" t="str">
        <f>"FES1162629483"</f>
        <v>FES1162629483</v>
      </c>
      <c r="D425" s="10" t="s">
        <v>19</v>
      </c>
      <c r="E425" s="10" t="s">
        <v>431</v>
      </c>
      <c r="F425" s="10" t="str">
        <f>"2170631959 "</f>
        <v xml:space="preserve">2170631959 </v>
      </c>
      <c r="G425" s="10" t="str">
        <f t="shared" si="11"/>
        <v>ON1</v>
      </c>
      <c r="H425" s="10" t="s">
        <v>21</v>
      </c>
      <c r="I425" s="10" t="s">
        <v>267</v>
      </c>
      <c r="J425" s="10" t="str">
        <f>""</f>
        <v/>
      </c>
      <c r="K425" s="10" t="str">
        <f>"PFES1162629483_0001"</f>
        <v>PFES1162629483_0001</v>
      </c>
      <c r="L425" s="10">
        <v>1</v>
      </c>
      <c r="M425" s="10">
        <v>3</v>
      </c>
    </row>
    <row r="426" spans="1:13">
      <c r="A426" s="8">
        <v>43264</v>
      </c>
      <c r="B426" s="9">
        <v>0.68819444444444444</v>
      </c>
      <c r="C426" s="10" t="str">
        <f>"FES1162629460"</f>
        <v>FES1162629460</v>
      </c>
      <c r="D426" s="10" t="s">
        <v>19</v>
      </c>
      <c r="E426" s="10" t="s">
        <v>432</v>
      </c>
      <c r="F426" s="10" t="str">
        <f>"2170635676 "</f>
        <v xml:space="preserve">2170635676 </v>
      </c>
      <c r="G426" s="10" t="str">
        <f t="shared" si="11"/>
        <v>ON1</v>
      </c>
      <c r="H426" s="10" t="s">
        <v>21</v>
      </c>
      <c r="I426" s="10" t="s">
        <v>433</v>
      </c>
      <c r="J426" s="10" t="str">
        <f>""</f>
        <v/>
      </c>
      <c r="K426" s="10" t="str">
        <f>"PFES1162629460_0001"</f>
        <v>PFES1162629460_0001</v>
      </c>
      <c r="L426" s="10">
        <v>1</v>
      </c>
      <c r="M426" s="10">
        <v>3</v>
      </c>
    </row>
    <row r="427" spans="1:13">
      <c r="A427" s="8">
        <v>43264</v>
      </c>
      <c r="B427" s="9">
        <v>0.6875</v>
      </c>
      <c r="C427" s="10" t="str">
        <f>"FES1162629474"</f>
        <v>FES1162629474</v>
      </c>
      <c r="D427" s="10" t="s">
        <v>19</v>
      </c>
      <c r="E427" s="10" t="s">
        <v>434</v>
      </c>
      <c r="F427" s="10" t="str">
        <f>"217063525 "</f>
        <v xml:space="preserve">217063525 </v>
      </c>
      <c r="G427" s="10" t="str">
        <f t="shared" si="11"/>
        <v>ON1</v>
      </c>
      <c r="H427" s="10" t="s">
        <v>21</v>
      </c>
      <c r="I427" s="10" t="s">
        <v>112</v>
      </c>
      <c r="J427" s="10" t="str">
        <f>""</f>
        <v/>
      </c>
      <c r="K427" s="10" t="str">
        <f>"PFES1162629474_0001"</f>
        <v>PFES1162629474_0001</v>
      </c>
      <c r="L427" s="10">
        <v>1</v>
      </c>
      <c r="M427" s="10">
        <v>1</v>
      </c>
    </row>
    <row r="428" spans="1:13">
      <c r="A428" s="8">
        <v>43264</v>
      </c>
      <c r="B428" s="9">
        <v>0.68680555555555556</v>
      </c>
      <c r="C428" s="10" t="str">
        <f>"FES1162629462"</f>
        <v>FES1162629462</v>
      </c>
      <c r="D428" s="10" t="s">
        <v>19</v>
      </c>
      <c r="E428" s="10" t="s">
        <v>434</v>
      </c>
      <c r="F428" s="10" t="str">
        <f>"2170636085 "</f>
        <v xml:space="preserve">2170636085 </v>
      </c>
      <c r="G428" s="10" t="str">
        <f t="shared" si="11"/>
        <v>ON1</v>
      </c>
      <c r="H428" s="10" t="s">
        <v>21</v>
      </c>
      <c r="I428" s="10" t="s">
        <v>112</v>
      </c>
      <c r="J428" s="10" t="str">
        <f>""</f>
        <v/>
      </c>
      <c r="K428" s="10" t="str">
        <f>"PFES1162629462_0001"</f>
        <v>PFES1162629462_0001</v>
      </c>
      <c r="L428" s="10">
        <v>1</v>
      </c>
      <c r="M428" s="10">
        <v>1</v>
      </c>
    </row>
    <row r="429" spans="1:13">
      <c r="A429" s="8">
        <v>43264</v>
      </c>
      <c r="B429" s="9">
        <v>0.68680555555555556</v>
      </c>
      <c r="C429" s="10" t="str">
        <f>"FES1162629449"</f>
        <v>FES1162629449</v>
      </c>
      <c r="D429" s="10" t="s">
        <v>19</v>
      </c>
      <c r="E429" s="10" t="s">
        <v>435</v>
      </c>
      <c r="F429" s="10" t="str">
        <f>"2170636494 "</f>
        <v xml:space="preserve">2170636494 </v>
      </c>
      <c r="G429" s="10" t="str">
        <f t="shared" si="11"/>
        <v>ON1</v>
      </c>
      <c r="H429" s="10" t="s">
        <v>21</v>
      </c>
      <c r="I429" s="10" t="s">
        <v>136</v>
      </c>
      <c r="J429" s="10" t="str">
        <f>""</f>
        <v/>
      </c>
      <c r="K429" s="10" t="str">
        <f>"PFES1162629449_0001"</f>
        <v>PFES1162629449_0001</v>
      </c>
      <c r="L429" s="10">
        <v>1</v>
      </c>
      <c r="M429" s="10">
        <v>2</v>
      </c>
    </row>
    <row r="430" spans="1:13">
      <c r="A430" s="8">
        <v>43264</v>
      </c>
      <c r="B430" s="9">
        <v>0.68611111111111101</v>
      </c>
      <c r="C430" s="10" t="str">
        <f>"FES1162629456"</f>
        <v>FES1162629456</v>
      </c>
      <c r="D430" s="10" t="s">
        <v>19</v>
      </c>
      <c r="E430" s="10" t="s">
        <v>64</v>
      </c>
      <c r="F430" s="10" t="str">
        <f>"2170636507 "</f>
        <v xml:space="preserve">2170636507 </v>
      </c>
      <c r="G430" s="10" t="str">
        <f t="shared" si="11"/>
        <v>ON1</v>
      </c>
      <c r="H430" s="10" t="s">
        <v>21</v>
      </c>
      <c r="I430" s="10" t="s">
        <v>40</v>
      </c>
      <c r="J430" s="10" t="str">
        <f>""</f>
        <v/>
      </c>
      <c r="K430" s="10" t="str">
        <f>"PFES1162629456_0001"</f>
        <v>PFES1162629456_0001</v>
      </c>
      <c r="L430" s="10">
        <v>1</v>
      </c>
      <c r="M430" s="10">
        <v>1</v>
      </c>
    </row>
    <row r="431" spans="1:13">
      <c r="A431" s="8">
        <v>43264</v>
      </c>
      <c r="B431" s="9">
        <v>0.68472222222222223</v>
      </c>
      <c r="C431" s="10" t="str">
        <f>"FES1162629473"</f>
        <v>FES1162629473</v>
      </c>
      <c r="D431" s="10" t="s">
        <v>19</v>
      </c>
      <c r="E431" s="10" t="s">
        <v>436</v>
      </c>
      <c r="F431" s="10" t="str">
        <f>"2170636521 "</f>
        <v xml:space="preserve">2170636521 </v>
      </c>
      <c r="G431" s="10" t="str">
        <f>"DBC"</f>
        <v>DBC</v>
      </c>
      <c r="H431" s="10" t="s">
        <v>21</v>
      </c>
      <c r="I431" s="10" t="s">
        <v>437</v>
      </c>
      <c r="J431" s="10" t="str">
        <f>"FRAGILE OIL"</f>
        <v>FRAGILE OIL</v>
      </c>
      <c r="K431" s="10" t="str">
        <f>"PFES1162629473_0001"</f>
        <v>PFES1162629473_0001</v>
      </c>
      <c r="L431" s="10">
        <v>1</v>
      </c>
      <c r="M431" s="10">
        <v>10</v>
      </c>
    </row>
    <row r="432" spans="1:13">
      <c r="A432" s="8">
        <v>43264</v>
      </c>
      <c r="B432" s="9">
        <v>0.68402777777777779</v>
      </c>
      <c r="C432" s="10" t="str">
        <f>"FES1162629472"</f>
        <v>FES1162629472</v>
      </c>
      <c r="D432" s="10" t="s">
        <v>19</v>
      </c>
      <c r="E432" s="10" t="s">
        <v>438</v>
      </c>
      <c r="F432" s="10" t="str">
        <f>"2170636495 "</f>
        <v xml:space="preserve">2170636495 </v>
      </c>
      <c r="G432" s="10" t="str">
        <f t="shared" ref="G432:G439" si="12">"ON1"</f>
        <v>ON1</v>
      </c>
      <c r="H432" s="10" t="s">
        <v>21</v>
      </c>
      <c r="I432" s="10" t="s">
        <v>439</v>
      </c>
      <c r="J432" s="10" t="str">
        <f>""</f>
        <v/>
      </c>
      <c r="K432" s="10" t="str">
        <f>"PFES1162629472_0001"</f>
        <v>PFES1162629472_0001</v>
      </c>
      <c r="L432" s="10">
        <v>1</v>
      </c>
      <c r="M432" s="10">
        <v>4</v>
      </c>
    </row>
    <row r="433" spans="1:13">
      <c r="A433" s="8">
        <v>43264</v>
      </c>
      <c r="B433" s="9">
        <v>0.68263888888888891</v>
      </c>
      <c r="C433" s="10" t="str">
        <f>"FES1162629467"</f>
        <v>FES1162629467</v>
      </c>
      <c r="D433" s="10" t="s">
        <v>19</v>
      </c>
      <c r="E433" s="10" t="s">
        <v>193</v>
      </c>
      <c r="F433" s="10" t="str">
        <f>"2170636402 "</f>
        <v xml:space="preserve">2170636402 </v>
      </c>
      <c r="G433" s="10" t="str">
        <f t="shared" si="12"/>
        <v>ON1</v>
      </c>
      <c r="H433" s="10" t="s">
        <v>21</v>
      </c>
      <c r="I433" s="10" t="s">
        <v>30</v>
      </c>
      <c r="J433" s="10" t="str">
        <f>""</f>
        <v/>
      </c>
      <c r="K433" s="10" t="str">
        <f>"PFES1162629467_0001"</f>
        <v>PFES1162629467_0001</v>
      </c>
      <c r="L433" s="10">
        <v>1</v>
      </c>
      <c r="M433" s="10">
        <v>1</v>
      </c>
    </row>
    <row r="434" spans="1:13">
      <c r="A434" s="8">
        <v>43264</v>
      </c>
      <c r="B434" s="9">
        <v>0.68263888888888891</v>
      </c>
      <c r="C434" s="10" t="str">
        <f>"FES1162629463"</f>
        <v>FES1162629463</v>
      </c>
      <c r="D434" s="10" t="s">
        <v>19</v>
      </c>
      <c r="E434" s="10" t="s">
        <v>191</v>
      </c>
      <c r="F434" s="10" t="str">
        <f>"217063097 "</f>
        <v xml:space="preserve">217063097 </v>
      </c>
      <c r="G434" s="10" t="str">
        <f t="shared" si="12"/>
        <v>ON1</v>
      </c>
      <c r="H434" s="10" t="s">
        <v>21</v>
      </c>
      <c r="I434" s="10" t="s">
        <v>192</v>
      </c>
      <c r="J434" s="10" t="str">
        <f>""</f>
        <v/>
      </c>
      <c r="K434" s="10" t="str">
        <f>"PFES1162629463_0001"</f>
        <v>PFES1162629463_0001</v>
      </c>
      <c r="L434" s="10">
        <v>1</v>
      </c>
      <c r="M434" s="10">
        <v>1</v>
      </c>
    </row>
    <row r="435" spans="1:13">
      <c r="A435" s="8">
        <v>43264</v>
      </c>
      <c r="B435" s="9">
        <v>0.68263888888888891</v>
      </c>
      <c r="C435" s="10" t="str">
        <f>"FES1162629458"</f>
        <v>FES1162629458</v>
      </c>
      <c r="D435" s="10" t="s">
        <v>19</v>
      </c>
      <c r="E435" s="10" t="s">
        <v>440</v>
      </c>
      <c r="F435" s="10" t="str">
        <f>"2170636137 "</f>
        <v xml:space="preserve">2170636137 </v>
      </c>
      <c r="G435" s="10" t="str">
        <f t="shared" si="12"/>
        <v>ON1</v>
      </c>
      <c r="H435" s="10" t="s">
        <v>21</v>
      </c>
      <c r="I435" s="10" t="s">
        <v>441</v>
      </c>
      <c r="J435" s="10" t="str">
        <f>""</f>
        <v/>
      </c>
      <c r="K435" s="10" t="str">
        <f>"PFES1162629458_0001"</f>
        <v>PFES1162629458_0001</v>
      </c>
      <c r="L435" s="10">
        <v>1</v>
      </c>
      <c r="M435" s="10">
        <v>1</v>
      </c>
    </row>
    <row r="436" spans="1:13">
      <c r="A436" s="8">
        <v>43264</v>
      </c>
      <c r="B436" s="9">
        <v>0.68194444444444446</v>
      </c>
      <c r="C436" s="10" t="str">
        <f>"FES1162629457"</f>
        <v>FES1162629457</v>
      </c>
      <c r="D436" s="10" t="s">
        <v>19</v>
      </c>
      <c r="E436" s="10" t="s">
        <v>193</v>
      </c>
      <c r="F436" s="10" t="str">
        <f>"217063509 "</f>
        <v xml:space="preserve">217063509 </v>
      </c>
      <c r="G436" s="10" t="str">
        <f t="shared" si="12"/>
        <v>ON1</v>
      </c>
      <c r="H436" s="10" t="s">
        <v>21</v>
      </c>
      <c r="I436" s="10" t="s">
        <v>30</v>
      </c>
      <c r="J436" s="10" t="str">
        <f>""</f>
        <v/>
      </c>
      <c r="K436" s="10" t="str">
        <f>"PFES1162629457_0001"</f>
        <v>PFES1162629457_0001</v>
      </c>
      <c r="L436" s="10">
        <v>1</v>
      </c>
      <c r="M436" s="10">
        <v>1</v>
      </c>
    </row>
    <row r="437" spans="1:13">
      <c r="A437" s="8">
        <v>43264</v>
      </c>
      <c r="B437" s="9">
        <v>0.68194444444444446</v>
      </c>
      <c r="C437" s="10" t="str">
        <f>"FES1162629469"</f>
        <v>FES1162629469</v>
      </c>
      <c r="D437" s="10" t="s">
        <v>19</v>
      </c>
      <c r="E437" s="10" t="s">
        <v>442</v>
      </c>
      <c r="F437" s="10" t="str">
        <f>"2170636511 "</f>
        <v xml:space="preserve">2170636511 </v>
      </c>
      <c r="G437" s="10" t="str">
        <f t="shared" si="12"/>
        <v>ON1</v>
      </c>
      <c r="H437" s="10" t="s">
        <v>21</v>
      </c>
      <c r="I437" s="10" t="s">
        <v>30</v>
      </c>
      <c r="J437" s="10" t="str">
        <f>""</f>
        <v/>
      </c>
      <c r="K437" s="10" t="str">
        <f>"PFES1162629469_0001"</f>
        <v>PFES1162629469_0001</v>
      </c>
      <c r="L437" s="10">
        <v>1</v>
      </c>
      <c r="M437" s="10">
        <v>1</v>
      </c>
    </row>
    <row r="438" spans="1:13">
      <c r="A438" s="8">
        <v>43264</v>
      </c>
      <c r="B438" s="9">
        <v>0.68194444444444446</v>
      </c>
      <c r="C438" s="10" t="str">
        <f>"FES1162629468"</f>
        <v>FES1162629468</v>
      </c>
      <c r="D438" s="10" t="s">
        <v>19</v>
      </c>
      <c r="E438" s="10" t="s">
        <v>132</v>
      </c>
      <c r="F438" s="10" t="str">
        <f>"21706360505 "</f>
        <v xml:space="preserve">21706360505 </v>
      </c>
      <c r="G438" s="10" t="str">
        <f t="shared" si="12"/>
        <v>ON1</v>
      </c>
      <c r="H438" s="10" t="s">
        <v>21</v>
      </c>
      <c r="I438" s="10" t="s">
        <v>69</v>
      </c>
      <c r="J438" s="10" t="str">
        <f>""</f>
        <v/>
      </c>
      <c r="K438" s="10" t="str">
        <f>"PFES1162629468_0001"</f>
        <v>PFES1162629468_0001</v>
      </c>
      <c r="L438" s="10">
        <v>1</v>
      </c>
      <c r="M438" s="10">
        <v>1</v>
      </c>
    </row>
    <row r="439" spans="1:13">
      <c r="A439" s="8">
        <v>43264</v>
      </c>
      <c r="B439" s="9">
        <v>0.68125000000000002</v>
      </c>
      <c r="C439" s="10" t="str">
        <f>"FES1162629466"</f>
        <v>FES1162629466</v>
      </c>
      <c r="D439" s="10" t="s">
        <v>19</v>
      </c>
      <c r="E439" s="10" t="s">
        <v>65</v>
      </c>
      <c r="F439" s="10" t="str">
        <f>"2170636189 "</f>
        <v xml:space="preserve">2170636189 </v>
      </c>
      <c r="G439" s="10" t="str">
        <f t="shared" si="12"/>
        <v>ON1</v>
      </c>
      <c r="H439" s="10" t="s">
        <v>21</v>
      </c>
      <c r="I439" s="10" t="s">
        <v>131</v>
      </c>
      <c r="J439" s="10" t="str">
        <f>""</f>
        <v/>
      </c>
      <c r="K439" s="10" t="str">
        <f>"PFES1162629466_0001"</f>
        <v>PFES1162629466_0001</v>
      </c>
      <c r="L439" s="10">
        <v>1</v>
      </c>
      <c r="M439" s="10">
        <v>1</v>
      </c>
    </row>
    <row r="440" spans="1:13">
      <c r="A440" s="8">
        <v>43264</v>
      </c>
      <c r="B440" s="9">
        <v>0.68125000000000002</v>
      </c>
      <c r="C440" s="10" t="str">
        <f>"FES1162629385"</f>
        <v>FES1162629385</v>
      </c>
      <c r="D440" s="10" t="s">
        <v>19</v>
      </c>
      <c r="E440" s="10" t="s">
        <v>140</v>
      </c>
      <c r="F440" s="10" t="str">
        <f>"2170636420 "</f>
        <v xml:space="preserve">2170636420 </v>
      </c>
      <c r="G440" s="10" t="str">
        <f>"DBC"</f>
        <v>DBC</v>
      </c>
      <c r="H440" s="10" t="s">
        <v>21</v>
      </c>
      <c r="I440" s="10" t="s">
        <v>141</v>
      </c>
      <c r="J440" s="10" t="str">
        <f>""</f>
        <v/>
      </c>
      <c r="K440" s="10" t="str">
        <f>"PFES1162629385_0001"</f>
        <v>PFES1162629385_0001</v>
      </c>
      <c r="L440" s="10">
        <v>1</v>
      </c>
      <c r="M440" s="10">
        <v>23</v>
      </c>
    </row>
    <row r="441" spans="1:13">
      <c r="A441" s="8">
        <v>43264</v>
      </c>
      <c r="B441" s="9">
        <v>0.68125000000000002</v>
      </c>
      <c r="C441" s="10" t="str">
        <f>"FES1162629479"</f>
        <v>FES1162629479</v>
      </c>
      <c r="D441" s="10" t="s">
        <v>19</v>
      </c>
      <c r="E441" s="10" t="s">
        <v>140</v>
      </c>
      <c r="F441" s="10" t="str">
        <f>"217063532 "</f>
        <v xml:space="preserve">217063532 </v>
      </c>
      <c r="G441" s="10" t="str">
        <f t="shared" ref="G441:G504" si="13">"ON1"</f>
        <v>ON1</v>
      </c>
      <c r="H441" s="10" t="s">
        <v>21</v>
      </c>
      <c r="I441" s="10" t="s">
        <v>141</v>
      </c>
      <c r="J441" s="10" t="str">
        <f>""</f>
        <v/>
      </c>
      <c r="K441" s="10" t="str">
        <f>"PFES1162629479_0001"</f>
        <v>PFES1162629479_0001</v>
      </c>
      <c r="L441" s="10">
        <v>1</v>
      </c>
      <c r="M441" s="10">
        <v>1</v>
      </c>
    </row>
    <row r="442" spans="1:13">
      <c r="A442" s="8">
        <v>43264</v>
      </c>
      <c r="B442" s="9">
        <v>0.67986111111111114</v>
      </c>
      <c r="C442" s="10" t="str">
        <f>"FES1162629434"</f>
        <v>FES1162629434</v>
      </c>
      <c r="D442" s="10" t="s">
        <v>19</v>
      </c>
      <c r="E442" s="10" t="s">
        <v>33</v>
      </c>
      <c r="F442" s="10" t="str">
        <f>"2170636480 "</f>
        <v xml:space="preserve">2170636480 </v>
      </c>
      <c r="G442" s="10" t="str">
        <f t="shared" si="13"/>
        <v>ON1</v>
      </c>
      <c r="H442" s="10" t="s">
        <v>21</v>
      </c>
      <c r="I442" s="10" t="s">
        <v>34</v>
      </c>
      <c r="J442" s="10" t="str">
        <f>""</f>
        <v/>
      </c>
      <c r="K442" s="10" t="str">
        <f>"PFES1162629434_0001"</f>
        <v>PFES1162629434_0001</v>
      </c>
      <c r="L442" s="10">
        <v>1</v>
      </c>
      <c r="M442" s="10">
        <v>5</v>
      </c>
    </row>
    <row r="443" spans="1:13">
      <c r="A443" s="8">
        <v>43264</v>
      </c>
      <c r="B443" s="9">
        <v>0.67986111111111114</v>
      </c>
      <c r="C443" s="10" t="str">
        <f>"FES1162629373"</f>
        <v>FES1162629373</v>
      </c>
      <c r="D443" s="10" t="s">
        <v>19</v>
      </c>
      <c r="E443" s="10" t="s">
        <v>31</v>
      </c>
      <c r="F443" s="10" t="str">
        <f>"2170636296 "</f>
        <v xml:space="preserve">2170636296 </v>
      </c>
      <c r="G443" s="10" t="str">
        <f t="shared" si="13"/>
        <v>ON1</v>
      </c>
      <c r="H443" s="10" t="s">
        <v>21</v>
      </c>
      <c r="I443" s="10" t="s">
        <v>32</v>
      </c>
      <c r="J443" s="10" t="str">
        <f>""</f>
        <v/>
      </c>
      <c r="K443" s="10" t="str">
        <f>"PFES1162629373_0001"</f>
        <v>PFES1162629373_0001</v>
      </c>
      <c r="L443" s="10">
        <v>1</v>
      </c>
      <c r="M443" s="10">
        <v>1</v>
      </c>
    </row>
    <row r="444" spans="1:13">
      <c r="A444" s="8">
        <v>43264</v>
      </c>
      <c r="B444" s="9">
        <v>0.6791666666666667</v>
      </c>
      <c r="C444" s="10" t="str">
        <f>"FES1162629417"</f>
        <v>FES1162629417</v>
      </c>
      <c r="D444" s="10" t="s">
        <v>19</v>
      </c>
      <c r="E444" s="10" t="s">
        <v>443</v>
      </c>
      <c r="F444" s="10" t="str">
        <f>"2170636457 "</f>
        <v xml:space="preserve">2170636457 </v>
      </c>
      <c r="G444" s="10" t="str">
        <f t="shared" si="13"/>
        <v>ON1</v>
      </c>
      <c r="H444" s="10" t="s">
        <v>21</v>
      </c>
      <c r="I444" s="10" t="s">
        <v>389</v>
      </c>
      <c r="J444" s="10" t="str">
        <f>""</f>
        <v/>
      </c>
      <c r="K444" s="10" t="str">
        <f>"PFES1162629417_0001"</f>
        <v>PFES1162629417_0001</v>
      </c>
      <c r="L444" s="10">
        <v>1</v>
      </c>
      <c r="M444" s="10">
        <v>1</v>
      </c>
    </row>
    <row r="445" spans="1:13">
      <c r="A445" s="8">
        <v>43264</v>
      </c>
      <c r="B445" s="9">
        <v>0.6791666666666667</v>
      </c>
      <c r="C445" s="10" t="str">
        <f>"FES1162629384"</f>
        <v>FES1162629384</v>
      </c>
      <c r="D445" s="10" t="s">
        <v>19</v>
      </c>
      <c r="E445" s="10" t="s">
        <v>169</v>
      </c>
      <c r="F445" s="10" t="str">
        <f>"2170636419 "</f>
        <v xml:space="preserve">2170636419 </v>
      </c>
      <c r="G445" s="10" t="str">
        <f t="shared" si="13"/>
        <v>ON1</v>
      </c>
      <c r="H445" s="10" t="s">
        <v>21</v>
      </c>
      <c r="I445" s="10" t="s">
        <v>170</v>
      </c>
      <c r="J445" s="10" t="str">
        <f>""</f>
        <v/>
      </c>
      <c r="K445" s="10" t="str">
        <f>"PFES1162629384_0001"</f>
        <v>PFES1162629384_0001</v>
      </c>
      <c r="L445" s="10">
        <v>1</v>
      </c>
      <c r="M445" s="10">
        <v>1</v>
      </c>
    </row>
    <row r="446" spans="1:13">
      <c r="A446" s="8">
        <v>43264</v>
      </c>
      <c r="B446" s="9">
        <v>0.6791666666666667</v>
      </c>
      <c r="C446" s="10" t="str">
        <f>"FES1162629410"</f>
        <v>FES1162629410</v>
      </c>
      <c r="D446" s="10" t="s">
        <v>19</v>
      </c>
      <c r="E446" s="10" t="s">
        <v>444</v>
      </c>
      <c r="F446" s="10" t="str">
        <f>"2170636449 "</f>
        <v xml:space="preserve">2170636449 </v>
      </c>
      <c r="G446" s="10" t="str">
        <f t="shared" si="13"/>
        <v>ON1</v>
      </c>
      <c r="H446" s="10" t="s">
        <v>21</v>
      </c>
      <c r="I446" s="10" t="s">
        <v>290</v>
      </c>
      <c r="J446" s="10" t="str">
        <f>""</f>
        <v/>
      </c>
      <c r="K446" s="10" t="str">
        <f>"PFES1162629410_0001"</f>
        <v>PFES1162629410_0001</v>
      </c>
      <c r="L446" s="10">
        <v>1</v>
      </c>
      <c r="M446" s="10">
        <v>3</v>
      </c>
    </row>
    <row r="447" spans="1:13">
      <c r="A447" s="8">
        <v>43264</v>
      </c>
      <c r="B447" s="9">
        <v>0.67847222222222225</v>
      </c>
      <c r="C447" s="10" t="str">
        <f>"FES1162629411"</f>
        <v>FES1162629411</v>
      </c>
      <c r="D447" s="10" t="s">
        <v>19</v>
      </c>
      <c r="E447" s="10" t="s">
        <v>445</v>
      </c>
      <c r="F447" s="10" t="str">
        <f>"217063450 "</f>
        <v xml:space="preserve">217063450 </v>
      </c>
      <c r="G447" s="10" t="str">
        <f t="shared" si="13"/>
        <v>ON1</v>
      </c>
      <c r="H447" s="10" t="s">
        <v>21</v>
      </c>
      <c r="I447" s="10" t="s">
        <v>446</v>
      </c>
      <c r="J447" s="10" t="str">
        <f>""</f>
        <v/>
      </c>
      <c r="K447" s="10" t="str">
        <f>"PFES1162629411_0001"</f>
        <v>PFES1162629411_0001</v>
      </c>
      <c r="L447" s="10">
        <v>1</v>
      </c>
      <c r="M447" s="10">
        <v>1</v>
      </c>
    </row>
    <row r="448" spans="1:13">
      <c r="A448" s="8">
        <v>43264</v>
      </c>
      <c r="B448" s="9">
        <v>0.6777777777777777</v>
      </c>
      <c r="C448" s="10" t="str">
        <f>"009935791766"</f>
        <v>009935791766</v>
      </c>
      <c r="D448" s="10" t="s">
        <v>19</v>
      </c>
      <c r="E448" s="10" t="s">
        <v>447</v>
      </c>
      <c r="F448" s="10" t="str">
        <f>"1162629389 "</f>
        <v xml:space="preserve">1162629389 </v>
      </c>
      <c r="G448" s="10" t="str">
        <f t="shared" si="13"/>
        <v>ON1</v>
      </c>
      <c r="H448" s="10" t="s">
        <v>21</v>
      </c>
      <c r="I448" s="10" t="s">
        <v>253</v>
      </c>
      <c r="J448" s="10" t="str">
        <f>""</f>
        <v/>
      </c>
      <c r="K448" s="10" t="str">
        <f>"P009935791766_0001"</f>
        <v>P009935791766_0001</v>
      </c>
      <c r="L448" s="10">
        <v>1</v>
      </c>
      <c r="M448" s="10">
        <v>1</v>
      </c>
    </row>
    <row r="449" spans="1:13">
      <c r="A449" s="8">
        <v>43264</v>
      </c>
      <c r="B449" s="9">
        <v>0.67638888888888893</v>
      </c>
      <c r="C449" s="10" t="str">
        <f>"FES1162629370"</f>
        <v>FES1162629370</v>
      </c>
      <c r="D449" s="10" t="s">
        <v>19</v>
      </c>
      <c r="E449" s="10" t="s">
        <v>388</v>
      </c>
      <c r="F449" s="10" t="str">
        <f>"2170634773 "</f>
        <v xml:space="preserve">2170634773 </v>
      </c>
      <c r="G449" s="10" t="str">
        <f t="shared" si="13"/>
        <v>ON1</v>
      </c>
      <c r="H449" s="10" t="s">
        <v>21</v>
      </c>
      <c r="I449" s="10" t="s">
        <v>389</v>
      </c>
      <c r="J449" s="10" t="str">
        <f>""</f>
        <v/>
      </c>
      <c r="K449" s="10" t="str">
        <f>"PFES1162629370_0001"</f>
        <v>PFES1162629370_0001</v>
      </c>
      <c r="L449" s="10">
        <v>1</v>
      </c>
      <c r="M449" s="10">
        <v>3</v>
      </c>
    </row>
    <row r="450" spans="1:13">
      <c r="A450" s="8">
        <v>43264</v>
      </c>
      <c r="B450" s="9">
        <v>0.67569444444444438</v>
      </c>
      <c r="C450" s="10" t="str">
        <f>"FES1162629405"</f>
        <v>FES1162629405</v>
      </c>
      <c r="D450" s="10" t="s">
        <v>19</v>
      </c>
      <c r="E450" s="10" t="s">
        <v>448</v>
      </c>
      <c r="F450" s="10" t="str">
        <f>"2170636445 "</f>
        <v xml:space="preserve">2170636445 </v>
      </c>
      <c r="G450" s="10" t="str">
        <f t="shared" si="13"/>
        <v>ON1</v>
      </c>
      <c r="H450" s="10" t="s">
        <v>21</v>
      </c>
      <c r="I450" s="10" t="s">
        <v>32</v>
      </c>
      <c r="J450" s="10" t="str">
        <f>""</f>
        <v/>
      </c>
      <c r="K450" s="10" t="str">
        <f>"PFES1162629405_0001"</f>
        <v>PFES1162629405_0001</v>
      </c>
      <c r="L450" s="10">
        <v>1</v>
      </c>
      <c r="M450" s="10">
        <v>2</v>
      </c>
    </row>
    <row r="451" spans="1:13">
      <c r="A451" s="8">
        <v>43264</v>
      </c>
      <c r="B451" s="9">
        <v>0.67499999999999993</v>
      </c>
      <c r="C451" s="10" t="str">
        <f>"FES1162629444"</f>
        <v>FES1162629444</v>
      </c>
      <c r="D451" s="10" t="s">
        <v>19</v>
      </c>
      <c r="E451" s="10" t="s">
        <v>64</v>
      </c>
      <c r="F451" s="10" t="str">
        <f>"2170636492 "</f>
        <v xml:space="preserve">2170636492 </v>
      </c>
      <c r="G451" s="10" t="str">
        <f t="shared" si="13"/>
        <v>ON1</v>
      </c>
      <c r="H451" s="10" t="s">
        <v>21</v>
      </c>
      <c r="I451" s="10" t="s">
        <v>40</v>
      </c>
      <c r="J451" s="10" t="str">
        <f>""</f>
        <v/>
      </c>
      <c r="K451" s="10" t="str">
        <f>"PFES1162629444_0001"</f>
        <v>PFES1162629444_0001</v>
      </c>
      <c r="L451" s="10">
        <v>1</v>
      </c>
      <c r="M451" s="10">
        <v>1</v>
      </c>
    </row>
    <row r="452" spans="1:13">
      <c r="A452" s="8">
        <v>43264</v>
      </c>
      <c r="B452" s="9">
        <v>0.67499999999999993</v>
      </c>
      <c r="C452" s="10" t="str">
        <f>"FES1162629296"</f>
        <v>FES1162629296</v>
      </c>
      <c r="D452" s="10" t="s">
        <v>19</v>
      </c>
      <c r="E452" s="10" t="s">
        <v>249</v>
      </c>
      <c r="F452" s="10" t="str">
        <f>"2170636337 "</f>
        <v xml:space="preserve">2170636337 </v>
      </c>
      <c r="G452" s="10" t="str">
        <f t="shared" si="13"/>
        <v>ON1</v>
      </c>
      <c r="H452" s="10" t="s">
        <v>21</v>
      </c>
      <c r="I452" s="10" t="s">
        <v>59</v>
      </c>
      <c r="J452" s="10" t="str">
        <f>""</f>
        <v/>
      </c>
      <c r="K452" s="10" t="str">
        <f>"PFES1162629296_0001"</f>
        <v>PFES1162629296_0001</v>
      </c>
      <c r="L452" s="10">
        <v>1</v>
      </c>
      <c r="M452" s="10">
        <v>1</v>
      </c>
    </row>
    <row r="453" spans="1:13">
      <c r="A453" s="8">
        <v>43264</v>
      </c>
      <c r="B453" s="9">
        <v>0.6743055555555556</v>
      </c>
      <c r="C453" s="10" t="str">
        <f>"FES1162629303"</f>
        <v>FES1162629303</v>
      </c>
      <c r="D453" s="10" t="s">
        <v>19</v>
      </c>
      <c r="E453" s="10" t="s">
        <v>31</v>
      </c>
      <c r="F453" s="10" t="str">
        <f>"21706334 "</f>
        <v xml:space="preserve">21706334 </v>
      </c>
      <c r="G453" s="10" t="str">
        <f t="shared" si="13"/>
        <v>ON1</v>
      </c>
      <c r="H453" s="10" t="s">
        <v>21</v>
      </c>
      <c r="I453" s="10" t="s">
        <v>32</v>
      </c>
      <c r="J453" s="10" t="str">
        <f>""</f>
        <v/>
      </c>
      <c r="K453" s="10" t="str">
        <f>"PFES1162629303_0001"</f>
        <v>PFES1162629303_0001</v>
      </c>
      <c r="L453" s="10">
        <v>1</v>
      </c>
      <c r="M453" s="10">
        <v>1</v>
      </c>
    </row>
    <row r="454" spans="1:13">
      <c r="A454" s="8">
        <v>43264</v>
      </c>
      <c r="B454" s="9">
        <v>0.6743055555555556</v>
      </c>
      <c r="C454" s="10" t="str">
        <f>"FES1162629392"</f>
        <v>FES1162629392</v>
      </c>
      <c r="D454" s="10" t="s">
        <v>19</v>
      </c>
      <c r="E454" s="10" t="s">
        <v>327</v>
      </c>
      <c r="F454" s="10" t="str">
        <f>"2170635727 "</f>
        <v xml:space="preserve">2170635727 </v>
      </c>
      <c r="G454" s="10" t="str">
        <f t="shared" si="13"/>
        <v>ON1</v>
      </c>
      <c r="H454" s="10" t="s">
        <v>21</v>
      </c>
      <c r="I454" s="10" t="s">
        <v>69</v>
      </c>
      <c r="J454" s="10" t="str">
        <f>""</f>
        <v/>
      </c>
      <c r="K454" s="10" t="str">
        <f>"PFES1162629392_0001"</f>
        <v>PFES1162629392_0001</v>
      </c>
      <c r="L454" s="10">
        <v>1</v>
      </c>
      <c r="M454" s="10">
        <v>2</v>
      </c>
    </row>
    <row r="455" spans="1:13">
      <c r="A455" s="8">
        <v>43264</v>
      </c>
      <c r="B455" s="9">
        <v>0.6743055555555556</v>
      </c>
      <c r="C455" s="10" t="str">
        <f>"FES1162629446"</f>
        <v>FES1162629446</v>
      </c>
      <c r="D455" s="10" t="s">
        <v>19</v>
      </c>
      <c r="E455" s="10" t="s">
        <v>449</v>
      </c>
      <c r="F455" s="10" t="str">
        <f>"2170636499 "</f>
        <v xml:space="preserve">2170636499 </v>
      </c>
      <c r="G455" s="10" t="str">
        <f t="shared" si="13"/>
        <v>ON1</v>
      </c>
      <c r="H455" s="10" t="s">
        <v>21</v>
      </c>
      <c r="I455" s="10" t="s">
        <v>450</v>
      </c>
      <c r="J455" s="10" t="str">
        <f>""</f>
        <v/>
      </c>
      <c r="K455" s="10" t="str">
        <f>"PFES1162629446_0001"</f>
        <v>PFES1162629446_0001</v>
      </c>
      <c r="L455" s="10">
        <v>1</v>
      </c>
      <c r="M455" s="10">
        <v>1</v>
      </c>
    </row>
    <row r="456" spans="1:13">
      <c r="A456" s="8">
        <v>43264</v>
      </c>
      <c r="B456" s="9">
        <v>0.67361111111111116</v>
      </c>
      <c r="C456" s="10" t="str">
        <f>"FES1162629391"</f>
        <v>FES1162629391</v>
      </c>
      <c r="D456" s="10" t="s">
        <v>19</v>
      </c>
      <c r="E456" s="10" t="s">
        <v>249</v>
      </c>
      <c r="F456" s="10" t="str">
        <f>"2170635725 "</f>
        <v xml:space="preserve">2170635725 </v>
      </c>
      <c r="G456" s="10" t="str">
        <f t="shared" si="13"/>
        <v>ON1</v>
      </c>
      <c r="H456" s="10" t="s">
        <v>21</v>
      </c>
      <c r="I456" s="10" t="s">
        <v>59</v>
      </c>
      <c r="J456" s="10" t="str">
        <f>""</f>
        <v/>
      </c>
      <c r="K456" s="10" t="str">
        <f>"PFES1162629391_0001"</f>
        <v>PFES1162629391_0001</v>
      </c>
      <c r="L456" s="10">
        <v>1</v>
      </c>
      <c r="M456" s="10">
        <v>3</v>
      </c>
    </row>
    <row r="457" spans="1:13">
      <c r="A457" s="8">
        <v>43264</v>
      </c>
      <c r="B457" s="9">
        <v>0.67291666666666661</v>
      </c>
      <c r="C457" s="10" t="str">
        <f>"FES1162629286"</f>
        <v>FES1162629286</v>
      </c>
      <c r="D457" s="10" t="s">
        <v>19</v>
      </c>
      <c r="E457" s="10" t="s">
        <v>193</v>
      </c>
      <c r="F457" s="10" t="str">
        <f>"2170634736 "</f>
        <v xml:space="preserve">2170634736 </v>
      </c>
      <c r="G457" s="10" t="str">
        <f t="shared" si="13"/>
        <v>ON1</v>
      </c>
      <c r="H457" s="10" t="s">
        <v>21</v>
      </c>
      <c r="I457" s="10" t="s">
        <v>30</v>
      </c>
      <c r="J457" s="10" t="str">
        <f>""</f>
        <v/>
      </c>
      <c r="K457" s="10" t="str">
        <f>"PFES1162629286_0001"</f>
        <v>PFES1162629286_0001</v>
      </c>
      <c r="L457" s="10">
        <v>1</v>
      </c>
      <c r="M457" s="10">
        <v>1</v>
      </c>
    </row>
    <row r="458" spans="1:13">
      <c r="A458" s="8">
        <v>43264</v>
      </c>
      <c r="B458" s="9">
        <v>0.67222222222222217</v>
      </c>
      <c r="C458" s="10" t="str">
        <f>"FES1162629364"</f>
        <v>FES1162629364</v>
      </c>
      <c r="D458" s="10" t="s">
        <v>19</v>
      </c>
      <c r="E458" s="10" t="s">
        <v>193</v>
      </c>
      <c r="F458" s="10" t="str">
        <f>"2170636402 "</f>
        <v xml:space="preserve">2170636402 </v>
      </c>
      <c r="G458" s="10" t="str">
        <f t="shared" si="13"/>
        <v>ON1</v>
      </c>
      <c r="H458" s="10" t="s">
        <v>21</v>
      </c>
      <c r="I458" s="10" t="s">
        <v>30</v>
      </c>
      <c r="J458" s="10" t="str">
        <f>""</f>
        <v/>
      </c>
      <c r="K458" s="10" t="str">
        <f>"PFES1162629364_0001"</f>
        <v>PFES1162629364_0001</v>
      </c>
      <c r="L458" s="10">
        <v>1</v>
      </c>
      <c r="M458" s="10">
        <v>3</v>
      </c>
    </row>
    <row r="459" spans="1:13">
      <c r="A459" s="8">
        <v>43264</v>
      </c>
      <c r="B459" s="9">
        <v>0.67222222222222217</v>
      </c>
      <c r="C459" s="10" t="str">
        <f>"FES1162629320"</f>
        <v>FES1162629320</v>
      </c>
      <c r="D459" s="10" t="s">
        <v>19</v>
      </c>
      <c r="E459" s="10" t="s">
        <v>408</v>
      </c>
      <c r="F459" s="10" t="str">
        <f>"2170636360 "</f>
        <v xml:space="preserve">2170636360 </v>
      </c>
      <c r="G459" s="10" t="str">
        <f t="shared" si="13"/>
        <v>ON1</v>
      </c>
      <c r="H459" s="10" t="s">
        <v>21</v>
      </c>
      <c r="I459" s="10" t="s">
        <v>297</v>
      </c>
      <c r="J459" s="10" t="str">
        <f>""</f>
        <v/>
      </c>
      <c r="K459" s="10" t="str">
        <f>"PFES1162629320_0001"</f>
        <v>PFES1162629320_0001</v>
      </c>
      <c r="L459" s="10">
        <v>1</v>
      </c>
      <c r="M459" s="10">
        <v>1</v>
      </c>
    </row>
    <row r="460" spans="1:13">
      <c r="A460" s="8">
        <v>43264</v>
      </c>
      <c r="B460" s="9">
        <v>0.67222222222222217</v>
      </c>
      <c r="C460" s="10" t="str">
        <f>"FES1162629369"</f>
        <v>FES1162629369</v>
      </c>
      <c r="D460" s="10" t="s">
        <v>19</v>
      </c>
      <c r="E460" s="10" t="s">
        <v>345</v>
      </c>
      <c r="F460" s="10" t="str">
        <f>"2170636410 "</f>
        <v xml:space="preserve">2170636410 </v>
      </c>
      <c r="G460" s="10" t="str">
        <f t="shared" si="13"/>
        <v>ON1</v>
      </c>
      <c r="H460" s="10" t="s">
        <v>21</v>
      </c>
      <c r="I460" s="10" t="s">
        <v>228</v>
      </c>
      <c r="J460" s="10" t="str">
        <f>""</f>
        <v/>
      </c>
      <c r="K460" s="10" t="str">
        <f>"PFES1162629369_0001"</f>
        <v>PFES1162629369_0001</v>
      </c>
      <c r="L460" s="10">
        <v>1</v>
      </c>
      <c r="M460" s="10">
        <v>1</v>
      </c>
    </row>
    <row r="461" spans="1:13">
      <c r="A461" s="8">
        <v>43264</v>
      </c>
      <c r="B461" s="9">
        <v>0.67222222222222217</v>
      </c>
      <c r="C461" s="10" t="str">
        <f>"FES1162629390"</f>
        <v>FES1162629390</v>
      </c>
      <c r="D461" s="10" t="s">
        <v>19</v>
      </c>
      <c r="E461" s="10" t="s">
        <v>451</v>
      </c>
      <c r="F461" s="10" t="str">
        <f>"2170635073 "</f>
        <v xml:space="preserve">2170635073 </v>
      </c>
      <c r="G461" s="10" t="str">
        <f t="shared" si="13"/>
        <v>ON1</v>
      </c>
      <c r="H461" s="10" t="s">
        <v>21</v>
      </c>
      <c r="I461" s="10" t="s">
        <v>83</v>
      </c>
      <c r="J461" s="10" t="str">
        <f>""</f>
        <v/>
      </c>
      <c r="K461" s="10" t="str">
        <f>"PFES1162629390_0001"</f>
        <v>PFES1162629390_0001</v>
      </c>
      <c r="L461" s="10">
        <v>1</v>
      </c>
      <c r="M461" s="10">
        <v>1</v>
      </c>
    </row>
    <row r="462" spans="1:13">
      <c r="A462" s="8">
        <v>43264</v>
      </c>
      <c r="B462" s="9">
        <v>0.67152777777777783</v>
      </c>
      <c r="C462" s="10" t="str">
        <f>"FES1162629470"</f>
        <v>FES1162629470</v>
      </c>
      <c r="D462" s="10" t="s">
        <v>19</v>
      </c>
      <c r="E462" s="10" t="s">
        <v>117</v>
      </c>
      <c r="F462" s="10" t="str">
        <f>"217063517 "</f>
        <v xml:space="preserve">217063517 </v>
      </c>
      <c r="G462" s="10" t="str">
        <f t="shared" si="13"/>
        <v>ON1</v>
      </c>
      <c r="H462" s="10" t="s">
        <v>21</v>
      </c>
      <c r="I462" s="10" t="s">
        <v>118</v>
      </c>
      <c r="J462" s="10" t="str">
        <f>""</f>
        <v/>
      </c>
      <c r="K462" s="10" t="str">
        <f>"PFES1162629470_0001"</f>
        <v>PFES1162629470_0001</v>
      </c>
      <c r="L462" s="10">
        <v>1</v>
      </c>
      <c r="M462" s="10">
        <v>1</v>
      </c>
    </row>
    <row r="463" spans="1:13">
      <c r="A463" s="8">
        <v>43264</v>
      </c>
      <c r="B463" s="9">
        <v>0.67083333333333339</v>
      </c>
      <c r="C463" s="10" t="str">
        <f>"FES11626292971"</f>
        <v>FES11626292971</v>
      </c>
      <c r="D463" s="10" t="s">
        <v>19</v>
      </c>
      <c r="E463" s="10" t="s">
        <v>452</v>
      </c>
      <c r="F463" s="10" t="str">
        <f>"1162625235 "</f>
        <v xml:space="preserve">1162625235 </v>
      </c>
      <c r="G463" s="10" t="str">
        <f t="shared" si="13"/>
        <v>ON1</v>
      </c>
      <c r="H463" s="10" t="s">
        <v>21</v>
      </c>
      <c r="I463" s="10" t="s">
        <v>453</v>
      </c>
      <c r="J463" s="10" t="str">
        <f>"PLS SIGN BOTH INVOICES"</f>
        <v>PLS SIGN BOTH INVOICES</v>
      </c>
      <c r="K463" s="10" t="str">
        <f>"PFES11626292971_0001"</f>
        <v>PFES11626292971_0001</v>
      </c>
      <c r="L463" s="10">
        <v>2</v>
      </c>
      <c r="M463" s="10">
        <v>3</v>
      </c>
    </row>
    <row r="464" spans="1:13">
      <c r="A464" s="8">
        <v>43264</v>
      </c>
      <c r="B464" s="9">
        <v>0.67083333333333339</v>
      </c>
      <c r="C464" s="10" t="str">
        <f>"FES1162629464"</f>
        <v>FES1162629464</v>
      </c>
      <c r="D464" s="10" t="s">
        <v>19</v>
      </c>
      <c r="E464" s="10" t="s">
        <v>74</v>
      </c>
      <c r="F464" s="10" t="str">
        <f>"2170636158 "</f>
        <v xml:space="preserve">2170636158 </v>
      </c>
      <c r="G464" s="10" t="str">
        <f t="shared" si="13"/>
        <v>ON1</v>
      </c>
      <c r="H464" s="10" t="s">
        <v>21</v>
      </c>
      <c r="I464" s="10" t="s">
        <v>75</v>
      </c>
      <c r="J464" s="10" t="str">
        <f>""</f>
        <v/>
      </c>
      <c r="K464" s="10" t="str">
        <f>"PFES1162629464_0001"</f>
        <v>PFES1162629464_0001</v>
      </c>
      <c r="L464" s="10">
        <v>1</v>
      </c>
      <c r="M464" s="10">
        <v>1</v>
      </c>
    </row>
    <row r="465" spans="1:13">
      <c r="A465" s="8">
        <v>43264</v>
      </c>
      <c r="B465" s="9">
        <v>0.67083333333333339</v>
      </c>
      <c r="C465" s="10" t="str">
        <f>"FES1162629440"</f>
        <v>FES1162629440</v>
      </c>
      <c r="D465" s="10" t="s">
        <v>19</v>
      </c>
      <c r="E465" s="10" t="s">
        <v>454</v>
      </c>
      <c r="F465" s="10" t="str">
        <f>"2170636440 "</f>
        <v xml:space="preserve">2170636440 </v>
      </c>
      <c r="G465" s="10" t="str">
        <f t="shared" si="13"/>
        <v>ON1</v>
      </c>
      <c r="H465" s="10" t="s">
        <v>21</v>
      </c>
      <c r="I465" s="10" t="s">
        <v>455</v>
      </c>
      <c r="J465" s="10" t="str">
        <f>""</f>
        <v/>
      </c>
      <c r="K465" s="10" t="str">
        <f>"PFES1162629440_0001"</f>
        <v>PFES1162629440_0001</v>
      </c>
      <c r="L465" s="10">
        <v>1</v>
      </c>
      <c r="M465" s="10">
        <v>1</v>
      </c>
    </row>
    <row r="466" spans="1:13">
      <c r="A466" s="8">
        <v>43264</v>
      </c>
      <c r="B466" s="9">
        <v>0.67013888888888884</v>
      </c>
      <c r="C466" s="10" t="str">
        <f>"FES1162629455"</f>
        <v>FES1162629455</v>
      </c>
      <c r="D466" s="10" t="s">
        <v>19</v>
      </c>
      <c r="E466" s="10" t="s">
        <v>456</v>
      </c>
      <c r="F466" s="10" t="str">
        <f>"217063506 "</f>
        <v xml:space="preserve">217063506 </v>
      </c>
      <c r="G466" s="10" t="str">
        <f t="shared" si="13"/>
        <v>ON1</v>
      </c>
      <c r="H466" s="10" t="s">
        <v>21</v>
      </c>
      <c r="I466" s="10" t="s">
        <v>36</v>
      </c>
      <c r="J466" s="10" t="str">
        <f>""</f>
        <v/>
      </c>
      <c r="K466" s="10" t="str">
        <f>"PFES1162629455_0001"</f>
        <v>PFES1162629455_0001</v>
      </c>
      <c r="L466" s="10">
        <v>1</v>
      </c>
      <c r="M466" s="10">
        <v>1</v>
      </c>
    </row>
    <row r="467" spans="1:13">
      <c r="A467" s="8">
        <v>43264</v>
      </c>
      <c r="B467" s="9">
        <v>0.67013888888888884</v>
      </c>
      <c r="C467" s="10" t="str">
        <f>"FES1162629477"</f>
        <v>FES1162629477</v>
      </c>
      <c r="D467" s="10" t="s">
        <v>19</v>
      </c>
      <c r="E467" s="10" t="s">
        <v>457</v>
      </c>
      <c r="F467" s="10" t="str">
        <f>"2170636530 "</f>
        <v xml:space="preserve">2170636530 </v>
      </c>
      <c r="G467" s="10" t="str">
        <f t="shared" si="13"/>
        <v>ON1</v>
      </c>
      <c r="H467" s="10" t="s">
        <v>21</v>
      </c>
      <c r="I467" s="10" t="s">
        <v>106</v>
      </c>
      <c r="J467" s="10" t="str">
        <f>""</f>
        <v/>
      </c>
      <c r="K467" s="10" t="str">
        <f>"PFES1162629477_0001"</f>
        <v>PFES1162629477_0001</v>
      </c>
      <c r="L467" s="10">
        <v>1</v>
      </c>
      <c r="M467" s="10">
        <v>1</v>
      </c>
    </row>
    <row r="468" spans="1:13">
      <c r="A468" s="8">
        <v>43264</v>
      </c>
      <c r="B468" s="9">
        <v>0.67013888888888884</v>
      </c>
      <c r="C468" s="10" t="str">
        <f>"FES1162629435"</f>
        <v>FES1162629435</v>
      </c>
      <c r="D468" s="10" t="s">
        <v>19</v>
      </c>
      <c r="E468" s="10" t="s">
        <v>458</v>
      </c>
      <c r="F468" s="10" t="str">
        <f>"2170636481 "</f>
        <v xml:space="preserve">2170636481 </v>
      </c>
      <c r="G468" s="10" t="str">
        <f t="shared" si="13"/>
        <v>ON1</v>
      </c>
      <c r="H468" s="10" t="s">
        <v>21</v>
      </c>
      <c r="I468" s="10" t="s">
        <v>251</v>
      </c>
      <c r="J468" s="10" t="str">
        <f>""</f>
        <v/>
      </c>
      <c r="K468" s="10" t="str">
        <f>"PFES1162629435_0001"</f>
        <v>PFES1162629435_0001</v>
      </c>
      <c r="L468" s="10">
        <v>1</v>
      </c>
      <c r="M468" s="10">
        <v>1</v>
      </c>
    </row>
    <row r="469" spans="1:13">
      <c r="A469" s="8">
        <v>43264</v>
      </c>
      <c r="B469" s="9">
        <v>0.6694444444444444</v>
      </c>
      <c r="C469" s="10" t="str">
        <f>"FES1162629475"</f>
        <v>FES1162629475</v>
      </c>
      <c r="D469" s="10" t="s">
        <v>19</v>
      </c>
      <c r="E469" s="10" t="s">
        <v>459</v>
      </c>
      <c r="F469" s="10" t="str">
        <f>"2170636528 "</f>
        <v xml:space="preserve">2170636528 </v>
      </c>
      <c r="G469" s="10" t="str">
        <f t="shared" si="13"/>
        <v>ON1</v>
      </c>
      <c r="H469" s="10" t="s">
        <v>21</v>
      </c>
      <c r="I469" s="10" t="s">
        <v>460</v>
      </c>
      <c r="J469" s="10" t="str">
        <f>""</f>
        <v/>
      </c>
      <c r="K469" s="10" t="str">
        <f>"PFES1162629475_0001"</f>
        <v>PFES1162629475_0001</v>
      </c>
      <c r="L469" s="10">
        <v>1</v>
      </c>
      <c r="M469" s="10">
        <v>1</v>
      </c>
    </row>
    <row r="470" spans="1:13">
      <c r="A470" s="8">
        <v>43264</v>
      </c>
      <c r="B470" s="9">
        <v>0.66875000000000007</v>
      </c>
      <c r="C470" s="10" t="str">
        <f>"FES1162629402"</f>
        <v>FES1162629402</v>
      </c>
      <c r="D470" s="10" t="s">
        <v>19</v>
      </c>
      <c r="E470" s="10" t="s">
        <v>140</v>
      </c>
      <c r="F470" s="10" t="str">
        <f>"2170636433 "</f>
        <v xml:space="preserve">2170636433 </v>
      </c>
      <c r="G470" s="10" t="str">
        <f t="shared" si="13"/>
        <v>ON1</v>
      </c>
      <c r="H470" s="10" t="s">
        <v>21</v>
      </c>
      <c r="I470" s="10" t="s">
        <v>141</v>
      </c>
      <c r="J470" s="10" t="str">
        <f>""</f>
        <v/>
      </c>
      <c r="K470" s="10" t="str">
        <f>"PFES1162629402_0001"</f>
        <v>PFES1162629402_0001</v>
      </c>
      <c r="L470" s="10">
        <v>1</v>
      </c>
      <c r="M470" s="10">
        <v>1</v>
      </c>
    </row>
    <row r="471" spans="1:13">
      <c r="A471" s="8">
        <v>43264</v>
      </c>
      <c r="B471" s="9">
        <v>0.66875000000000007</v>
      </c>
      <c r="C471" s="10" t="str">
        <f>"FES1162629471"</f>
        <v>FES1162629471</v>
      </c>
      <c r="D471" s="10" t="s">
        <v>19</v>
      </c>
      <c r="E471" s="10" t="s">
        <v>461</v>
      </c>
      <c r="F471" s="10" t="str">
        <f>"2170636425 "</f>
        <v xml:space="preserve">2170636425 </v>
      </c>
      <c r="G471" s="10" t="str">
        <f t="shared" si="13"/>
        <v>ON1</v>
      </c>
      <c r="H471" s="10" t="s">
        <v>21</v>
      </c>
      <c r="I471" s="10" t="s">
        <v>32</v>
      </c>
      <c r="J471" s="10" t="str">
        <f>""</f>
        <v/>
      </c>
      <c r="K471" s="10" t="str">
        <f>"PFES1162629471_0001"</f>
        <v>PFES1162629471_0001</v>
      </c>
      <c r="L471" s="10">
        <v>1</v>
      </c>
      <c r="M471" s="10">
        <v>1</v>
      </c>
    </row>
    <row r="472" spans="1:13">
      <c r="A472" s="8">
        <v>43264</v>
      </c>
      <c r="B472" s="9">
        <v>0.66805555555555562</v>
      </c>
      <c r="C472" s="10" t="str">
        <f>"FES1162629482"</f>
        <v>FES1162629482</v>
      </c>
      <c r="D472" s="10" t="s">
        <v>19</v>
      </c>
      <c r="E472" s="10" t="s">
        <v>128</v>
      </c>
      <c r="F472" s="10" t="str">
        <f>"2170625770 "</f>
        <v xml:space="preserve">2170625770 </v>
      </c>
      <c r="G472" s="10" t="str">
        <f t="shared" si="13"/>
        <v>ON1</v>
      </c>
      <c r="H472" s="10" t="s">
        <v>21</v>
      </c>
      <c r="I472" s="10" t="s">
        <v>129</v>
      </c>
      <c r="J472" s="10" t="str">
        <f>""</f>
        <v/>
      </c>
      <c r="K472" s="10" t="str">
        <f>"PFES1162629482_0001"</f>
        <v>PFES1162629482_0001</v>
      </c>
      <c r="L472" s="10">
        <v>1</v>
      </c>
      <c r="M472" s="10">
        <v>3</v>
      </c>
    </row>
    <row r="473" spans="1:13">
      <c r="A473" s="8">
        <v>43264</v>
      </c>
      <c r="B473" s="9">
        <v>0.66736111111111107</v>
      </c>
      <c r="C473" s="10" t="str">
        <f>"FES1162629465"</f>
        <v>FES1162629465</v>
      </c>
      <c r="D473" s="10" t="s">
        <v>19</v>
      </c>
      <c r="E473" s="10" t="s">
        <v>191</v>
      </c>
      <c r="F473" s="10" t="str">
        <f>"2170636170 "</f>
        <v xml:space="preserve">2170636170 </v>
      </c>
      <c r="G473" s="10" t="str">
        <f t="shared" si="13"/>
        <v>ON1</v>
      </c>
      <c r="H473" s="10" t="s">
        <v>21</v>
      </c>
      <c r="I473" s="10" t="s">
        <v>192</v>
      </c>
      <c r="J473" s="10" t="str">
        <f>""</f>
        <v/>
      </c>
      <c r="K473" s="10" t="str">
        <f>"PFES1162629465_0001"</f>
        <v>PFES1162629465_0001</v>
      </c>
      <c r="L473" s="10">
        <v>1</v>
      </c>
      <c r="M473" s="10">
        <v>1</v>
      </c>
    </row>
    <row r="474" spans="1:13">
      <c r="A474" s="8">
        <v>43264</v>
      </c>
      <c r="B474" s="9">
        <v>0.66666666666666663</v>
      </c>
      <c r="C474" s="10" t="str">
        <f>"FES1162629361"</f>
        <v>FES1162629361</v>
      </c>
      <c r="D474" s="10" t="s">
        <v>19</v>
      </c>
      <c r="E474" s="10" t="s">
        <v>169</v>
      </c>
      <c r="F474" s="10" t="str">
        <f>"2170636399 "</f>
        <v xml:space="preserve">2170636399 </v>
      </c>
      <c r="G474" s="10" t="str">
        <f t="shared" si="13"/>
        <v>ON1</v>
      </c>
      <c r="H474" s="10" t="s">
        <v>21</v>
      </c>
      <c r="I474" s="10" t="s">
        <v>170</v>
      </c>
      <c r="J474" s="10" t="str">
        <f>""</f>
        <v/>
      </c>
      <c r="K474" s="10" t="str">
        <f>"PFES1162629361_0001"</f>
        <v>PFES1162629361_0001</v>
      </c>
      <c r="L474" s="10">
        <v>1</v>
      </c>
      <c r="M474" s="10">
        <v>4</v>
      </c>
    </row>
    <row r="475" spans="1:13">
      <c r="A475" s="8">
        <v>43264</v>
      </c>
      <c r="B475" s="9">
        <v>0.66597222222222219</v>
      </c>
      <c r="C475" s="10" t="str">
        <f>"FES1162629408"</f>
        <v>FES1162629408</v>
      </c>
      <c r="D475" s="10" t="s">
        <v>19</v>
      </c>
      <c r="E475" s="10" t="s">
        <v>462</v>
      </c>
      <c r="F475" s="10" t="str">
        <f>"2170634864 "</f>
        <v xml:space="preserve">2170634864 </v>
      </c>
      <c r="G475" s="10" t="str">
        <f t="shared" si="13"/>
        <v>ON1</v>
      </c>
      <c r="H475" s="10" t="s">
        <v>21</v>
      </c>
      <c r="I475" s="10" t="s">
        <v>36</v>
      </c>
      <c r="J475" s="10" t="str">
        <f>""</f>
        <v/>
      </c>
      <c r="K475" s="10" t="str">
        <f>"PFES1162629408_0001"</f>
        <v>PFES1162629408_0001</v>
      </c>
      <c r="L475" s="10">
        <v>1</v>
      </c>
      <c r="M475" s="10">
        <v>11</v>
      </c>
    </row>
    <row r="476" spans="1:13">
      <c r="A476" s="8">
        <v>43264</v>
      </c>
      <c r="B476" s="9">
        <v>0.66388888888888886</v>
      </c>
      <c r="C476" s="10" t="str">
        <f>"FES1162629342"</f>
        <v>FES1162629342</v>
      </c>
      <c r="D476" s="10" t="s">
        <v>19</v>
      </c>
      <c r="E476" s="10" t="s">
        <v>463</v>
      </c>
      <c r="F476" s="10" t="str">
        <f>"2170632277 "</f>
        <v xml:space="preserve">2170632277 </v>
      </c>
      <c r="G476" s="10" t="str">
        <f t="shared" si="13"/>
        <v>ON1</v>
      </c>
      <c r="H476" s="10" t="s">
        <v>21</v>
      </c>
      <c r="I476" s="10" t="s">
        <v>32</v>
      </c>
      <c r="J476" s="10" t="str">
        <f>""</f>
        <v/>
      </c>
      <c r="K476" s="10" t="str">
        <f>"PFES1162629342_0001"</f>
        <v>PFES1162629342_0001</v>
      </c>
      <c r="L476" s="10">
        <v>1</v>
      </c>
      <c r="M476" s="10">
        <v>1</v>
      </c>
    </row>
    <row r="477" spans="1:13">
      <c r="A477" s="8">
        <v>43264</v>
      </c>
      <c r="B477" s="9">
        <v>0.66319444444444442</v>
      </c>
      <c r="C477" s="10" t="str">
        <f>"FES1162629478"</f>
        <v>FES1162629478</v>
      </c>
      <c r="D477" s="10" t="s">
        <v>19</v>
      </c>
      <c r="E477" s="10" t="s">
        <v>179</v>
      </c>
      <c r="F477" s="10" t="str">
        <f>"2170635689 "</f>
        <v xml:space="preserve">2170635689 </v>
      </c>
      <c r="G477" s="10" t="str">
        <f t="shared" si="13"/>
        <v>ON1</v>
      </c>
      <c r="H477" s="10" t="s">
        <v>21</v>
      </c>
      <c r="I477" s="10" t="s">
        <v>180</v>
      </c>
      <c r="J477" s="10" t="str">
        <f>""</f>
        <v/>
      </c>
      <c r="K477" s="10" t="str">
        <f>"PFES1162629478_0001"</f>
        <v>PFES1162629478_0001</v>
      </c>
      <c r="L477" s="10">
        <v>1</v>
      </c>
      <c r="M477" s="10">
        <v>3</v>
      </c>
    </row>
    <row r="478" spans="1:13">
      <c r="A478" s="8">
        <v>43264</v>
      </c>
      <c r="B478" s="9">
        <v>0.65486111111111112</v>
      </c>
      <c r="C478" s="10" t="str">
        <f>"FES1162629433"</f>
        <v>FES1162629433</v>
      </c>
      <c r="D478" s="10" t="s">
        <v>19</v>
      </c>
      <c r="E478" s="10" t="s">
        <v>464</v>
      </c>
      <c r="F478" s="10" t="str">
        <f>"2170636478 "</f>
        <v xml:space="preserve">2170636478 </v>
      </c>
      <c r="G478" s="10" t="str">
        <f t="shared" si="13"/>
        <v>ON1</v>
      </c>
      <c r="H478" s="10" t="s">
        <v>21</v>
      </c>
      <c r="I478" s="10" t="s">
        <v>106</v>
      </c>
      <c r="J478" s="10" t="str">
        <f>""</f>
        <v/>
      </c>
      <c r="K478" s="10" t="str">
        <f>"PFES1162629433_0001"</f>
        <v>PFES1162629433_0001</v>
      </c>
      <c r="L478" s="10">
        <v>1</v>
      </c>
      <c r="M478" s="10">
        <v>3</v>
      </c>
    </row>
    <row r="479" spans="1:13">
      <c r="A479" s="8">
        <v>43264</v>
      </c>
      <c r="B479" s="9">
        <v>0.63055555555555554</v>
      </c>
      <c r="C479" s="10" t="str">
        <f>"FES1162629388"</f>
        <v>FES1162629388</v>
      </c>
      <c r="D479" s="10" t="s">
        <v>19</v>
      </c>
      <c r="E479" s="10" t="s">
        <v>99</v>
      </c>
      <c r="F479" s="10" t="str">
        <f>"2170634488 "</f>
        <v xml:space="preserve">2170634488 </v>
      </c>
      <c r="G479" s="10" t="str">
        <f t="shared" si="13"/>
        <v>ON1</v>
      </c>
      <c r="H479" s="10" t="s">
        <v>21</v>
      </c>
      <c r="I479" s="10" t="s">
        <v>100</v>
      </c>
      <c r="J479" s="10" t="str">
        <f>""</f>
        <v/>
      </c>
      <c r="K479" s="10" t="str">
        <f>"PFES1162629388_0001"</f>
        <v>PFES1162629388_0001</v>
      </c>
      <c r="L479" s="10">
        <v>1</v>
      </c>
      <c r="M479" s="10">
        <v>11</v>
      </c>
    </row>
    <row r="480" spans="1:13">
      <c r="A480" s="8">
        <v>43264</v>
      </c>
      <c r="B480" s="9">
        <v>0.62986111111111109</v>
      </c>
      <c r="C480" s="10" t="str">
        <f>"FES1162629420"</f>
        <v>FES1162629420</v>
      </c>
      <c r="D480" s="10" t="s">
        <v>19</v>
      </c>
      <c r="E480" s="10" t="s">
        <v>465</v>
      </c>
      <c r="F480" s="10" t="str">
        <f>"2170636468 "</f>
        <v xml:space="preserve">2170636468 </v>
      </c>
      <c r="G480" s="10" t="str">
        <f t="shared" si="13"/>
        <v>ON1</v>
      </c>
      <c r="H480" s="10" t="s">
        <v>21</v>
      </c>
      <c r="I480" s="10" t="s">
        <v>83</v>
      </c>
      <c r="J480" s="10" t="str">
        <f>""</f>
        <v/>
      </c>
      <c r="K480" s="10" t="str">
        <f>"PFES1162629420_0001"</f>
        <v>PFES1162629420_0001</v>
      </c>
      <c r="L480" s="10">
        <v>1</v>
      </c>
      <c r="M480" s="10">
        <v>3</v>
      </c>
    </row>
    <row r="481" spans="1:13">
      <c r="A481" s="8">
        <v>43264</v>
      </c>
      <c r="B481" s="9">
        <v>0.62847222222222221</v>
      </c>
      <c r="C481" s="10" t="str">
        <f>"FES1162629396"</f>
        <v>FES1162629396</v>
      </c>
      <c r="D481" s="10" t="s">
        <v>19</v>
      </c>
      <c r="E481" s="10" t="s">
        <v>466</v>
      </c>
      <c r="F481" s="10" t="str">
        <f>"2170636432 "</f>
        <v xml:space="preserve">2170636432 </v>
      </c>
      <c r="G481" s="10" t="str">
        <f t="shared" si="13"/>
        <v>ON1</v>
      </c>
      <c r="H481" s="10" t="s">
        <v>21</v>
      </c>
      <c r="I481" s="10" t="s">
        <v>467</v>
      </c>
      <c r="J481" s="10" t="str">
        <f>""</f>
        <v/>
      </c>
      <c r="K481" s="10" t="str">
        <f>"PFES1162629396_0001"</f>
        <v>PFES1162629396_0001</v>
      </c>
      <c r="L481" s="10">
        <v>1</v>
      </c>
      <c r="M481" s="10">
        <v>2</v>
      </c>
    </row>
    <row r="482" spans="1:13">
      <c r="A482" s="8">
        <v>43264</v>
      </c>
      <c r="B482" s="9">
        <v>0.62777777777777777</v>
      </c>
      <c r="C482" s="10" t="str">
        <f>"FES1162629358"</f>
        <v>FES1162629358</v>
      </c>
      <c r="D482" s="10" t="s">
        <v>19</v>
      </c>
      <c r="E482" s="10" t="s">
        <v>74</v>
      </c>
      <c r="F482" s="10" t="str">
        <f>"2170636395 "</f>
        <v xml:space="preserve">2170636395 </v>
      </c>
      <c r="G482" s="10" t="str">
        <f t="shared" si="13"/>
        <v>ON1</v>
      </c>
      <c r="H482" s="10" t="s">
        <v>21</v>
      </c>
      <c r="I482" s="10" t="s">
        <v>75</v>
      </c>
      <c r="J482" s="10" t="str">
        <f>""</f>
        <v/>
      </c>
      <c r="K482" s="10" t="str">
        <f>"PFES1162629358_0001"</f>
        <v>PFES1162629358_0001</v>
      </c>
      <c r="L482" s="10">
        <v>1</v>
      </c>
      <c r="M482" s="10">
        <v>3</v>
      </c>
    </row>
    <row r="483" spans="1:13">
      <c r="A483" s="8">
        <v>43264</v>
      </c>
      <c r="B483" s="9">
        <v>0.62708333333333333</v>
      </c>
      <c r="C483" s="10" t="str">
        <f>"FES1162629438"</f>
        <v>FES1162629438</v>
      </c>
      <c r="D483" s="10" t="s">
        <v>19</v>
      </c>
      <c r="E483" s="10" t="s">
        <v>468</v>
      </c>
      <c r="F483" s="10" t="str">
        <f>"2170636488 "</f>
        <v xml:space="preserve">2170636488 </v>
      </c>
      <c r="G483" s="10" t="str">
        <f t="shared" si="13"/>
        <v>ON1</v>
      </c>
      <c r="H483" s="10" t="s">
        <v>21</v>
      </c>
      <c r="I483" s="10" t="s">
        <v>469</v>
      </c>
      <c r="J483" s="10" t="str">
        <f>""</f>
        <v/>
      </c>
      <c r="K483" s="10" t="str">
        <f>"PFES1162629438_0001"</f>
        <v>PFES1162629438_0001</v>
      </c>
      <c r="L483" s="10">
        <v>1</v>
      </c>
      <c r="M483" s="10">
        <v>2</v>
      </c>
    </row>
    <row r="484" spans="1:13">
      <c r="A484" s="8">
        <v>43264</v>
      </c>
      <c r="B484" s="9">
        <v>0.62638888888888888</v>
      </c>
      <c r="C484" s="10" t="str">
        <f>"FES1162629362"</f>
        <v>FES1162629362</v>
      </c>
      <c r="D484" s="10" t="s">
        <v>19</v>
      </c>
      <c r="E484" s="10" t="s">
        <v>429</v>
      </c>
      <c r="F484" s="10" t="str">
        <f>"2170636400 "</f>
        <v xml:space="preserve">2170636400 </v>
      </c>
      <c r="G484" s="10" t="str">
        <f t="shared" si="13"/>
        <v>ON1</v>
      </c>
      <c r="H484" s="10" t="s">
        <v>21</v>
      </c>
      <c r="I484" s="10" t="s">
        <v>83</v>
      </c>
      <c r="J484" s="10" t="str">
        <f>""</f>
        <v/>
      </c>
      <c r="K484" s="10" t="str">
        <f>"PFES1162629362_0001"</f>
        <v>PFES1162629362_0001</v>
      </c>
      <c r="L484" s="10">
        <v>1</v>
      </c>
      <c r="M484" s="10">
        <v>4</v>
      </c>
    </row>
    <row r="485" spans="1:13">
      <c r="A485" s="8">
        <v>43264</v>
      </c>
      <c r="B485" s="9">
        <v>0.62569444444444444</v>
      </c>
      <c r="C485" s="10" t="str">
        <f>"FES1162629453"</f>
        <v>FES1162629453</v>
      </c>
      <c r="D485" s="10" t="s">
        <v>19</v>
      </c>
      <c r="E485" s="10" t="s">
        <v>459</v>
      </c>
      <c r="F485" s="10" t="str">
        <f>"2170636501 "</f>
        <v xml:space="preserve">2170636501 </v>
      </c>
      <c r="G485" s="10" t="str">
        <f t="shared" si="13"/>
        <v>ON1</v>
      </c>
      <c r="H485" s="10" t="s">
        <v>21</v>
      </c>
      <c r="I485" s="10" t="s">
        <v>470</v>
      </c>
      <c r="J485" s="10" t="str">
        <f>""</f>
        <v/>
      </c>
      <c r="K485" s="10" t="str">
        <f>"PFES1162629453_0001"</f>
        <v>PFES1162629453_0001</v>
      </c>
      <c r="L485" s="10">
        <v>1</v>
      </c>
      <c r="M485" s="10">
        <v>6</v>
      </c>
    </row>
    <row r="486" spans="1:13">
      <c r="A486" s="8">
        <v>43264</v>
      </c>
      <c r="B486" s="9">
        <v>0.62430555555555556</v>
      </c>
      <c r="C486" s="10" t="str">
        <f>"FES1162629443"</f>
        <v>FES1162629443</v>
      </c>
      <c r="D486" s="10" t="s">
        <v>19</v>
      </c>
      <c r="E486" s="10" t="s">
        <v>143</v>
      </c>
      <c r="F486" s="10" t="str">
        <f>"2170636491 "</f>
        <v xml:space="preserve">2170636491 </v>
      </c>
      <c r="G486" s="10" t="str">
        <f t="shared" si="13"/>
        <v>ON1</v>
      </c>
      <c r="H486" s="10" t="s">
        <v>21</v>
      </c>
      <c r="I486" s="10" t="s">
        <v>144</v>
      </c>
      <c r="J486" s="10" t="str">
        <f>""</f>
        <v/>
      </c>
      <c r="K486" s="10" t="str">
        <f>"PFES1162629443_0001"</f>
        <v>PFES1162629443_0001</v>
      </c>
      <c r="L486" s="10">
        <v>1</v>
      </c>
      <c r="M486" s="10">
        <v>2</v>
      </c>
    </row>
    <row r="487" spans="1:13">
      <c r="A487" s="8">
        <v>43264</v>
      </c>
      <c r="B487" s="9">
        <v>0.62361111111111112</v>
      </c>
      <c r="C487" s="10" t="str">
        <f>"FES1162627359"</f>
        <v>FES1162627359</v>
      </c>
      <c r="D487" s="10" t="s">
        <v>19</v>
      </c>
      <c r="E487" s="10" t="s">
        <v>471</v>
      </c>
      <c r="F487" s="10" t="str">
        <f>"217063510 "</f>
        <v xml:space="preserve">217063510 </v>
      </c>
      <c r="G487" s="10" t="str">
        <f t="shared" si="13"/>
        <v>ON1</v>
      </c>
      <c r="H487" s="10" t="s">
        <v>21</v>
      </c>
      <c r="I487" s="10" t="s">
        <v>40</v>
      </c>
      <c r="J487" s="10" t="str">
        <f>""</f>
        <v/>
      </c>
      <c r="K487" s="10" t="str">
        <f>"PFES1162627359_0001"</f>
        <v>PFES1162627359_0001</v>
      </c>
      <c r="L487" s="10">
        <v>1</v>
      </c>
      <c r="M487" s="10">
        <v>1</v>
      </c>
    </row>
    <row r="488" spans="1:13">
      <c r="A488" s="8">
        <v>43264</v>
      </c>
      <c r="B488" s="9">
        <v>0.62361111111111112</v>
      </c>
      <c r="C488" s="10" t="str">
        <f>"FES1162629409"</f>
        <v>FES1162629409</v>
      </c>
      <c r="D488" s="10" t="s">
        <v>19</v>
      </c>
      <c r="E488" s="10" t="s">
        <v>472</v>
      </c>
      <c r="F488" s="10" t="str">
        <f>"2170636442 "</f>
        <v xml:space="preserve">2170636442 </v>
      </c>
      <c r="G488" s="10" t="str">
        <f t="shared" si="13"/>
        <v>ON1</v>
      </c>
      <c r="H488" s="10" t="s">
        <v>21</v>
      </c>
      <c r="I488" s="10" t="s">
        <v>22</v>
      </c>
      <c r="J488" s="10" t="str">
        <f>""</f>
        <v/>
      </c>
      <c r="K488" s="10" t="str">
        <f>"PFES1162629409_0001"</f>
        <v>PFES1162629409_0001</v>
      </c>
      <c r="L488" s="10">
        <v>1</v>
      </c>
      <c r="M488" s="10">
        <v>1</v>
      </c>
    </row>
    <row r="489" spans="1:13">
      <c r="A489" s="8">
        <v>43264</v>
      </c>
      <c r="B489" s="9">
        <v>0.62361111111111112</v>
      </c>
      <c r="C489" s="10" t="str">
        <f>"FES1162629421"</f>
        <v>FES1162629421</v>
      </c>
      <c r="D489" s="10" t="s">
        <v>19</v>
      </c>
      <c r="E489" s="10" t="s">
        <v>473</v>
      </c>
      <c r="F489" s="10" t="str">
        <f>"2170636469 "</f>
        <v xml:space="preserve">2170636469 </v>
      </c>
      <c r="G489" s="10" t="str">
        <f t="shared" si="13"/>
        <v>ON1</v>
      </c>
      <c r="H489" s="10" t="s">
        <v>21</v>
      </c>
      <c r="I489" s="10" t="s">
        <v>112</v>
      </c>
      <c r="J489" s="10" t="str">
        <f>""</f>
        <v/>
      </c>
      <c r="K489" s="10" t="str">
        <f>"PFES1162629421_0001"</f>
        <v>PFES1162629421_0001</v>
      </c>
      <c r="L489" s="10">
        <v>1</v>
      </c>
      <c r="M489" s="10">
        <v>1</v>
      </c>
    </row>
    <row r="490" spans="1:13">
      <c r="A490" s="8">
        <v>43264</v>
      </c>
      <c r="B490" s="9">
        <v>0.62291666666666667</v>
      </c>
      <c r="C490" s="10" t="str">
        <f>"FES1162629436"</f>
        <v>FES1162629436</v>
      </c>
      <c r="D490" s="10" t="s">
        <v>19</v>
      </c>
      <c r="E490" s="10" t="s">
        <v>117</v>
      </c>
      <c r="F490" s="10" t="str">
        <f>"2170636484 "</f>
        <v xml:space="preserve">2170636484 </v>
      </c>
      <c r="G490" s="10" t="str">
        <f t="shared" si="13"/>
        <v>ON1</v>
      </c>
      <c r="H490" s="10" t="s">
        <v>21</v>
      </c>
      <c r="I490" s="10" t="s">
        <v>118</v>
      </c>
      <c r="J490" s="10" t="str">
        <f>""</f>
        <v/>
      </c>
      <c r="K490" s="10" t="str">
        <f>"PFES1162629436_0001"</f>
        <v>PFES1162629436_0001</v>
      </c>
      <c r="L490" s="10">
        <v>1</v>
      </c>
      <c r="M490" s="10">
        <v>1</v>
      </c>
    </row>
    <row r="491" spans="1:13">
      <c r="A491" s="8">
        <v>43264</v>
      </c>
      <c r="B491" s="9">
        <v>0.62291666666666667</v>
      </c>
      <c r="C491" s="10" t="str">
        <f>"FES1162629432"</f>
        <v>FES1162629432</v>
      </c>
      <c r="D491" s="10" t="s">
        <v>19</v>
      </c>
      <c r="E491" s="10" t="s">
        <v>302</v>
      </c>
      <c r="F491" s="10" t="str">
        <f>"217063646546 "</f>
        <v xml:space="preserve">217063646546 </v>
      </c>
      <c r="G491" s="10" t="str">
        <f t="shared" si="13"/>
        <v>ON1</v>
      </c>
      <c r="H491" s="10" t="s">
        <v>21</v>
      </c>
      <c r="I491" s="10" t="s">
        <v>303</v>
      </c>
      <c r="J491" s="10" t="str">
        <f>""</f>
        <v/>
      </c>
      <c r="K491" s="10" t="str">
        <f>"PFES1162629432_0001"</f>
        <v>PFES1162629432_0001</v>
      </c>
      <c r="L491" s="10">
        <v>1</v>
      </c>
      <c r="M491" s="10">
        <v>1</v>
      </c>
    </row>
    <row r="492" spans="1:13">
      <c r="A492" s="8">
        <v>43264</v>
      </c>
      <c r="B492" s="9">
        <v>0.62291666666666667</v>
      </c>
      <c r="C492" s="10" t="str">
        <f>"FES1162629447"</f>
        <v>FES1162629447</v>
      </c>
      <c r="D492" s="10" t="s">
        <v>19</v>
      </c>
      <c r="E492" s="10" t="s">
        <v>302</v>
      </c>
      <c r="F492" s="10" t="str">
        <f>"2170636479 "</f>
        <v xml:space="preserve">2170636479 </v>
      </c>
      <c r="G492" s="10" t="str">
        <f t="shared" si="13"/>
        <v>ON1</v>
      </c>
      <c r="H492" s="10" t="s">
        <v>21</v>
      </c>
      <c r="I492" s="10" t="s">
        <v>303</v>
      </c>
      <c r="J492" s="10" t="str">
        <f>""</f>
        <v/>
      </c>
      <c r="K492" s="10" t="str">
        <f>"PFES1162629447_0001"</f>
        <v>PFES1162629447_0001</v>
      </c>
      <c r="L492" s="10">
        <v>1</v>
      </c>
      <c r="M492" s="10">
        <v>1</v>
      </c>
    </row>
    <row r="493" spans="1:13">
      <c r="A493" s="8">
        <v>43264</v>
      </c>
      <c r="B493" s="9">
        <v>0.62222222222222223</v>
      </c>
      <c r="C493" s="10" t="str">
        <f>"FES1162629431"</f>
        <v>FES1162629431</v>
      </c>
      <c r="D493" s="10" t="s">
        <v>19</v>
      </c>
      <c r="E493" s="10" t="s">
        <v>457</v>
      </c>
      <c r="F493" s="10" t="str">
        <f>"2170636482 "</f>
        <v xml:space="preserve">2170636482 </v>
      </c>
      <c r="G493" s="10" t="str">
        <f t="shared" si="13"/>
        <v>ON1</v>
      </c>
      <c r="H493" s="10" t="s">
        <v>21</v>
      </c>
      <c r="I493" s="10" t="s">
        <v>106</v>
      </c>
      <c r="J493" s="10" t="str">
        <f>""</f>
        <v/>
      </c>
      <c r="K493" s="10" t="str">
        <f>"PFES1162629431_0001"</f>
        <v>PFES1162629431_0001</v>
      </c>
      <c r="L493" s="10">
        <v>1</v>
      </c>
      <c r="M493" s="10">
        <v>1</v>
      </c>
    </row>
    <row r="494" spans="1:13">
      <c r="A494" s="8">
        <v>43264</v>
      </c>
      <c r="B494" s="9">
        <v>0.62222222222222223</v>
      </c>
      <c r="C494" s="10" t="str">
        <f>"FES1162629324"</f>
        <v>FES1162629324</v>
      </c>
      <c r="D494" s="10" t="s">
        <v>19</v>
      </c>
      <c r="E494" s="10" t="s">
        <v>474</v>
      </c>
      <c r="F494" s="10" t="str">
        <f>"2170636370 "</f>
        <v xml:space="preserve">2170636370 </v>
      </c>
      <c r="G494" s="10" t="str">
        <f t="shared" si="13"/>
        <v>ON1</v>
      </c>
      <c r="H494" s="10" t="s">
        <v>21</v>
      </c>
      <c r="I494" s="10" t="s">
        <v>228</v>
      </c>
      <c r="J494" s="10" t="str">
        <f>""</f>
        <v/>
      </c>
      <c r="K494" s="10" t="str">
        <f>"PFES1162629324_0001"</f>
        <v>PFES1162629324_0001</v>
      </c>
      <c r="L494" s="10">
        <v>1</v>
      </c>
      <c r="M494" s="10">
        <v>1</v>
      </c>
    </row>
    <row r="495" spans="1:13">
      <c r="A495" s="8">
        <v>43264</v>
      </c>
      <c r="B495" s="9">
        <v>0.62222222222222223</v>
      </c>
      <c r="C495" s="10" t="str">
        <f>"FES1162629379"</f>
        <v>FES1162629379</v>
      </c>
      <c r="D495" s="10" t="s">
        <v>19</v>
      </c>
      <c r="E495" s="10" t="s">
        <v>475</v>
      </c>
      <c r="F495" s="10" t="str">
        <f>"2170636416 "</f>
        <v xml:space="preserve">2170636416 </v>
      </c>
      <c r="G495" s="10" t="str">
        <f t="shared" si="13"/>
        <v>ON1</v>
      </c>
      <c r="H495" s="10" t="s">
        <v>21</v>
      </c>
      <c r="I495" s="10" t="s">
        <v>476</v>
      </c>
      <c r="J495" s="10" t="str">
        <f>""</f>
        <v/>
      </c>
      <c r="K495" s="10" t="str">
        <f>"PFES1162629379_0001"</f>
        <v>PFES1162629379_0001</v>
      </c>
      <c r="L495" s="10">
        <v>1</v>
      </c>
      <c r="M495" s="10">
        <v>1</v>
      </c>
    </row>
    <row r="496" spans="1:13">
      <c r="A496" s="8">
        <v>43264</v>
      </c>
      <c r="B496" s="9">
        <v>0.62152777777777779</v>
      </c>
      <c r="C496" s="10" t="str">
        <f>"FES1162629423"</f>
        <v>FES1162629423</v>
      </c>
      <c r="D496" s="10" t="s">
        <v>19</v>
      </c>
      <c r="E496" s="10" t="s">
        <v>477</v>
      </c>
      <c r="F496" s="10" t="str">
        <f>"2170636471 "</f>
        <v xml:space="preserve">2170636471 </v>
      </c>
      <c r="G496" s="10" t="str">
        <f t="shared" si="13"/>
        <v>ON1</v>
      </c>
      <c r="H496" s="10" t="s">
        <v>21</v>
      </c>
      <c r="I496" s="10" t="s">
        <v>478</v>
      </c>
      <c r="J496" s="10" t="str">
        <f>""</f>
        <v/>
      </c>
      <c r="K496" s="10" t="str">
        <f>"PFES1162629423_0001"</f>
        <v>PFES1162629423_0001</v>
      </c>
      <c r="L496" s="10">
        <v>1</v>
      </c>
      <c r="M496" s="10">
        <v>1</v>
      </c>
    </row>
    <row r="497" spans="1:13">
      <c r="A497" s="8">
        <v>43264</v>
      </c>
      <c r="B497" s="9">
        <v>0.62083333333333335</v>
      </c>
      <c r="C497" s="10" t="str">
        <f>"FES1162629441"</f>
        <v>FES1162629441</v>
      </c>
      <c r="D497" s="10" t="s">
        <v>19</v>
      </c>
      <c r="E497" s="10" t="s">
        <v>479</v>
      </c>
      <c r="F497" s="10" t="str">
        <f>"2170636489 "</f>
        <v xml:space="preserve">2170636489 </v>
      </c>
      <c r="G497" s="10" t="str">
        <f t="shared" si="13"/>
        <v>ON1</v>
      </c>
      <c r="H497" s="10" t="s">
        <v>21</v>
      </c>
      <c r="I497" s="10" t="s">
        <v>480</v>
      </c>
      <c r="J497" s="10" t="str">
        <f>""</f>
        <v/>
      </c>
      <c r="K497" s="10" t="str">
        <f>"PFES1162629441_0001"</f>
        <v>PFES1162629441_0001</v>
      </c>
      <c r="L497" s="10">
        <v>1</v>
      </c>
      <c r="M497" s="10">
        <v>5</v>
      </c>
    </row>
    <row r="498" spans="1:13">
      <c r="A498" s="8">
        <v>43264</v>
      </c>
      <c r="B498" s="9">
        <v>0.62083333333333335</v>
      </c>
      <c r="C498" s="10" t="str">
        <f>"FES1162629395"</f>
        <v>FES1162629395</v>
      </c>
      <c r="D498" s="10" t="s">
        <v>19</v>
      </c>
      <c r="E498" s="10" t="s">
        <v>137</v>
      </c>
      <c r="F498" s="10" t="str">
        <f>"2170636429 "</f>
        <v xml:space="preserve">2170636429 </v>
      </c>
      <c r="G498" s="10" t="str">
        <f t="shared" si="13"/>
        <v>ON1</v>
      </c>
      <c r="H498" s="10" t="s">
        <v>21</v>
      </c>
      <c r="I498" s="10" t="s">
        <v>93</v>
      </c>
      <c r="J498" s="10" t="str">
        <f>""</f>
        <v/>
      </c>
      <c r="K498" s="10" t="str">
        <f>"PFES1162629395_0001"</f>
        <v>PFES1162629395_0001</v>
      </c>
      <c r="L498" s="10">
        <v>1</v>
      </c>
      <c r="M498" s="10">
        <v>1</v>
      </c>
    </row>
    <row r="499" spans="1:13">
      <c r="A499" s="8">
        <v>43264</v>
      </c>
      <c r="B499" s="9">
        <v>0.62083333333333335</v>
      </c>
      <c r="C499" s="10" t="str">
        <f>"FES1162629403"</f>
        <v>FES1162629403</v>
      </c>
      <c r="D499" s="10" t="s">
        <v>19</v>
      </c>
      <c r="E499" s="10" t="s">
        <v>454</v>
      </c>
      <c r="F499" s="10" t="str">
        <f>"2170636440 "</f>
        <v xml:space="preserve">2170636440 </v>
      </c>
      <c r="G499" s="10" t="str">
        <f t="shared" si="13"/>
        <v>ON1</v>
      </c>
      <c r="H499" s="10" t="s">
        <v>21</v>
      </c>
      <c r="I499" s="10" t="s">
        <v>455</v>
      </c>
      <c r="J499" s="10" t="str">
        <f>""</f>
        <v/>
      </c>
      <c r="K499" s="10" t="str">
        <f>"PFES1162629403_0001"</f>
        <v>PFES1162629403_0001</v>
      </c>
      <c r="L499" s="10">
        <v>1</v>
      </c>
      <c r="M499" s="10">
        <v>1</v>
      </c>
    </row>
    <row r="500" spans="1:13">
      <c r="A500" s="8">
        <v>43264</v>
      </c>
      <c r="B500" s="9">
        <v>0.62013888888888891</v>
      </c>
      <c r="C500" s="10" t="str">
        <f>"FES1162629430"</f>
        <v>FES1162629430</v>
      </c>
      <c r="D500" s="10" t="s">
        <v>19</v>
      </c>
      <c r="E500" s="10" t="s">
        <v>383</v>
      </c>
      <c r="F500" s="10" t="str">
        <f>"2170636476 "</f>
        <v xml:space="preserve">2170636476 </v>
      </c>
      <c r="G500" s="10" t="str">
        <f t="shared" si="13"/>
        <v>ON1</v>
      </c>
      <c r="H500" s="10" t="s">
        <v>21</v>
      </c>
      <c r="I500" s="10" t="s">
        <v>384</v>
      </c>
      <c r="J500" s="10" t="str">
        <f>""</f>
        <v/>
      </c>
      <c r="K500" s="10" t="str">
        <f>"PFES1162629430_0001"</f>
        <v>PFES1162629430_0001</v>
      </c>
      <c r="L500" s="10">
        <v>1</v>
      </c>
      <c r="M500" s="10">
        <v>1</v>
      </c>
    </row>
    <row r="501" spans="1:13">
      <c r="A501" s="8">
        <v>43264</v>
      </c>
      <c r="B501" s="9">
        <v>0.62013888888888891</v>
      </c>
      <c r="C501" s="10" t="str">
        <f>"FES1162629425"</f>
        <v>FES1162629425</v>
      </c>
      <c r="D501" s="10" t="s">
        <v>19</v>
      </c>
      <c r="E501" s="10" t="s">
        <v>78</v>
      </c>
      <c r="F501" s="10" t="str">
        <f>"2170636475 "</f>
        <v xml:space="preserve">2170636475 </v>
      </c>
      <c r="G501" s="10" t="str">
        <f t="shared" si="13"/>
        <v>ON1</v>
      </c>
      <c r="H501" s="10" t="s">
        <v>21</v>
      </c>
      <c r="I501" s="10" t="s">
        <v>79</v>
      </c>
      <c r="J501" s="10" t="str">
        <f>""</f>
        <v/>
      </c>
      <c r="K501" s="10" t="str">
        <f>"PFES1162629425_0001"</f>
        <v>PFES1162629425_0001</v>
      </c>
      <c r="L501" s="10">
        <v>1</v>
      </c>
      <c r="M501" s="10">
        <v>1</v>
      </c>
    </row>
    <row r="502" spans="1:13">
      <c r="A502" s="8">
        <v>43264</v>
      </c>
      <c r="B502" s="9">
        <v>0.62013888888888891</v>
      </c>
      <c r="C502" s="10" t="str">
        <f>"FES1162629295"</f>
        <v>FES1162629295</v>
      </c>
      <c r="D502" s="10" t="s">
        <v>19</v>
      </c>
      <c r="E502" s="10" t="s">
        <v>259</v>
      </c>
      <c r="F502" s="10" t="str">
        <f>"2170633192 "</f>
        <v xml:space="preserve">2170633192 </v>
      </c>
      <c r="G502" s="10" t="str">
        <f t="shared" si="13"/>
        <v>ON1</v>
      </c>
      <c r="H502" s="10" t="s">
        <v>21</v>
      </c>
      <c r="I502" s="10" t="s">
        <v>260</v>
      </c>
      <c r="J502" s="10" t="str">
        <f>""</f>
        <v/>
      </c>
      <c r="K502" s="10" t="str">
        <f>"PFES1162629295_0001"</f>
        <v>PFES1162629295_0001</v>
      </c>
      <c r="L502" s="10">
        <v>1</v>
      </c>
      <c r="M502" s="10">
        <v>4</v>
      </c>
    </row>
    <row r="503" spans="1:13">
      <c r="A503" s="8">
        <v>43264</v>
      </c>
      <c r="B503" s="9">
        <v>0.61944444444444446</v>
      </c>
      <c r="C503" s="10" t="str">
        <f>"FES1162629357"</f>
        <v>FES1162629357</v>
      </c>
      <c r="D503" s="10" t="s">
        <v>19</v>
      </c>
      <c r="E503" s="10" t="s">
        <v>119</v>
      </c>
      <c r="F503" s="10" t="str">
        <f>"2170636391 "</f>
        <v xml:space="preserve">2170636391 </v>
      </c>
      <c r="G503" s="10" t="str">
        <f t="shared" si="13"/>
        <v>ON1</v>
      </c>
      <c r="H503" s="10" t="s">
        <v>21</v>
      </c>
      <c r="I503" s="10" t="s">
        <v>83</v>
      </c>
      <c r="J503" s="10" t="str">
        <f>""</f>
        <v/>
      </c>
      <c r="K503" s="10" t="str">
        <f>"PFES1162629357_0001"</f>
        <v>PFES1162629357_0001</v>
      </c>
      <c r="L503" s="10">
        <v>1</v>
      </c>
      <c r="M503" s="10">
        <v>1</v>
      </c>
    </row>
    <row r="504" spans="1:13">
      <c r="A504" s="8">
        <v>43264</v>
      </c>
      <c r="B504" s="9">
        <v>0.61944444444444446</v>
      </c>
      <c r="C504" s="10" t="str">
        <f>"FES1162629428"</f>
        <v>FES1162629428</v>
      </c>
      <c r="D504" s="10" t="s">
        <v>19</v>
      </c>
      <c r="E504" s="10" t="s">
        <v>286</v>
      </c>
      <c r="F504" s="10" t="str">
        <f>"2170636473 "</f>
        <v xml:space="preserve">2170636473 </v>
      </c>
      <c r="G504" s="10" t="str">
        <f t="shared" si="13"/>
        <v>ON1</v>
      </c>
      <c r="H504" s="10" t="s">
        <v>21</v>
      </c>
      <c r="I504" s="10" t="s">
        <v>79</v>
      </c>
      <c r="J504" s="10" t="str">
        <f>""</f>
        <v/>
      </c>
      <c r="K504" s="10" t="str">
        <f>"PFES1162629428_0001"</f>
        <v>PFES1162629428_0001</v>
      </c>
      <c r="L504" s="10">
        <v>1</v>
      </c>
      <c r="M504" s="10">
        <v>1</v>
      </c>
    </row>
    <row r="505" spans="1:13">
      <c r="A505" s="8">
        <v>43264</v>
      </c>
      <c r="B505" s="9">
        <v>0.61944444444444446</v>
      </c>
      <c r="C505" s="10" t="str">
        <f>"FES1162629416"</f>
        <v>FES1162629416</v>
      </c>
      <c r="D505" s="10" t="s">
        <v>19</v>
      </c>
      <c r="E505" s="10" t="s">
        <v>481</v>
      </c>
      <c r="F505" s="10" t="str">
        <f>"2170636455 "</f>
        <v xml:space="preserve">2170636455 </v>
      </c>
      <c r="G505" s="10" t="str">
        <f t="shared" ref="G505:G507" si="14">"ON1"</f>
        <v>ON1</v>
      </c>
      <c r="H505" s="10" t="s">
        <v>21</v>
      </c>
      <c r="I505" s="10" t="s">
        <v>79</v>
      </c>
      <c r="J505" s="10" t="str">
        <f>""</f>
        <v/>
      </c>
      <c r="K505" s="10" t="str">
        <f>"PFES1162629416_0001"</f>
        <v>PFES1162629416_0001</v>
      </c>
      <c r="L505" s="10">
        <v>1</v>
      </c>
      <c r="M505" s="10">
        <v>11</v>
      </c>
    </row>
    <row r="506" spans="1:13">
      <c r="A506" s="8">
        <v>43264</v>
      </c>
      <c r="B506" s="9">
        <v>0.61805555555555558</v>
      </c>
      <c r="C506" s="10" t="str">
        <f>"FES1162629448"</f>
        <v>FES1162629448</v>
      </c>
      <c r="D506" s="10" t="s">
        <v>19</v>
      </c>
      <c r="E506" s="10" t="s">
        <v>456</v>
      </c>
      <c r="F506" s="10" t="str">
        <f>"2170636486 "</f>
        <v xml:space="preserve">2170636486 </v>
      </c>
      <c r="G506" s="10" t="str">
        <f t="shared" si="14"/>
        <v>ON1</v>
      </c>
      <c r="H506" s="10" t="s">
        <v>21</v>
      </c>
      <c r="I506" s="10" t="s">
        <v>36</v>
      </c>
      <c r="J506" s="10" t="str">
        <f>""</f>
        <v/>
      </c>
      <c r="K506" s="10" t="str">
        <f>"PFES1162629448_0001"</f>
        <v>PFES1162629448_0001</v>
      </c>
      <c r="L506" s="10">
        <v>1</v>
      </c>
      <c r="M506" s="10">
        <v>4</v>
      </c>
    </row>
    <row r="507" spans="1:13">
      <c r="A507" s="8">
        <v>43264</v>
      </c>
      <c r="B507" s="9">
        <v>0.6166666666666667</v>
      </c>
      <c r="C507" s="10" t="str">
        <f>"FES1162629372"</f>
        <v>FES1162629372</v>
      </c>
      <c r="D507" s="10" t="s">
        <v>19</v>
      </c>
      <c r="E507" s="10" t="s">
        <v>482</v>
      </c>
      <c r="F507" s="10" t="str">
        <f>"2170636383 "</f>
        <v xml:space="preserve">2170636383 </v>
      </c>
      <c r="G507" s="10" t="str">
        <f t="shared" si="14"/>
        <v>ON1</v>
      </c>
      <c r="H507" s="10" t="s">
        <v>21</v>
      </c>
      <c r="I507" s="10" t="s">
        <v>483</v>
      </c>
      <c r="J507" s="10" t="str">
        <f>""</f>
        <v/>
      </c>
      <c r="K507" s="10" t="str">
        <f>"PFES1162629372_0001"</f>
        <v>PFES1162629372_0001</v>
      </c>
      <c r="L507" s="10">
        <v>1</v>
      </c>
      <c r="M507" s="10">
        <v>6</v>
      </c>
    </row>
    <row r="508" spans="1:13">
      <c r="A508" s="8">
        <v>43264</v>
      </c>
      <c r="B508" s="9">
        <v>0.61527777777777781</v>
      </c>
      <c r="C508" s="10" t="str">
        <f>"FES1162629331"</f>
        <v>FES1162629331</v>
      </c>
      <c r="D508" s="10" t="s">
        <v>19</v>
      </c>
      <c r="E508" s="10" t="s">
        <v>484</v>
      </c>
      <c r="F508" s="10" t="str">
        <f>"2170626555 "</f>
        <v xml:space="preserve">2170626555 </v>
      </c>
      <c r="G508" s="10" t="str">
        <f>"DBC"</f>
        <v>DBC</v>
      </c>
      <c r="H508" s="10" t="s">
        <v>21</v>
      </c>
      <c r="I508" s="10" t="s">
        <v>485</v>
      </c>
      <c r="J508" s="10" t="str">
        <f>""</f>
        <v/>
      </c>
      <c r="K508" s="10" t="str">
        <f>"PFES1162629331_0001"</f>
        <v>PFES1162629331_0001</v>
      </c>
      <c r="L508" s="10">
        <v>2</v>
      </c>
      <c r="M508" s="10">
        <v>23</v>
      </c>
    </row>
    <row r="509" spans="1:13">
      <c r="A509" s="8">
        <v>43264</v>
      </c>
      <c r="B509" s="9">
        <v>0.61111111111111105</v>
      </c>
      <c r="C509" s="10" t="str">
        <f>"FES1162629345"</f>
        <v>FES1162629345</v>
      </c>
      <c r="D509" s="10" t="s">
        <v>19</v>
      </c>
      <c r="E509" s="10" t="s">
        <v>486</v>
      </c>
      <c r="F509" s="10" t="str">
        <f>"2170632836 "</f>
        <v xml:space="preserve">2170632836 </v>
      </c>
      <c r="G509" s="10" t="str">
        <f t="shared" ref="G509:G572" si="15">"ON1"</f>
        <v>ON1</v>
      </c>
      <c r="H509" s="10" t="s">
        <v>21</v>
      </c>
      <c r="I509" s="10" t="s">
        <v>487</v>
      </c>
      <c r="J509" s="10" t="str">
        <f>""</f>
        <v/>
      </c>
      <c r="K509" s="10" t="str">
        <f>"PFES1162629345_0001"</f>
        <v>PFES1162629345_0001</v>
      </c>
      <c r="L509" s="10">
        <v>1</v>
      </c>
      <c r="M509" s="10">
        <v>1</v>
      </c>
    </row>
    <row r="510" spans="1:13">
      <c r="A510" s="8">
        <v>43264</v>
      </c>
      <c r="B510" s="9">
        <v>0.6069444444444444</v>
      </c>
      <c r="C510" s="10" t="str">
        <f>"FES1162629352"</f>
        <v>FES1162629352</v>
      </c>
      <c r="D510" s="10" t="s">
        <v>19</v>
      </c>
      <c r="E510" s="10" t="s">
        <v>488</v>
      </c>
      <c r="F510" s="10" t="str">
        <f>"2170636386 "</f>
        <v xml:space="preserve">2170636386 </v>
      </c>
      <c r="G510" s="10" t="str">
        <f t="shared" si="15"/>
        <v>ON1</v>
      </c>
      <c r="H510" s="10" t="s">
        <v>21</v>
      </c>
      <c r="I510" s="10" t="s">
        <v>207</v>
      </c>
      <c r="J510" s="10" t="str">
        <f>""</f>
        <v/>
      </c>
      <c r="K510" s="10" t="str">
        <f>"PFES1162629352_0001"</f>
        <v>PFES1162629352_0001</v>
      </c>
      <c r="L510" s="10">
        <v>1</v>
      </c>
      <c r="M510" s="10">
        <v>9</v>
      </c>
    </row>
    <row r="511" spans="1:13">
      <c r="A511" s="8">
        <v>43264</v>
      </c>
      <c r="B511" s="9">
        <v>0.60555555555555551</v>
      </c>
      <c r="C511" s="10" t="str">
        <f>"FES1162629415"</f>
        <v>FES1162629415</v>
      </c>
      <c r="D511" s="10" t="s">
        <v>19</v>
      </c>
      <c r="E511" s="10" t="s">
        <v>117</v>
      </c>
      <c r="F511" s="10" t="str">
        <f>"2170636427 "</f>
        <v xml:space="preserve">2170636427 </v>
      </c>
      <c r="G511" s="10" t="str">
        <f t="shared" si="15"/>
        <v>ON1</v>
      </c>
      <c r="H511" s="10" t="s">
        <v>21</v>
      </c>
      <c r="I511" s="10" t="s">
        <v>118</v>
      </c>
      <c r="J511" s="10" t="str">
        <f>""</f>
        <v/>
      </c>
      <c r="K511" s="10" t="str">
        <f>"PFES1162629415_0001"</f>
        <v>PFES1162629415_0001</v>
      </c>
      <c r="L511" s="10">
        <v>1</v>
      </c>
      <c r="M511" s="10">
        <v>11</v>
      </c>
    </row>
    <row r="512" spans="1:13">
      <c r="A512" s="8">
        <v>43264</v>
      </c>
      <c r="B512" s="9">
        <v>0.60486111111111118</v>
      </c>
      <c r="C512" s="10" t="str">
        <f>"FES1162629407"</f>
        <v>FES1162629407</v>
      </c>
      <c r="D512" s="10" t="s">
        <v>19</v>
      </c>
      <c r="E512" s="10" t="s">
        <v>54</v>
      </c>
      <c r="F512" s="10" t="str">
        <f>"2170636448 "</f>
        <v xml:space="preserve">2170636448 </v>
      </c>
      <c r="G512" s="10" t="str">
        <f t="shared" si="15"/>
        <v>ON1</v>
      </c>
      <c r="H512" s="10" t="s">
        <v>21</v>
      </c>
      <c r="I512" s="10" t="s">
        <v>55</v>
      </c>
      <c r="J512" s="10" t="str">
        <f>""</f>
        <v/>
      </c>
      <c r="K512" s="10" t="str">
        <f>"PFES1162629407_0001"</f>
        <v>PFES1162629407_0001</v>
      </c>
      <c r="L512" s="10">
        <v>1</v>
      </c>
      <c r="M512" s="10">
        <v>1</v>
      </c>
    </row>
    <row r="513" spans="1:13">
      <c r="A513" s="8">
        <v>43264</v>
      </c>
      <c r="B513" s="9">
        <v>0.60416666666666663</v>
      </c>
      <c r="C513" s="10" t="str">
        <f>"FES1162629348"</f>
        <v>FES1162629348</v>
      </c>
      <c r="D513" s="10" t="s">
        <v>19</v>
      </c>
      <c r="E513" s="10" t="s">
        <v>121</v>
      </c>
      <c r="F513" s="10" t="str">
        <f>"2170633952 "</f>
        <v xml:space="preserve">2170633952 </v>
      </c>
      <c r="G513" s="10" t="str">
        <f t="shared" si="15"/>
        <v>ON1</v>
      </c>
      <c r="H513" s="10" t="s">
        <v>21</v>
      </c>
      <c r="I513" s="10" t="s">
        <v>79</v>
      </c>
      <c r="J513" s="10" t="str">
        <f>""</f>
        <v/>
      </c>
      <c r="K513" s="10" t="str">
        <f>"PFES1162629348_0001"</f>
        <v>PFES1162629348_0001</v>
      </c>
      <c r="L513" s="10">
        <v>1</v>
      </c>
      <c r="M513" s="10">
        <v>2</v>
      </c>
    </row>
    <row r="514" spans="1:13">
      <c r="A514" s="8">
        <v>43264</v>
      </c>
      <c r="B514" s="9">
        <v>0.60277777777777775</v>
      </c>
      <c r="C514" s="10" t="str">
        <f>"FES1162629233"</f>
        <v>FES1162629233</v>
      </c>
      <c r="D514" s="10" t="s">
        <v>19</v>
      </c>
      <c r="E514" s="10" t="s">
        <v>489</v>
      </c>
      <c r="F514" s="10" t="str">
        <f>"2170635635 "</f>
        <v xml:space="preserve">2170635635 </v>
      </c>
      <c r="G514" s="10" t="str">
        <f t="shared" si="15"/>
        <v>ON1</v>
      </c>
      <c r="H514" s="10" t="s">
        <v>21</v>
      </c>
      <c r="I514" s="10" t="s">
        <v>487</v>
      </c>
      <c r="J514" s="10" t="str">
        <f>""</f>
        <v/>
      </c>
      <c r="K514" s="10" t="str">
        <f>"PFES1162629233_0001"</f>
        <v>PFES1162629233_0001</v>
      </c>
      <c r="L514" s="10">
        <v>1</v>
      </c>
      <c r="M514" s="10">
        <v>10</v>
      </c>
    </row>
    <row r="515" spans="1:13">
      <c r="A515" s="8">
        <v>43264</v>
      </c>
      <c r="B515" s="9">
        <v>0.59722222222222221</v>
      </c>
      <c r="C515" s="10" t="str">
        <f>"009935791765"</f>
        <v>009935791765</v>
      </c>
      <c r="D515" s="10" t="s">
        <v>19</v>
      </c>
      <c r="E515" s="10" t="s">
        <v>74</v>
      </c>
      <c r="F515" s="10" t="str">
        <f>"1162628979 "</f>
        <v xml:space="preserve">1162628979 </v>
      </c>
      <c r="G515" s="10" t="str">
        <f t="shared" si="15"/>
        <v>ON1</v>
      </c>
      <c r="H515" s="10" t="s">
        <v>21</v>
      </c>
      <c r="I515" s="10" t="s">
        <v>75</v>
      </c>
      <c r="J515" s="10" t="str">
        <f>"SHORT SUPPLIER"</f>
        <v>SHORT SUPPLIER</v>
      </c>
      <c r="K515" s="10" t="str">
        <f>"P009935791765_0001"</f>
        <v>P009935791765_0001</v>
      </c>
      <c r="L515" s="10">
        <v>1</v>
      </c>
      <c r="M515" s="10">
        <v>1</v>
      </c>
    </row>
    <row r="516" spans="1:13">
      <c r="A516" s="8">
        <v>43264</v>
      </c>
      <c r="B516" s="9">
        <v>0.59513888888888888</v>
      </c>
      <c r="C516" s="10" t="str">
        <f>"FES1162629334"</f>
        <v>FES1162629334</v>
      </c>
      <c r="D516" s="10" t="s">
        <v>19</v>
      </c>
      <c r="E516" s="10" t="s">
        <v>490</v>
      </c>
      <c r="F516" s="10" t="str">
        <f>"2170630570 "</f>
        <v xml:space="preserve">2170630570 </v>
      </c>
      <c r="G516" s="10" t="str">
        <f t="shared" si="15"/>
        <v>ON1</v>
      </c>
      <c r="H516" s="10" t="s">
        <v>21</v>
      </c>
      <c r="I516" s="10" t="s">
        <v>393</v>
      </c>
      <c r="J516" s="10" t="str">
        <f>""</f>
        <v/>
      </c>
      <c r="K516" s="10" t="str">
        <f>"PFES1162629334_0001"</f>
        <v>PFES1162629334_0001</v>
      </c>
      <c r="L516" s="10">
        <v>1</v>
      </c>
      <c r="M516" s="10">
        <v>13</v>
      </c>
    </row>
    <row r="517" spans="1:13">
      <c r="A517" s="8">
        <v>43264</v>
      </c>
      <c r="B517" s="9">
        <v>0.59375</v>
      </c>
      <c r="C517" s="10" t="str">
        <f>"FES1162629343"</f>
        <v>FES1162629343</v>
      </c>
      <c r="D517" s="10" t="s">
        <v>19</v>
      </c>
      <c r="E517" s="10" t="s">
        <v>184</v>
      </c>
      <c r="F517" s="10" t="str">
        <f>"2170632377 "</f>
        <v xml:space="preserve">2170632377 </v>
      </c>
      <c r="G517" s="10" t="str">
        <f t="shared" si="15"/>
        <v>ON1</v>
      </c>
      <c r="H517" s="10" t="s">
        <v>21</v>
      </c>
      <c r="I517" s="10" t="s">
        <v>134</v>
      </c>
      <c r="J517" s="10" t="str">
        <f>""</f>
        <v/>
      </c>
      <c r="K517" s="10" t="str">
        <f>"PFES1162629343_0001"</f>
        <v>PFES1162629343_0001</v>
      </c>
      <c r="L517" s="10">
        <v>2</v>
      </c>
      <c r="M517" s="10">
        <v>15</v>
      </c>
    </row>
    <row r="518" spans="1:13">
      <c r="A518" s="8">
        <v>43264</v>
      </c>
      <c r="B518" s="9">
        <v>0.59236111111111112</v>
      </c>
      <c r="C518" s="10" t="str">
        <f>"FES1162629249"</f>
        <v>FES1162629249</v>
      </c>
      <c r="D518" s="10" t="s">
        <v>19</v>
      </c>
      <c r="E518" s="10" t="s">
        <v>491</v>
      </c>
      <c r="F518" s="10" t="str">
        <f>"2170636279 "</f>
        <v xml:space="preserve">2170636279 </v>
      </c>
      <c r="G518" s="10" t="str">
        <f t="shared" si="15"/>
        <v>ON1</v>
      </c>
      <c r="H518" s="10" t="s">
        <v>21</v>
      </c>
      <c r="I518" s="10" t="s">
        <v>228</v>
      </c>
      <c r="J518" s="10" t="str">
        <f>""</f>
        <v/>
      </c>
      <c r="K518" s="10" t="str">
        <f>"PFES1162629249_0001"</f>
        <v>PFES1162629249_0001</v>
      </c>
      <c r="L518" s="10">
        <v>1</v>
      </c>
      <c r="M518" s="10">
        <v>3</v>
      </c>
    </row>
    <row r="519" spans="1:13">
      <c r="A519" s="8">
        <v>43264</v>
      </c>
      <c r="B519" s="9">
        <v>0.59166666666666667</v>
      </c>
      <c r="C519" s="10" t="str">
        <f>"FES1162629339"</f>
        <v>FES1162629339</v>
      </c>
      <c r="D519" s="10" t="s">
        <v>19</v>
      </c>
      <c r="E519" s="10" t="s">
        <v>492</v>
      </c>
      <c r="F519" s="10" t="str">
        <f>"2170631486 "</f>
        <v xml:space="preserve">2170631486 </v>
      </c>
      <c r="G519" s="10" t="str">
        <f t="shared" si="15"/>
        <v>ON1</v>
      </c>
      <c r="H519" s="10" t="s">
        <v>21</v>
      </c>
      <c r="I519" s="10" t="s">
        <v>77</v>
      </c>
      <c r="J519" s="10" t="str">
        <f>""</f>
        <v/>
      </c>
      <c r="K519" s="10" t="str">
        <f>"PFES1162629339_0001"</f>
        <v>PFES1162629339_0001</v>
      </c>
      <c r="L519" s="10">
        <v>1</v>
      </c>
      <c r="M519" s="10">
        <v>3</v>
      </c>
    </row>
    <row r="520" spans="1:13">
      <c r="A520" s="8">
        <v>43264</v>
      </c>
      <c r="B520" s="9">
        <v>0.59097222222222223</v>
      </c>
      <c r="C520" s="10" t="str">
        <f>"FES1162629306"</f>
        <v>FES1162629306</v>
      </c>
      <c r="D520" s="10" t="s">
        <v>19</v>
      </c>
      <c r="E520" s="10" t="s">
        <v>493</v>
      </c>
      <c r="F520" s="10" t="str">
        <f>"2170636345 "</f>
        <v xml:space="preserve">2170636345 </v>
      </c>
      <c r="G520" s="10" t="str">
        <f t="shared" si="15"/>
        <v>ON1</v>
      </c>
      <c r="H520" s="10" t="s">
        <v>21</v>
      </c>
      <c r="I520" s="10" t="s">
        <v>326</v>
      </c>
      <c r="J520" s="10" t="str">
        <f>""</f>
        <v/>
      </c>
      <c r="K520" s="10" t="str">
        <f>"PFES1162629306_0001"</f>
        <v>PFES1162629306_0001</v>
      </c>
      <c r="L520" s="10">
        <v>1</v>
      </c>
      <c r="M520" s="10">
        <v>1</v>
      </c>
    </row>
    <row r="521" spans="1:13">
      <c r="A521" s="8">
        <v>43264</v>
      </c>
      <c r="B521" s="9">
        <v>0.59097222222222223</v>
      </c>
      <c r="C521" s="10" t="str">
        <f>"FES1162629338"</f>
        <v>FES1162629338</v>
      </c>
      <c r="D521" s="10" t="s">
        <v>19</v>
      </c>
      <c r="E521" s="10" t="s">
        <v>29</v>
      </c>
      <c r="F521" s="10" t="str">
        <f>"2170631442 "</f>
        <v xml:space="preserve">2170631442 </v>
      </c>
      <c r="G521" s="10" t="str">
        <f t="shared" si="15"/>
        <v>ON1</v>
      </c>
      <c r="H521" s="10" t="s">
        <v>21</v>
      </c>
      <c r="I521" s="10" t="s">
        <v>30</v>
      </c>
      <c r="J521" s="10" t="str">
        <f>""</f>
        <v/>
      </c>
      <c r="K521" s="10" t="str">
        <f>"PFES1162629338_0001"</f>
        <v>PFES1162629338_0001</v>
      </c>
      <c r="L521" s="10">
        <v>1</v>
      </c>
      <c r="M521" s="10">
        <v>3</v>
      </c>
    </row>
    <row r="522" spans="1:13">
      <c r="A522" s="8">
        <v>43264</v>
      </c>
      <c r="B522" s="9">
        <v>0.59027777777777779</v>
      </c>
      <c r="C522" s="10" t="str">
        <f>"FES1162629355"</f>
        <v>FES1162629355</v>
      </c>
      <c r="D522" s="10" t="s">
        <v>19</v>
      </c>
      <c r="E522" s="10" t="s">
        <v>494</v>
      </c>
      <c r="F522" s="10" t="str">
        <f>"217036387 "</f>
        <v xml:space="preserve">217036387 </v>
      </c>
      <c r="G522" s="10" t="str">
        <f t="shared" si="15"/>
        <v>ON1</v>
      </c>
      <c r="H522" s="10" t="s">
        <v>21</v>
      </c>
      <c r="I522" s="10" t="s">
        <v>42</v>
      </c>
      <c r="J522" s="10" t="str">
        <f>""</f>
        <v/>
      </c>
      <c r="K522" s="10" t="str">
        <f>"PFES1162629355_0001"</f>
        <v>PFES1162629355_0001</v>
      </c>
      <c r="L522" s="10">
        <v>1</v>
      </c>
      <c r="M522" s="10">
        <v>1</v>
      </c>
    </row>
    <row r="523" spans="1:13">
      <c r="A523" s="8">
        <v>43264</v>
      </c>
      <c r="B523" s="9">
        <v>0.58958333333333335</v>
      </c>
      <c r="C523" s="10" t="str">
        <f>"FES1162629346"</f>
        <v>FES1162629346</v>
      </c>
      <c r="D523" s="10" t="s">
        <v>19</v>
      </c>
      <c r="E523" s="10" t="s">
        <v>47</v>
      </c>
      <c r="F523" s="10" t="str">
        <f>"2170633153 "</f>
        <v xml:space="preserve">2170633153 </v>
      </c>
      <c r="G523" s="10" t="str">
        <f t="shared" si="15"/>
        <v>ON1</v>
      </c>
      <c r="H523" s="10" t="s">
        <v>21</v>
      </c>
      <c r="I523" s="10" t="s">
        <v>30</v>
      </c>
      <c r="J523" s="10" t="str">
        <f>""</f>
        <v/>
      </c>
      <c r="K523" s="10" t="str">
        <f>"PFES1162629346_0001"</f>
        <v>PFES1162629346_0001</v>
      </c>
      <c r="L523" s="10">
        <v>1</v>
      </c>
      <c r="M523" s="10">
        <v>9</v>
      </c>
    </row>
    <row r="524" spans="1:13">
      <c r="A524" s="8">
        <v>43264</v>
      </c>
      <c r="B524" s="9">
        <v>0.58888888888888891</v>
      </c>
      <c r="C524" s="10" t="str">
        <f>"FES1162629318"</f>
        <v>FES1162629318</v>
      </c>
      <c r="D524" s="10" t="s">
        <v>19</v>
      </c>
      <c r="E524" s="10" t="s">
        <v>495</v>
      </c>
      <c r="F524" s="10" t="str">
        <f>"2170636353 "</f>
        <v xml:space="preserve">2170636353 </v>
      </c>
      <c r="G524" s="10" t="str">
        <f t="shared" si="15"/>
        <v>ON1</v>
      </c>
      <c r="H524" s="10" t="s">
        <v>21</v>
      </c>
      <c r="I524" s="10" t="s">
        <v>38</v>
      </c>
      <c r="J524" s="10" t="str">
        <f>""</f>
        <v/>
      </c>
      <c r="K524" s="10" t="str">
        <f>"PFES1162629318_0001"</f>
        <v>PFES1162629318_0001</v>
      </c>
      <c r="L524" s="10">
        <v>1</v>
      </c>
      <c r="M524" s="10">
        <v>1</v>
      </c>
    </row>
    <row r="525" spans="1:13">
      <c r="A525" s="8">
        <v>43264</v>
      </c>
      <c r="B525" s="9">
        <v>0.58888888888888891</v>
      </c>
      <c r="C525" s="10" t="str">
        <f>"FES1162629353"</f>
        <v>FES1162629353</v>
      </c>
      <c r="D525" s="10" t="s">
        <v>19</v>
      </c>
      <c r="E525" s="10" t="s">
        <v>163</v>
      </c>
      <c r="F525" s="10" t="str">
        <f>"2170633901 "</f>
        <v xml:space="preserve">2170633901 </v>
      </c>
      <c r="G525" s="10" t="str">
        <f t="shared" si="15"/>
        <v>ON1</v>
      </c>
      <c r="H525" s="10" t="s">
        <v>21</v>
      </c>
      <c r="I525" s="10" t="s">
        <v>51</v>
      </c>
      <c r="J525" s="10" t="str">
        <f>""</f>
        <v/>
      </c>
      <c r="K525" s="10" t="str">
        <f>"PFES1162629353_0001"</f>
        <v>PFES1162629353_0001</v>
      </c>
      <c r="L525" s="10">
        <v>1</v>
      </c>
      <c r="M525" s="10">
        <v>3</v>
      </c>
    </row>
    <row r="526" spans="1:13">
      <c r="A526" s="8">
        <v>43264</v>
      </c>
      <c r="B526" s="9">
        <v>0.58819444444444446</v>
      </c>
      <c r="C526" s="10" t="str">
        <f>"FES1162629302"</f>
        <v>FES1162629302</v>
      </c>
      <c r="D526" s="10" t="s">
        <v>19</v>
      </c>
      <c r="E526" s="10" t="s">
        <v>496</v>
      </c>
      <c r="F526" s="10" t="str">
        <f>"2170636324 "</f>
        <v xml:space="preserve">2170636324 </v>
      </c>
      <c r="G526" s="10" t="str">
        <f t="shared" si="15"/>
        <v>ON1</v>
      </c>
      <c r="H526" s="10" t="s">
        <v>21</v>
      </c>
      <c r="I526" s="10" t="s">
        <v>497</v>
      </c>
      <c r="J526" s="10" t="str">
        <f>""</f>
        <v/>
      </c>
      <c r="K526" s="10" t="str">
        <f>"PFES1162629302_0001"</f>
        <v>PFES1162629302_0001</v>
      </c>
      <c r="L526" s="10">
        <v>1</v>
      </c>
      <c r="M526" s="10">
        <v>1</v>
      </c>
    </row>
    <row r="527" spans="1:13">
      <c r="A527" s="8">
        <v>43264</v>
      </c>
      <c r="B527" s="9">
        <v>0.58819444444444446</v>
      </c>
      <c r="C527" s="10" t="str">
        <f>"FES1162629404"</f>
        <v>FES1162629404</v>
      </c>
      <c r="D527" s="10" t="s">
        <v>19</v>
      </c>
      <c r="E527" s="10" t="s">
        <v>498</v>
      </c>
      <c r="F527" s="10" t="str">
        <f>"217063644 "</f>
        <v xml:space="preserve">217063644 </v>
      </c>
      <c r="G527" s="10" t="str">
        <f t="shared" si="15"/>
        <v>ON1</v>
      </c>
      <c r="H527" s="10" t="s">
        <v>21</v>
      </c>
      <c r="I527" s="10" t="s">
        <v>55</v>
      </c>
      <c r="J527" s="10" t="str">
        <f>""</f>
        <v/>
      </c>
      <c r="K527" s="10" t="str">
        <f>"PFES1162629404_0001"</f>
        <v>PFES1162629404_0001</v>
      </c>
      <c r="L527" s="10">
        <v>1</v>
      </c>
      <c r="M527" s="10">
        <v>1</v>
      </c>
    </row>
    <row r="528" spans="1:13">
      <c r="A528" s="8">
        <v>43264</v>
      </c>
      <c r="B528" s="9">
        <v>0.58750000000000002</v>
      </c>
      <c r="C528" s="10" t="str">
        <f>"FES1162629412"</f>
        <v>FES1162629412</v>
      </c>
      <c r="D528" s="10" t="s">
        <v>19</v>
      </c>
      <c r="E528" s="10" t="s">
        <v>302</v>
      </c>
      <c r="F528" s="10" t="str">
        <f>"217063452 "</f>
        <v xml:space="preserve">217063452 </v>
      </c>
      <c r="G528" s="10" t="str">
        <f t="shared" si="15"/>
        <v>ON1</v>
      </c>
      <c r="H528" s="10" t="s">
        <v>21</v>
      </c>
      <c r="I528" s="10" t="s">
        <v>303</v>
      </c>
      <c r="J528" s="10" t="str">
        <f>""</f>
        <v/>
      </c>
      <c r="K528" s="10" t="str">
        <f>"PFES1162629412_0001"</f>
        <v>PFES1162629412_0001</v>
      </c>
      <c r="L528" s="10">
        <v>1</v>
      </c>
      <c r="M528" s="10">
        <v>1</v>
      </c>
    </row>
    <row r="529" spans="1:13">
      <c r="A529" s="8">
        <v>43264</v>
      </c>
      <c r="B529" s="9">
        <v>0.58750000000000002</v>
      </c>
      <c r="C529" s="10" t="str">
        <f>"FES1162629257"</f>
        <v>FES1162629257</v>
      </c>
      <c r="D529" s="10" t="s">
        <v>19</v>
      </c>
      <c r="E529" s="10" t="s">
        <v>434</v>
      </c>
      <c r="F529" s="10" t="str">
        <f>"2170636288 "</f>
        <v xml:space="preserve">2170636288 </v>
      </c>
      <c r="G529" s="10" t="str">
        <f t="shared" si="15"/>
        <v>ON1</v>
      </c>
      <c r="H529" s="10" t="s">
        <v>21</v>
      </c>
      <c r="I529" s="10" t="s">
        <v>349</v>
      </c>
      <c r="J529" s="10" t="str">
        <f>""</f>
        <v/>
      </c>
      <c r="K529" s="10" t="str">
        <f>"PFES1162629257_0001"</f>
        <v>PFES1162629257_0001</v>
      </c>
      <c r="L529" s="10">
        <v>1</v>
      </c>
      <c r="M529" s="10">
        <v>3</v>
      </c>
    </row>
    <row r="530" spans="1:13">
      <c r="A530" s="8">
        <v>43264</v>
      </c>
      <c r="B530" s="9">
        <v>0.58680555555555558</v>
      </c>
      <c r="C530" s="10" t="str">
        <f>"FES1162629312"</f>
        <v>FES1162629312</v>
      </c>
      <c r="D530" s="10" t="s">
        <v>19</v>
      </c>
      <c r="E530" s="10" t="s">
        <v>62</v>
      </c>
      <c r="F530" s="10" t="str">
        <f>"2170636359 "</f>
        <v xml:space="preserve">2170636359 </v>
      </c>
      <c r="G530" s="10" t="str">
        <f t="shared" si="15"/>
        <v>ON1</v>
      </c>
      <c r="H530" s="10" t="s">
        <v>21</v>
      </c>
      <c r="I530" s="10" t="s">
        <v>63</v>
      </c>
      <c r="J530" s="10" t="str">
        <f>""</f>
        <v/>
      </c>
      <c r="K530" s="10" t="str">
        <f>"PFES1162629312_0001"</f>
        <v>PFES1162629312_0001</v>
      </c>
      <c r="L530" s="10">
        <v>1</v>
      </c>
      <c r="M530" s="10">
        <v>1</v>
      </c>
    </row>
    <row r="531" spans="1:13">
      <c r="A531" s="8">
        <v>43264</v>
      </c>
      <c r="B531" s="9">
        <v>0.58680555555555558</v>
      </c>
      <c r="C531" s="10" t="str">
        <f>"FES1162629277"</f>
        <v>FES1162629277</v>
      </c>
      <c r="D531" s="10" t="s">
        <v>19</v>
      </c>
      <c r="E531" s="10" t="s">
        <v>499</v>
      </c>
      <c r="F531" s="10" t="str">
        <f>"2170636314 "</f>
        <v xml:space="preserve">2170636314 </v>
      </c>
      <c r="G531" s="10" t="str">
        <f t="shared" si="15"/>
        <v>ON1</v>
      </c>
      <c r="H531" s="10" t="s">
        <v>21</v>
      </c>
      <c r="I531" s="10" t="s">
        <v>158</v>
      </c>
      <c r="J531" s="10" t="str">
        <f>""</f>
        <v/>
      </c>
      <c r="K531" s="10" t="str">
        <f>"PFES1162629277_0001"</f>
        <v>PFES1162629277_0001</v>
      </c>
      <c r="L531" s="10">
        <v>1</v>
      </c>
      <c r="M531" s="10">
        <v>4</v>
      </c>
    </row>
    <row r="532" spans="1:13">
      <c r="A532" s="8">
        <v>43264</v>
      </c>
      <c r="B532" s="9">
        <v>0.58611111111111114</v>
      </c>
      <c r="C532" s="10" t="str">
        <f>"FES1162629393"</f>
        <v>FES1162629393</v>
      </c>
      <c r="D532" s="10" t="s">
        <v>19</v>
      </c>
      <c r="E532" s="10" t="s">
        <v>80</v>
      </c>
      <c r="F532" s="10" t="str">
        <f>"2170635924 "</f>
        <v xml:space="preserve">2170635924 </v>
      </c>
      <c r="G532" s="10" t="str">
        <f t="shared" si="15"/>
        <v>ON1</v>
      </c>
      <c r="H532" s="10" t="s">
        <v>21</v>
      </c>
      <c r="I532" s="10" t="s">
        <v>81</v>
      </c>
      <c r="J532" s="10" t="str">
        <f>""</f>
        <v/>
      </c>
      <c r="K532" s="10" t="str">
        <f>"PFES1162629393_0001"</f>
        <v>PFES1162629393_0001</v>
      </c>
      <c r="L532" s="10">
        <v>1</v>
      </c>
      <c r="M532" s="10">
        <v>1</v>
      </c>
    </row>
    <row r="533" spans="1:13">
      <c r="A533" s="8">
        <v>43264</v>
      </c>
      <c r="B533" s="9">
        <v>0.58611111111111114</v>
      </c>
      <c r="C533" s="10" t="str">
        <f>"FES1162629298"</f>
        <v>FES1162629298</v>
      </c>
      <c r="D533" s="10" t="s">
        <v>19</v>
      </c>
      <c r="E533" s="10" t="s">
        <v>500</v>
      </c>
      <c r="F533" s="10" t="str">
        <f>"2170636338 "</f>
        <v xml:space="preserve">2170636338 </v>
      </c>
      <c r="G533" s="10" t="str">
        <f t="shared" si="15"/>
        <v>ON1</v>
      </c>
      <c r="H533" s="10" t="s">
        <v>21</v>
      </c>
      <c r="I533" s="10" t="s">
        <v>83</v>
      </c>
      <c r="J533" s="10" t="str">
        <f>""</f>
        <v/>
      </c>
      <c r="K533" s="10" t="str">
        <f>"PFES1162629298_0001"</f>
        <v>PFES1162629298_0001</v>
      </c>
      <c r="L533" s="10">
        <v>1</v>
      </c>
      <c r="M533" s="10">
        <v>1</v>
      </c>
    </row>
    <row r="534" spans="1:13">
      <c r="A534" s="8">
        <v>43264</v>
      </c>
      <c r="B534" s="9">
        <v>0.5854166666666667</v>
      </c>
      <c r="C534" s="10" t="str">
        <f>"FES1162629397"</f>
        <v>FES1162629397</v>
      </c>
      <c r="D534" s="10" t="s">
        <v>19</v>
      </c>
      <c r="E534" s="10" t="s">
        <v>145</v>
      </c>
      <c r="F534" s="10" t="str">
        <f>"2170636437 "</f>
        <v xml:space="preserve">2170636437 </v>
      </c>
      <c r="G534" s="10" t="str">
        <f t="shared" si="15"/>
        <v>ON1</v>
      </c>
      <c r="H534" s="10" t="s">
        <v>21</v>
      </c>
      <c r="I534" s="10" t="s">
        <v>146</v>
      </c>
      <c r="J534" s="10" t="str">
        <f>""</f>
        <v/>
      </c>
      <c r="K534" s="10" t="str">
        <f>"PFES1162629397_0001"</f>
        <v>PFES1162629397_0001</v>
      </c>
      <c r="L534" s="10">
        <v>1</v>
      </c>
      <c r="M534" s="10">
        <v>1</v>
      </c>
    </row>
    <row r="535" spans="1:13">
      <c r="A535" s="8">
        <v>43264</v>
      </c>
      <c r="B535" s="9">
        <v>0.58472222222222225</v>
      </c>
      <c r="C535" s="10" t="str">
        <f>"FES1162629375"</f>
        <v>FES1162629375</v>
      </c>
      <c r="D535" s="10" t="s">
        <v>19</v>
      </c>
      <c r="E535" s="10" t="s">
        <v>501</v>
      </c>
      <c r="F535" s="10" t="str">
        <f>"2170636412 "</f>
        <v xml:space="preserve">2170636412 </v>
      </c>
      <c r="G535" s="10" t="str">
        <f t="shared" si="15"/>
        <v>ON1</v>
      </c>
      <c r="H535" s="10" t="s">
        <v>21</v>
      </c>
      <c r="I535" s="10" t="s">
        <v>75</v>
      </c>
      <c r="J535" s="10" t="str">
        <f>""</f>
        <v/>
      </c>
      <c r="K535" s="10" t="str">
        <f>"PFES1162629375_0001"</f>
        <v>PFES1162629375_0001</v>
      </c>
      <c r="L535" s="10">
        <v>1</v>
      </c>
      <c r="M535" s="10">
        <v>18</v>
      </c>
    </row>
    <row r="536" spans="1:13">
      <c r="A536" s="8">
        <v>43264</v>
      </c>
      <c r="B536" s="9">
        <v>0.58333333333333337</v>
      </c>
      <c r="C536" s="10" t="str">
        <f>"FES1162629316"</f>
        <v>FES1162629316</v>
      </c>
      <c r="D536" s="10" t="s">
        <v>19</v>
      </c>
      <c r="E536" s="10" t="s">
        <v>502</v>
      </c>
      <c r="F536" s="10" t="str">
        <f>"2170636344 "</f>
        <v xml:space="preserve">2170636344 </v>
      </c>
      <c r="G536" s="10" t="str">
        <f t="shared" si="15"/>
        <v>ON1</v>
      </c>
      <c r="H536" s="10" t="s">
        <v>21</v>
      </c>
      <c r="I536" s="10" t="s">
        <v>112</v>
      </c>
      <c r="J536" s="10" t="str">
        <f>""</f>
        <v/>
      </c>
      <c r="K536" s="10" t="str">
        <f>"PFES1162629316_0001"</f>
        <v>PFES1162629316_0001</v>
      </c>
      <c r="L536" s="10">
        <v>1</v>
      </c>
      <c r="M536" s="10">
        <v>2</v>
      </c>
    </row>
    <row r="537" spans="1:13">
      <c r="A537" s="8">
        <v>43264</v>
      </c>
      <c r="B537" s="9">
        <v>0.58263888888888882</v>
      </c>
      <c r="C537" s="10" t="str">
        <f>"FES1162629351"</f>
        <v>FES1162629351</v>
      </c>
      <c r="D537" s="10" t="s">
        <v>19</v>
      </c>
      <c r="E537" s="10" t="s">
        <v>268</v>
      </c>
      <c r="F537" s="10" t="str">
        <f>"2170636382 "</f>
        <v xml:space="preserve">2170636382 </v>
      </c>
      <c r="G537" s="10" t="str">
        <f t="shared" si="15"/>
        <v>ON1</v>
      </c>
      <c r="H537" s="10" t="s">
        <v>21</v>
      </c>
      <c r="I537" s="10" t="s">
        <v>269</v>
      </c>
      <c r="J537" s="10" t="str">
        <f>""</f>
        <v/>
      </c>
      <c r="K537" s="10" t="str">
        <f>"PFES1162629351_0001"</f>
        <v>PFES1162629351_0001</v>
      </c>
      <c r="L537" s="10">
        <v>1</v>
      </c>
      <c r="M537" s="10">
        <v>10</v>
      </c>
    </row>
    <row r="538" spans="1:13">
      <c r="A538" s="8">
        <v>43264</v>
      </c>
      <c r="B538" s="9">
        <v>0.58124999999999993</v>
      </c>
      <c r="C538" s="10" t="str">
        <f>"FES1162629340"</f>
        <v>FES1162629340</v>
      </c>
      <c r="D538" s="10" t="s">
        <v>19</v>
      </c>
      <c r="E538" s="10" t="s">
        <v>33</v>
      </c>
      <c r="F538" s="10" t="str">
        <f>"2170631771 "</f>
        <v xml:space="preserve">2170631771 </v>
      </c>
      <c r="G538" s="10" t="str">
        <f t="shared" si="15"/>
        <v>ON1</v>
      </c>
      <c r="H538" s="10" t="s">
        <v>21</v>
      </c>
      <c r="I538" s="10" t="s">
        <v>34</v>
      </c>
      <c r="J538" s="10" t="str">
        <f>""</f>
        <v/>
      </c>
      <c r="K538" s="10" t="str">
        <f>"PFES1162629340_0001"</f>
        <v>PFES1162629340_0001</v>
      </c>
      <c r="L538" s="10">
        <v>1</v>
      </c>
      <c r="M538" s="10">
        <v>7</v>
      </c>
    </row>
    <row r="539" spans="1:13">
      <c r="A539" s="8">
        <v>43264</v>
      </c>
      <c r="B539" s="9">
        <v>0.5805555555555556</v>
      </c>
      <c r="C539" s="10" t="str">
        <f>"FES1162629325"</f>
        <v>FES1162629325</v>
      </c>
      <c r="D539" s="10" t="s">
        <v>19</v>
      </c>
      <c r="E539" s="10" t="s">
        <v>503</v>
      </c>
      <c r="F539" s="10" t="str">
        <f>"2170636372 "</f>
        <v xml:space="preserve">2170636372 </v>
      </c>
      <c r="G539" s="10" t="str">
        <f t="shared" si="15"/>
        <v>ON1</v>
      </c>
      <c r="H539" s="10" t="s">
        <v>21</v>
      </c>
      <c r="I539" s="10" t="s">
        <v>158</v>
      </c>
      <c r="J539" s="10" t="str">
        <f>""</f>
        <v/>
      </c>
      <c r="K539" s="10" t="str">
        <f>"PFES1162629325_0001"</f>
        <v>PFES1162629325_0001</v>
      </c>
      <c r="L539" s="10">
        <v>1</v>
      </c>
      <c r="M539" s="10">
        <v>3</v>
      </c>
    </row>
    <row r="540" spans="1:13">
      <c r="A540" s="8">
        <v>43264</v>
      </c>
      <c r="B540" s="9">
        <v>0.57916666666666672</v>
      </c>
      <c r="C540" s="10" t="str">
        <f>"FES1162629317"</f>
        <v>FES1162629317</v>
      </c>
      <c r="D540" s="10" t="s">
        <v>19</v>
      </c>
      <c r="E540" s="10" t="s">
        <v>504</v>
      </c>
      <c r="F540" s="10" t="str">
        <f>"2170636346 "</f>
        <v xml:space="preserve">2170636346 </v>
      </c>
      <c r="G540" s="10" t="str">
        <f t="shared" si="15"/>
        <v>ON1</v>
      </c>
      <c r="H540" s="10" t="s">
        <v>21</v>
      </c>
      <c r="I540" s="10" t="s">
        <v>292</v>
      </c>
      <c r="J540" s="10" t="str">
        <f>""</f>
        <v/>
      </c>
      <c r="K540" s="10" t="str">
        <f>"PFES1162629317_0001"</f>
        <v>PFES1162629317_0001</v>
      </c>
      <c r="L540" s="10">
        <v>1</v>
      </c>
      <c r="M540" s="10">
        <v>6</v>
      </c>
    </row>
    <row r="541" spans="1:13">
      <c r="A541" s="8">
        <v>43264</v>
      </c>
      <c r="B541" s="9">
        <v>0.57847222222222217</v>
      </c>
      <c r="C541" s="10" t="str">
        <f>"FES1162629219"</f>
        <v>FES1162629219</v>
      </c>
      <c r="D541" s="10" t="s">
        <v>19</v>
      </c>
      <c r="E541" s="10" t="s">
        <v>188</v>
      </c>
      <c r="F541" s="10" t="str">
        <f>"2170633041 "</f>
        <v xml:space="preserve">2170633041 </v>
      </c>
      <c r="G541" s="10" t="str">
        <f t="shared" si="15"/>
        <v>ON1</v>
      </c>
      <c r="H541" s="10" t="s">
        <v>21</v>
      </c>
      <c r="I541" s="10" t="s">
        <v>189</v>
      </c>
      <c r="J541" s="10" t="str">
        <f>""</f>
        <v/>
      </c>
      <c r="K541" s="10" t="str">
        <f>"PFES1162629219_0001"</f>
        <v>PFES1162629219_0001</v>
      </c>
      <c r="L541" s="10">
        <v>1</v>
      </c>
      <c r="M541" s="10">
        <v>5</v>
      </c>
    </row>
    <row r="542" spans="1:13">
      <c r="A542" s="8">
        <v>43264</v>
      </c>
      <c r="B542" s="9">
        <v>0.57361111111111118</v>
      </c>
      <c r="C542" s="10" t="str">
        <f>"FES1162629347"</f>
        <v>FES1162629347</v>
      </c>
      <c r="D542" s="10" t="s">
        <v>19</v>
      </c>
      <c r="E542" s="10" t="s">
        <v>505</v>
      </c>
      <c r="F542" s="10" t="str">
        <f>"2170633361 "</f>
        <v xml:space="preserve">2170633361 </v>
      </c>
      <c r="G542" s="10" t="str">
        <f t="shared" si="15"/>
        <v>ON1</v>
      </c>
      <c r="H542" s="10" t="s">
        <v>21</v>
      </c>
      <c r="I542" s="10" t="s">
        <v>480</v>
      </c>
      <c r="J542" s="10" t="str">
        <f>""</f>
        <v/>
      </c>
      <c r="K542" s="10" t="str">
        <f>"PFES1162629347_0001"</f>
        <v>PFES1162629347_0001</v>
      </c>
      <c r="L542" s="10">
        <v>1</v>
      </c>
      <c r="M542" s="10">
        <v>3</v>
      </c>
    </row>
    <row r="543" spans="1:13">
      <c r="A543" s="8">
        <v>43264</v>
      </c>
      <c r="B543" s="9">
        <v>0.57291666666666663</v>
      </c>
      <c r="C543" s="10" t="str">
        <f>"FES1162629220"</f>
        <v>FES1162629220</v>
      </c>
      <c r="D543" s="10" t="s">
        <v>19</v>
      </c>
      <c r="E543" s="10" t="s">
        <v>188</v>
      </c>
      <c r="F543" s="10" t="str">
        <f>"2170633048 "</f>
        <v xml:space="preserve">2170633048 </v>
      </c>
      <c r="G543" s="10" t="str">
        <f t="shared" si="15"/>
        <v>ON1</v>
      </c>
      <c r="H543" s="10" t="s">
        <v>21</v>
      </c>
      <c r="I543" s="10" t="s">
        <v>189</v>
      </c>
      <c r="J543" s="10" t="str">
        <f>""</f>
        <v/>
      </c>
      <c r="K543" s="10" t="str">
        <f>"PFES1162629220_0001"</f>
        <v>PFES1162629220_0001</v>
      </c>
      <c r="L543" s="10">
        <v>1</v>
      </c>
      <c r="M543" s="10">
        <v>7</v>
      </c>
    </row>
    <row r="544" spans="1:13">
      <c r="A544" s="8">
        <v>43264</v>
      </c>
      <c r="B544" s="9">
        <v>0.57222222222222219</v>
      </c>
      <c r="C544" s="10" t="str">
        <f>"FES1162629336"</f>
        <v>FES1162629336</v>
      </c>
      <c r="D544" s="10" t="s">
        <v>19</v>
      </c>
      <c r="E544" s="10" t="s">
        <v>506</v>
      </c>
      <c r="F544" s="10" t="str">
        <f>"2170630799 "</f>
        <v xml:space="preserve">2170630799 </v>
      </c>
      <c r="G544" s="10" t="str">
        <f t="shared" si="15"/>
        <v>ON1</v>
      </c>
      <c r="H544" s="10" t="s">
        <v>21</v>
      </c>
      <c r="I544" s="10" t="s">
        <v>26</v>
      </c>
      <c r="J544" s="10" t="str">
        <f>""</f>
        <v/>
      </c>
      <c r="K544" s="10" t="str">
        <f>"PFES1162629336_0001"</f>
        <v>PFES1162629336_0001</v>
      </c>
      <c r="L544" s="10">
        <v>1</v>
      </c>
      <c r="M544" s="10">
        <v>3</v>
      </c>
    </row>
    <row r="545" spans="1:13">
      <c r="A545" s="8">
        <v>43264</v>
      </c>
      <c r="B545" s="9">
        <v>0.57013888888888886</v>
      </c>
      <c r="C545" s="10" t="str">
        <f>"FES1162629374"</f>
        <v>FES1162629374</v>
      </c>
      <c r="D545" s="10" t="s">
        <v>19</v>
      </c>
      <c r="E545" s="10" t="s">
        <v>507</v>
      </c>
      <c r="F545" s="10" t="str">
        <f>"2170636411 "</f>
        <v xml:space="preserve">2170636411 </v>
      </c>
      <c r="G545" s="10" t="str">
        <f t="shared" si="15"/>
        <v>ON1</v>
      </c>
      <c r="H545" s="10" t="s">
        <v>21</v>
      </c>
      <c r="I545" s="10" t="s">
        <v>26</v>
      </c>
      <c r="J545" s="10" t="str">
        <f>""</f>
        <v/>
      </c>
      <c r="K545" s="10" t="str">
        <f>"PFES1162629374_0001"</f>
        <v>PFES1162629374_0001</v>
      </c>
      <c r="L545" s="10">
        <v>1</v>
      </c>
      <c r="M545" s="10">
        <v>2</v>
      </c>
    </row>
    <row r="546" spans="1:13">
      <c r="A546" s="8">
        <v>43264</v>
      </c>
      <c r="B546" s="9">
        <v>0.56597222222222221</v>
      </c>
      <c r="C546" s="10" t="str">
        <f>"FES1162629389"</f>
        <v>FES1162629389</v>
      </c>
      <c r="D546" s="10" t="s">
        <v>19</v>
      </c>
      <c r="E546" s="10" t="s">
        <v>117</v>
      </c>
      <c r="F546" s="10" t="str">
        <f>"2170636427 "</f>
        <v xml:space="preserve">2170636427 </v>
      </c>
      <c r="G546" s="10" t="str">
        <f t="shared" si="15"/>
        <v>ON1</v>
      </c>
      <c r="H546" s="10" t="s">
        <v>21</v>
      </c>
      <c r="I546" s="10" t="s">
        <v>118</v>
      </c>
      <c r="J546" s="10" t="str">
        <f>""</f>
        <v/>
      </c>
      <c r="K546" s="10" t="str">
        <f>"PFES1162629389_0001"</f>
        <v>PFES1162629389_0001</v>
      </c>
      <c r="L546" s="10">
        <v>1</v>
      </c>
      <c r="M546" s="10">
        <v>4</v>
      </c>
    </row>
    <row r="547" spans="1:13">
      <c r="A547" s="8">
        <v>43264</v>
      </c>
      <c r="B547" s="9">
        <v>0.55625000000000002</v>
      </c>
      <c r="C547" s="10" t="str">
        <f>"FES1162629323"</f>
        <v>FES1162629323</v>
      </c>
      <c r="D547" s="10" t="s">
        <v>19</v>
      </c>
      <c r="E547" s="10" t="s">
        <v>499</v>
      </c>
      <c r="F547" s="10" t="str">
        <f>"2170636369 "</f>
        <v xml:space="preserve">2170636369 </v>
      </c>
      <c r="G547" s="10" t="str">
        <f t="shared" si="15"/>
        <v>ON1</v>
      </c>
      <c r="H547" s="10" t="s">
        <v>21</v>
      </c>
      <c r="I547" s="10" t="s">
        <v>158</v>
      </c>
      <c r="J547" s="10" t="str">
        <f>""</f>
        <v/>
      </c>
      <c r="K547" s="10" t="str">
        <f>"PFES1162629323_0001"</f>
        <v>PFES1162629323_0001</v>
      </c>
      <c r="L547" s="10">
        <v>1</v>
      </c>
      <c r="M547" s="10">
        <v>1</v>
      </c>
    </row>
    <row r="548" spans="1:13">
      <c r="A548" s="8">
        <v>43264</v>
      </c>
      <c r="B548" s="9">
        <v>0.55555555555555558</v>
      </c>
      <c r="C548" s="10" t="str">
        <f>"FES1162629307"</f>
        <v>FES1162629307</v>
      </c>
      <c r="D548" s="10" t="s">
        <v>19</v>
      </c>
      <c r="E548" s="10" t="s">
        <v>508</v>
      </c>
      <c r="F548" s="10" t="str">
        <f>"2170636307 "</f>
        <v xml:space="preserve">2170636307 </v>
      </c>
      <c r="G548" s="10" t="str">
        <f t="shared" si="15"/>
        <v>ON1</v>
      </c>
      <c r="H548" s="10" t="s">
        <v>21</v>
      </c>
      <c r="I548" s="10" t="s">
        <v>230</v>
      </c>
      <c r="J548" s="10" t="str">
        <f>""</f>
        <v/>
      </c>
      <c r="K548" s="10" t="str">
        <f>"PFES1162629307_0001"</f>
        <v>PFES1162629307_0001</v>
      </c>
      <c r="L548" s="10">
        <v>1</v>
      </c>
      <c r="M548" s="10">
        <v>1</v>
      </c>
    </row>
    <row r="549" spans="1:13">
      <c r="A549" s="8">
        <v>43264</v>
      </c>
      <c r="B549" s="9">
        <v>0.55555555555555558</v>
      </c>
      <c r="C549" s="10" t="str">
        <f>"FES1162629263"</f>
        <v>FES1162629263</v>
      </c>
      <c r="D549" s="10" t="s">
        <v>19</v>
      </c>
      <c r="E549" s="10" t="s">
        <v>509</v>
      </c>
      <c r="F549" s="10" t="str">
        <f>"2170636295 "</f>
        <v xml:space="preserve">2170636295 </v>
      </c>
      <c r="G549" s="10" t="str">
        <f t="shared" si="15"/>
        <v>ON1</v>
      </c>
      <c r="H549" s="10" t="s">
        <v>21</v>
      </c>
      <c r="I549" s="10" t="s">
        <v>53</v>
      </c>
      <c r="J549" s="10" t="str">
        <f>""</f>
        <v/>
      </c>
      <c r="K549" s="10" t="str">
        <f>"PFES1162629263_0001"</f>
        <v>PFES1162629263_0001</v>
      </c>
      <c r="L549" s="10">
        <v>1</v>
      </c>
      <c r="M549" s="10">
        <v>1</v>
      </c>
    </row>
    <row r="550" spans="1:13">
      <c r="A550" s="8">
        <v>43264</v>
      </c>
      <c r="B550" s="9">
        <v>0.55486111111111114</v>
      </c>
      <c r="C550" s="10" t="str">
        <f>"FES1162629371"</f>
        <v>FES1162629371</v>
      </c>
      <c r="D550" s="10" t="s">
        <v>19</v>
      </c>
      <c r="E550" s="10" t="s">
        <v>56</v>
      </c>
      <c r="F550" s="10" t="str">
        <f>"2170636330 "</f>
        <v xml:space="preserve">2170636330 </v>
      </c>
      <c r="G550" s="10" t="str">
        <f t="shared" si="15"/>
        <v>ON1</v>
      </c>
      <c r="H550" s="10" t="s">
        <v>21</v>
      </c>
      <c r="I550" s="10" t="s">
        <v>57</v>
      </c>
      <c r="J550" s="10" t="str">
        <f>""</f>
        <v/>
      </c>
      <c r="K550" s="10" t="str">
        <f>"PFES1162629371_0001"</f>
        <v>PFES1162629371_0001</v>
      </c>
      <c r="L550" s="10">
        <v>1</v>
      </c>
      <c r="M550" s="10">
        <v>1</v>
      </c>
    </row>
    <row r="551" spans="1:13">
      <c r="A551" s="8">
        <v>43264</v>
      </c>
      <c r="B551" s="9">
        <v>0.55486111111111114</v>
      </c>
      <c r="C551" s="10" t="str">
        <f>"FES1162629356"</f>
        <v>FES1162629356</v>
      </c>
      <c r="D551" s="10" t="s">
        <v>19</v>
      </c>
      <c r="E551" s="10" t="s">
        <v>510</v>
      </c>
      <c r="F551" s="10" t="str">
        <f>"2170636390 "</f>
        <v xml:space="preserve">2170636390 </v>
      </c>
      <c r="G551" s="10" t="str">
        <f t="shared" si="15"/>
        <v>ON1</v>
      </c>
      <c r="H551" s="10" t="s">
        <v>21</v>
      </c>
      <c r="I551" s="10" t="s">
        <v>209</v>
      </c>
      <c r="J551" s="10" t="str">
        <f>""</f>
        <v/>
      </c>
      <c r="K551" s="10" t="str">
        <f>"PFES1162629356_0001"</f>
        <v>PFES1162629356_0001</v>
      </c>
      <c r="L551" s="10">
        <v>1</v>
      </c>
      <c r="M551" s="10">
        <v>1</v>
      </c>
    </row>
    <row r="552" spans="1:13">
      <c r="A552" s="8">
        <v>43264</v>
      </c>
      <c r="B552" s="9">
        <v>0.5541666666666667</v>
      </c>
      <c r="C552" s="10" t="str">
        <f>"FES1162629299"</f>
        <v>FES1162629299</v>
      </c>
      <c r="D552" s="10" t="s">
        <v>19</v>
      </c>
      <c r="E552" s="10" t="s">
        <v>117</v>
      </c>
      <c r="F552" s="10" t="str">
        <f>"2170636340 "</f>
        <v xml:space="preserve">2170636340 </v>
      </c>
      <c r="G552" s="10" t="str">
        <f t="shared" si="15"/>
        <v>ON1</v>
      </c>
      <c r="H552" s="10" t="s">
        <v>21</v>
      </c>
      <c r="I552" s="10" t="s">
        <v>118</v>
      </c>
      <c r="J552" s="10" t="str">
        <f>""</f>
        <v/>
      </c>
      <c r="K552" s="10" t="str">
        <f>"PFES1162629299_0001"</f>
        <v>PFES1162629299_0001</v>
      </c>
      <c r="L552" s="10">
        <v>1</v>
      </c>
      <c r="M552" s="10">
        <v>1</v>
      </c>
    </row>
    <row r="553" spans="1:13">
      <c r="A553" s="8">
        <v>43264</v>
      </c>
      <c r="B553" s="9">
        <v>0.55347222222222225</v>
      </c>
      <c r="C553" s="10" t="str">
        <f>"FES1162629267"</f>
        <v>FES1162629267</v>
      </c>
      <c r="D553" s="10" t="s">
        <v>19</v>
      </c>
      <c r="E553" s="10" t="s">
        <v>214</v>
      </c>
      <c r="F553" s="10" t="str">
        <f>"2170635071 "</f>
        <v xml:space="preserve">2170635071 </v>
      </c>
      <c r="G553" s="10" t="str">
        <f t="shared" si="15"/>
        <v>ON1</v>
      </c>
      <c r="H553" s="10" t="s">
        <v>21</v>
      </c>
      <c r="I553" s="10" t="s">
        <v>215</v>
      </c>
      <c r="J553" s="10" t="str">
        <f>""</f>
        <v/>
      </c>
      <c r="K553" s="10" t="str">
        <f>"PFES1162629267_0001"</f>
        <v>PFES1162629267_0001</v>
      </c>
      <c r="L553" s="10">
        <v>1</v>
      </c>
      <c r="M553" s="10">
        <v>1</v>
      </c>
    </row>
    <row r="554" spans="1:13">
      <c r="A554" s="8">
        <v>43264</v>
      </c>
      <c r="B554" s="9">
        <v>0.55347222222222225</v>
      </c>
      <c r="C554" s="10" t="str">
        <f>"FES1162629273"</f>
        <v>FES1162629273</v>
      </c>
      <c r="D554" s="10" t="s">
        <v>19</v>
      </c>
      <c r="E554" s="10" t="s">
        <v>372</v>
      </c>
      <c r="F554" s="10" t="str">
        <f>"2170636305 "</f>
        <v xml:space="preserve">2170636305 </v>
      </c>
      <c r="G554" s="10" t="str">
        <f t="shared" si="15"/>
        <v>ON1</v>
      </c>
      <c r="H554" s="10" t="s">
        <v>21</v>
      </c>
      <c r="I554" s="10" t="s">
        <v>93</v>
      </c>
      <c r="J554" s="10" t="str">
        <f>""</f>
        <v/>
      </c>
      <c r="K554" s="10" t="str">
        <f>"PFES1162629273_0001"</f>
        <v>PFES1162629273_0001</v>
      </c>
      <c r="L554" s="10">
        <v>1</v>
      </c>
      <c r="M554" s="10">
        <v>1</v>
      </c>
    </row>
    <row r="555" spans="1:13">
      <c r="A555" s="8">
        <v>43264</v>
      </c>
      <c r="B555" s="9">
        <v>0.55277777777777781</v>
      </c>
      <c r="C555" s="10" t="str">
        <f>"FES1162629321"</f>
        <v>FES1162629321</v>
      </c>
      <c r="D555" s="10" t="s">
        <v>19</v>
      </c>
      <c r="E555" s="10" t="s">
        <v>511</v>
      </c>
      <c r="F555" s="10" t="str">
        <f>"2170636365 "</f>
        <v xml:space="preserve">2170636365 </v>
      </c>
      <c r="G555" s="10" t="str">
        <f t="shared" si="15"/>
        <v>ON1</v>
      </c>
      <c r="H555" s="10" t="s">
        <v>21</v>
      </c>
      <c r="I555" s="10" t="s">
        <v>487</v>
      </c>
      <c r="J555" s="10" t="str">
        <f>""</f>
        <v/>
      </c>
      <c r="K555" s="10" t="str">
        <f>"PFES1162629321_0001"</f>
        <v>PFES1162629321_0001</v>
      </c>
      <c r="L555" s="10">
        <v>1</v>
      </c>
      <c r="M555" s="10">
        <v>1</v>
      </c>
    </row>
    <row r="556" spans="1:13">
      <c r="A556" s="8">
        <v>43264</v>
      </c>
      <c r="B556" s="9">
        <v>0.55208333333333337</v>
      </c>
      <c r="C556" s="10" t="str">
        <f>"FES1162629255"</f>
        <v>FES1162629255</v>
      </c>
      <c r="D556" s="10" t="s">
        <v>19</v>
      </c>
      <c r="E556" s="10" t="s">
        <v>512</v>
      </c>
      <c r="F556" s="10" t="str">
        <f>"2170636286 "</f>
        <v xml:space="preserve">2170636286 </v>
      </c>
      <c r="G556" s="10" t="str">
        <f t="shared" si="15"/>
        <v>ON1</v>
      </c>
      <c r="H556" s="10" t="s">
        <v>21</v>
      </c>
      <c r="I556" s="10" t="s">
        <v>131</v>
      </c>
      <c r="J556" s="10" t="str">
        <f>""</f>
        <v/>
      </c>
      <c r="K556" s="10" t="str">
        <f>"PFES1162629255_0001"</f>
        <v>PFES1162629255_0001</v>
      </c>
      <c r="L556" s="10">
        <v>1</v>
      </c>
      <c r="M556" s="10">
        <v>1</v>
      </c>
    </row>
    <row r="557" spans="1:13">
      <c r="A557" s="8">
        <v>43264</v>
      </c>
      <c r="B557" s="9">
        <v>0.55138888888888882</v>
      </c>
      <c r="C557" s="10" t="str">
        <f>"FES1162629308"</f>
        <v>FES1162629308</v>
      </c>
      <c r="D557" s="10" t="s">
        <v>19</v>
      </c>
      <c r="E557" s="10" t="s">
        <v>122</v>
      </c>
      <c r="F557" s="10" t="str">
        <f>"2170636315 "</f>
        <v xml:space="preserve">2170636315 </v>
      </c>
      <c r="G557" s="10" t="str">
        <f t="shared" si="15"/>
        <v>ON1</v>
      </c>
      <c r="H557" s="10" t="s">
        <v>21</v>
      </c>
      <c r="I557" s="10" t="s">
        <v>75</v>
      </c>
      <c r="J557" s="10" t="str">
        <f>""</f>
        <v/>
      </c>
      <c r="K557" s="10" t="str">
        <f>"PFES1162629308_0001"</f>
        <v>PFES1162629308_0001</v>
      </c>
      <c r="L557" s="10">
        <v>1</v>
      </c>
      <c r="M557" s="10">
        <v>1</v>
      </c>
    </row>
    <row r="558" spans="1:13">
      <c r="A558" s="8">
        <v>43264</v>
      </c>
      <c r="B558" s="9">
        <v>0.55069444444444449</v>
      </c>
      <c r="C558" s="10" t="str">
        <f>"FES1162629252"</f>
        <v>FES1162629252</v>
      </c>
      <c r="D558" s="10" t="s">
        <v>19</v>
      </c>
      <c r="E558" s="10" t="s">
        <v>513</v>
      </c>
      <c r="F558" s="10" t="str">
        <f>" "</f>
        <v xml:space="preserve"> </v>
      </c>
      <c r="G558" s="10" t="str">
        <f t="shared" si="15"/>
        <v>ON1</v>
      </c>
      <c r="H558" s="10" t="s">
        <v>21</v>
      </c>
      <c r="I558" s="10" t="s">
        <v>93</v>
      </c>
      <c r="J558" s="10" t="str">
        <f>""</f>
        <v/>
      </c>
      <c r="K558" s="10" t="str">
        <f>"PFES1162629252_0001"</f>
        <v>PFES1162629252_0001</v>
      </c>
      <c r="L558" s="10">
        <v>1</v>
      </c>
      <c r="M558" s="10">
        <v>1</v>
      </c>
    </row>
    <row r="559" spans="1:13">
      <c r="A559" s="8">
        <v>43264</v>
      </c>
      <c r="B559" s="9">
        <v>0.54999999999999993</v>
      </c>
      <c r="C559" s="10" t="str">
        <f>"FES1162629242"</f>
        <v>FES1162629242</v>
      </c>
      <c r="D559" s="10" t="s">
        <v>19</v>
      </c>
      <c r="E559" s="10" t="s">
        <v>514</v>
      </c>
      <c r="F559" s="10" t="str">
        <f>"21706236269 "</f>
        <v xml:space="preserve">21706236269 </v>
      </c>
      <c r="G559" s="10" t="str">
        <f t="shared" si="15"/>
        <v>ON1</v>
      </c>
      <c r="H559" s="10" t="s">
        <v>21</v>
      </c>
      <c r="I559" s="10" t="s">
        <v>515</v>
      </c>
      <c r="J559" s="10" t="str">
        <f>""</f>
        <v/>
      </c>
      <c r="K559" s="10" t="str">
        <f>"PFES1162629242_0001"</f>
        <v>PFES1162629242_0001</v>
      </c>
      <c r="L559" s="10">
        <v>1</v>
      </c>
      <c r="M559" s="10">
        <v>1</v>
      </c>
    </row>
    <row r="560" spans="1:13">
      <c r="A560" s="8">
        <v>43264</v>
      </c>
      <c r="B560" s="9">
        <v>0.5493055555555556</v>
      </c>
      <c r="C560" s="10" t="str">
        <f>"FES1162629380"</f>
        <v>FES1162629380</v>
      </c>
      <c r="D560" s="10" t="s">
        <v>19</v>
      </c>
      <c r="E560" s="10" t="s">
        <v>117</v>
      </c>
      <c r="F560" s="10" t="str">
        <f>"2170636417 "</f>
        <v xml:space="preserve">2170636417 </v>
      </c>
      <c r="G560" s="10" t="str">
        <f t="shared" si="15"/>
        <v>ON1</v>
      </c>
      <c r="H560" s="10" t="s">
        <v>21</v>
      </c>
      <c r="I560" s="10" t="s">
        <v>118</v>
      </c>
      <c r="J560" s="10" t="str">
        <f>""</f>
        <v/>
      </c>
      <c r="K560" s="10" t="str">
        <f>"PFES1162629380_0001"</f>
        <v>PFES1162629380_0001</v>
      </c>
      <c r="L560" s="10">
        <v>1</v>
      </c>
      <c r="M560" s="10">
        <v>1</v>
      </c>
    </row>
    <row r="561" spans="1:13">
      <c r="A561" s="8">
        <v>43264</v>
      </c>
      <c r="B561" s="9">
        <v>0.5493055555555556</v>
      </c>
      <c r="C561" s="10" t="str">
        <f>"FES1162629381"</f>
        <v>FES1162629381</v>
      </c>
      <c r="D561" s="10" t="s">
        <v>19</v>
      </c>
      <c r="E561" s="10" t="s">
        <v>117</v>
      </c>
      <c r="F561" s="10" t="str">
        <f>"2170636418 "</f>
        <v xml:space="preserve">2170636418 </v>
      </c>
      <c r="G561" s="10" t="str">
        <f t="shared" si="15"/>
        <v>ON1</v>
      </c>
      <c r="H561" s="10" t="s">
        <v>21</v>
      </c>
      <c r="I561" s="10" t="s">
        <v>118</v>
      </c>
      <c r="J561" s="10" t="str">
        <f>""</f>
        <v/>
      </c>
      <c r="K561" s="10" t="str">
        <f>"PFES1162629381_0001"</f>
        <v>PFES1162629381_0001</v>
      </c>
      <c r="L561" s="10">
        <v>1</v>
      </c>
      <c r="M561" s="10">
        <v>1</v>
      </c>
    </row>
    <row r="562" spans="1:13">
      <c r="A562" s="8">
        <v>43264</v>
      </c>
      <c r="B562" s="9">
        <v>0.54861111111111105</v>
      </c>
      <c r="C562" s="10" t="str">
        <f>"FES1162629363"</f>
        <v>FES1162629363</v>
      </c>
      <c r="D562" s="10" t="s">
        <v>19</v>
      </c>
      <c r="E562" s="10" t="s">
        <v>516</v>
      </c>
      <c r="F562" s="10" t="str">
        <f>"2170636401 "</f>
        <v xml:space="preserve">2170636401 </v>
      </c>
      <c r="G562" s="10" t="str">
        <f t="shared" si="15"/>
        <v>ON1</v>
      </c>
      <c r="H562" s="10" t="s">
        <v>21</v>
      </c>
      <c r="I562" s="10" t="s">
        <v>517</v>
      </c>
      <c r="J562" s="10" t="str">
        <f>""</f>
        <v/>
      </c>
      <c r="K562" s="10" t="str">
        <f>"PFES1162629363_0001"</f>
        <v>PFES1162629363_0001</v>
      </c>
      <c r="L562" s="10">
        <v>1</v>
      </c>
      <c r="M562" s="10">
        <v>1</v>
      </c>
    </row>
    <row r="563" spans="1:13">
      <c r="A563" s="8">
        <v>43264</v>
      </c>
      <c r="B563" s="9">
        <v>0.54583333333333328</v>
      </c>
      <c r="C563" s="10" t="str">
        <f>"FES1162629221"</f>
        <v>FES1162629221</v>
      </c>
      <c r="D563" s="10" t="s">
        <v>19</v>
      </c>
      <c r="E563" s="10" t="s">
        <v>518</v>
      </c>
      <c r="F563" s="10" t="str">
        <f>"2170633251 "</f>
        <v xml:space="preserve">2170633251 </v>
      </c>
      <c r="G563" s="10" t="str">
        <f t="shared" si="15"/>
        <v>ON1</v>
      </c>
      <c r="H563" s="10" t="s">
        <v>21</v>
      </c>
      <c r="I563" s="10" t="s">
        <v>519</v>
      </c>
      <c r="J563" s="10" t="str">
        <f>""</f>
        <v/>
      </c>
      <c r="K563" s="10" t="str">
        <f>"PFES1162629221_0001"</f>
        <v>PFES1162629221_0001</v>
      </c>
      <c r="L563" s="10">
        <v>1</v>
      </c>
      <c r="M563" s="10">
        <v>11</v>
      </c>
    </row>
    <row r="564" spans="1:13">
      <c r="A564" s="8">
        <v>43264</v>
      </c>
      <c r="B564" s="9">
        <v>0.5444444444444444</v>
      </c>
      <c r="C564" s="10" t="str">
        <f>"FES1162629284"</f>
        <v>FES1162629284</v>
      </c>
      <c r="D564" s="10" t="s">
        <v>19</v>
      </c>
      <c r="E564" s="10" t="s">
        <v>56</v>
      </c>
      <c r="F564" s="10" t="str">
        <f>"2170635994 "</f>
        <v xml:space="preserve">2170635994 </v>
      </c>
      <c r="G564" s="10" t="str">
        <f t="shared" si="15"/>
        <v>ON1</v>
      </c>
      <c r="H564" s="10" t="s">
        <v>21</v>
      </c>
      <c r="I564" s="10" t="s">
        <v>57</v>
      </c>
      <c r="J564" s="10" t="str">
        <f>""</f>
        <v/>
      </c>
      <c r="K564" s="10" t="str">
        <f>"PFES1162629284_0001"</f>
        <v>PFES1162629284_0001</v>
      </c>
      <c r="L564" s="10">
        <v>1</v>
      </c>
      <c r="M564" s="10">
        <v>3</v>
      </c>
    </row>
    <row r="565" spans="1:13">
      <c r="A565" s="8">
        <v>43264</v>
      </c>
      <c r="B565" s="9">
        <v>0.54305555555555551</v>
      </c>
      <c r="C565" s="10" t="str">
        <f>"FES1162629285"</f>
        <v>FES1162629285</v>
      </c>
      <c r="D565" s="10" t="s">
        <v>19</v>
      </c>
      <c r="E565" s="10" t="s">
        <v>56</v>
      </c>
      <c r="F565" s="10" t="str">
        <f>"2170635994 "</f>
        <v xml:space="preserve">2170635994 </v>
      </c>
      <c r="G565" s="10" t="str">
        <f t="shared" si="15"/>
        <v>ON1</v>
      </c>
      <c r="H565" s="10" t="s">
        <v>21</v>
      </c>
      <c r="I565" s="10" t="s">
        <v>57</v>
      </c>
      <c r="J565" s="10" t="str">
        <f>""</f>
        <v/>
      </c>
      <c r="K565" s="10" t="str">
        <f>"PFES1162629285_0001"</f>
        <v>PFES1162629285_0001</v>
      </c>
      <c r="L565" s="10">
        <v>1</v>
      </c>
      <c r="M565" s="10">
        <v>3</v>
      </c>
    </row>
    <row r="566" spans="1:13">
      <c r="A566" s="8">
        <v>43264</v>
      </c>
      <c r="B566" s="9">
        <v>0.54236111111111118</v>
      </c>
      <c r="C566" s="10" t="str">
        <f>"FES1162629250"</f>
        <v>FES1162629250</v>
      </c>
      <c r="D566" s="10" t="s">
        <v>19</v>
      </c>
      <c r="E566" s="10" t="s">
        <v>388</v>
      </c>
      <c r="F566" s="10" t="str">
        <f>"2170636280 "</f>
        <v xml:space="preserve">2170636280 </v>
      </c>
      <c r="G566" s="10" t="str">
        <f t="shared" si="15"/>
        <v>ON1</v>
      </c>
      <c r="H566" s="10" t="s">
        <v>21</v>
      </c>
      <c r="I566" s="10" t="s">
        <v>389</v>
      </c>
      <c r="J566" s="10" t="str">
        <f>""</f>
        <v/>
      </c>
      <c r="K566" s="10" t="str">
        <f>"PFES1162629250_0001"</f>
        <v>PFES1162629250_0001</v>
      </c>
      <c r="L566" s="10">
        <v>1</v>
      </c>
      <c r="M566" s="10">
        <v>5</v>
      </c>
    </row>
    <row r="567" spans="1:13">
      <c r="A567" s="8">
        <v>43264</v>
      </c>
      <c r="B567" s="9">
        <v>0.54166666666666663</v>
      </c>
      <c r="C567" s="10" t="str">
        <f>"FES1162629245"</f>
        <v>FES1162629245</v>
      </c>
      <c r="D567" s="10" t="s">
        <v>19</v>
      </c>
      <c r="E567" s="10" t="s">
        <v>135</v>
      </c>
      <c r="F567" s="10" t="str">
        <f>"2170636274 "</f>
        <v xml:space="preserve">2170636274 </v>
      </c>
      <c r="G567" s="10" t="str">
        <f t="shared" si="15"/>
        <v>ON1</v>
      </c>
      <c r="H567" s="10" t="s">
        <v>21</v>
      </c>
      <c r="I567" s="10" t="s">
        <v>136</v>
      </c>
      <c r="J567" s="10" t="str">
        <f>""</f>
        <v/>
      </c>
      <c r="K567" s="10" t="str">
        <f>"PFES1162629245_0001"</f>
        <v>PFES1162629245_0001</v>
      </c>
      <c r="L567" s="10">
        <v>1</v>
      </c>
      <c r="M567" s="10">
        <v>4</v>
      </c>
    </row>
    <row r="568" spans="1:13">
      <c r="A568" s="8">
        <v>43264</v>
      </c>
      <c r="B568" s="9">
        <v>0.54027777777777775</v>
      </c>
      <c r="C568" s="10" t="str">
        <f>"FES1162629283"</f>
        <v>FES1162629283</v>
      </c>
      <c r="D568" s="10" t="s">
        <v>19</v>
      </c>
      <c r="E568" s="10" t="s">
        <v>388</v>
      </c>
      <c r="F568" s="10" t="str">
        <f>"2170635557 "</f>
        <v xml:space="preserve">2170635557 </v>
      </c>
      <c r="G568" s="10" t="str">
        <f t="shared" si="15"/>
        <v>ON1</v>
      </c>
      <c r="H568" s="10" t="s">
        <v>21</v>
      </c>
      <c r="I568" s="10" t="s">
        <v>389</v>
      </c>
      <c r="J568" s="10" t="str">
        <f>""</f>
        <v/>
      </c>
      <c r="K568" s="10" t="str">
        <f>"PFES1162629283_0001"</f>
        <v>PFES1162629283_0001</v>
      </c>
      <c r="L568" s="10">
        <v>1</v>
      </c>
      <c r="M568" s="10">
        <v>4</v>
      </c>
    </row>
    <row r="569" spans="1:13">
      <c r="A569" s="8">
        <v>43264</v>
      </c>
      <c r="B569" s="9">
        <v>0.5395833333333333</v>
      </c>
      <c r="C569" s="10" t="str">
        <f>"FES1162629259"</f>
        <v>FES1162629259</v>
      </c>
      <c r="D569" s="10" t="s">
        <v>19</v>
      </c>
      <c r="E569" s="10" t="s">
        <v>241</v>
      </c>
      <c r="F569" s="10" t="str">
        <f>"2170635875 "</f>
        <v xml:space="preserve">2170635875 </v>
      </c>
      <c r="G569" s="10" t="str">
        <f t="shared" si="15"/>
        <v>ON1</v>
      </c>
      <c r="H569" s="10" t="s">
        <v>21</v>
      </c>
      <c r="I569" s="10" t="s">
        <v>42</v>
      </c>
      <c r="J569" s="10" t="str">
        <f>""</f>
        <v/>
      </c>
      <c r="K569" s="10" t="str">
        <f>"PFES1162629259_0001"</f>
        <v>PFES1162629259_0001</v>
      </c>
      <c r="L569" s="10">
        <v>1</v>
      </c>
      <c r="M569" s="10">
        <v>2</v>
      </c>
    </row>
    <row r="570" spans="1:13">
      <c r="A570" s="8">
        <v>43264</v>
      </c>
      <c r="B570" s="9">
        <v>0.53888888888888886</v>
      </c>
      <c r="C570" s="10" t="str">
        <f>"FES1162629282"</f>
        <v>FES1162629282</v>
      </c>
      <c r="D570" s="10" t="s">
        <v>19</v>
      </c>
      <c r="E570" s="10" t="s">
        <v>60</v>
      </c>
      <c r="F570" s="10" t="str">
        <f>"2170636321 "</f>
        <v xml:space="preserve">2170636321 </v>
      </c>
      <c r="G570" s="10" t="str">
        <f t="shared" si="15"/>
        <v>ON1</v>
      </c>
      <c r="H570" s="10" t="s">
        <v>21</v>
      </c>
      <c r="I570" s="10" t="s">
        <v>61</v>
      </c>
      <c r="J570" s="10" t="str">
        <f>""</f>
        <v/>
      </c>
      <c r="K570" s="10" t="str">
        <f>"PFES1162629282_0001"</f>
        <v>PFES1162629282_0001</v>
      </c>
      <c r="L570" s="10">
        <v>1</v>
      </c>
      <c r="M570" s="10">
        <v>1</v>
      </c>
    </row>
    <row r="571" spans="1:13">
      <c r="A571" s="8">
        <v>43264</v>
      </c>
      <c r="B571" s="9">
        <v>0.53888888888888886</v>
      </c>
      <c r="C571" s="10" t="str">
        <f>"FES1162629264"</f>
        <v>FES1162629264</v>
      </c>
      <c r="D571" s="10" t="s">
        <v>19</v>
      </c>
      <c r="E571" s="10" t="s">
        <v>120</v>
      </c>
      <c r="F571" s="10" t="str">
        <f>"217063296 "</f>
        <v xml:space="preserve">217063296 </v>
      </c>
      <c r="G571" s="10" t="str">
        <f t="shared" si="15"/>
        <v>ON1</v>
      </c>
      <c r="H571" s="10" t="s">
        <v>21</v>
      </c>
      <c r="I571" s="10" t="s">
        <v>38</v>
      </c>
      <c r="J571" s="10" t="str">
        <f>""</f>
        <v/>
      </c>
      <c r="K571" s="10" t="str">
        <f>"PFES1162629264_0001"</f>
        <v>PFES1162629264_0001</v>
      </c>
      <c r="L571" s="10">
        <v>1</v>
      </c>
      <c r="M571" s="10">
        <v>1</v>
      </c>
    </row>
    <row r="572" spans="1:13">
      <c r="A572" s="8">
        <v>43264</v>
      </c>
      <c r="B572" s="9">
        <v>0.53819444444444442</v>
      </c>
      <c r="C572" s="10" t="str">
        <f>"FES1162629243"</f>
        <v>FES1162629243</v>
      </c>
      <c r="D572" s="10" t="s">
        <v>19</v>
      </c>
      <c r="E572" s="10" t="s">
        <v>191</v>
      </c>
      <c r="F572" s="10" t="str">
        <f>"2170636272 "</f>
        <v xml:space="preserve">2170636272 </v>
      </c>
      <c r="G572" s="10" t="str">
        <f t="shared" si="15"/>
        <v>ON1</v>
      </c>
      <c r="H572" s="10" t="s">
        <v>21</v>
      </c>
      <c r="I572" s="10" t="s">
        <v>192</v>
      </c>
      <c r="J572" s="10" t="str">
        <f>""</f>
        <v/>
      </c>
      <c r="K572" s="10" t="str">
        <f>"PFES1162629243_0001"</f>
        <v>PFES1162629243_0001</v>
      </c>
      <c r="L572" s="10">
        <v>1</v>
      </c>
      <c r="M572" s="10">
        <v>1</v>
      </c>
    </row>
    <row r="573" spans="1:13">
      <c r="A573" s="8">
        <v>43264</v>
      </c>
      <c r="B573" s="9">
        <v>0.53819444444444442</v>
      </c>
      <c r="C573" s="10" t="str">
        <f>"FES1162629226"</f>
        <v>FES1162629226</v>
      </c>
      <c r="D573" s="10" t="s">
        <v>19</v>
      </c>
      <c r="E573" s="10" t="s">
        <v>520</v>
      </c>
      <c r="F573" s="10" t="str">
        <f>"21706364167 "</f>
        <v xml:space="preserve">21706364167 </v>
      </c>
      <c r="G573" s="10" t="str">
        <f t="shared" ref="G573:G629" si="16">"ON1"</f>
        <v>ON1</v>
      </c>
      <c r="H573" s="10" t="s">
        <v>21</v>
      </c>
      <c r="I573" s="10" t="s">
        <v>521</v>
      </c>
      <c r="J573" s="10" t="str">
        <f>""</f>
        <v/>
      </c>
      <c r="K573" s="10" t="str">
        <f>"PFES1162629226_0001"</f>
        <v>PFES1162629226_0001</v>
      </c>
      <c r="L573" s="10">
        <v>1</v>
      </c>
      <c r="M573" s="10">
        <v>1</v>
      </c>
    </row>
    <row r="574" spans="1:13">
      <c r="A574" s="8">
        <v>43264</v>
      </c>
      <c r="B574" s="9">
        <v>0.53749999999999998</v>
      </c>
      <c r="C574" s="10" t="str">
        <f>"FES1162629261"</f>
        <v>FES1162629261</v>
      </c>
      <c r="D574" s="10" t="s">
        <v>19</v>
      </c>
      <c r="E574" s="10" t="s">
        <v>522</v>
      </c>
      <c r="F574" s="10" t="str">
        <f>"2170636291 "</f>
        <v xml:space="preserve">2170636291 </v>
      </c>
      <c r="G574" s="10" t="str">
        <f t="shared" si="16"/>
        <v>ON1</v>
      </c>
      <c r="H574" s="10" t="s">
        <v>21</v>
      </c>
      <c r="I574" s="10" t="s">
        <v>30</v>
      </c>
      <c r="J574" s="10" t="str">
        <f>""</f>
        <v/>
      </c>
      <c r="K574" s="10" t="str">
        <f>"PFES1162629261_0001"</f>
        <v>PFES1162629261_0001</v>
      </c>
      <c r="L574" s="10">
        <v>1</v>
      </c>
      <c r="M574" s="10">
        <v>1</v>
      </c>
    </row>
    <row r="575" spans="1:13">
      <c r="A575" s="8">
        <v>43264</v>
      </c>
      <c r="B575" s="9">
        <v>0.53611111111111109</v>
      </c>
      <c r="C575" s="10" t="str">
        <f>"FES1162629288"</f>
        <v>FES1162629288</v>
      </c>
      <c r="D575" s="10" t="s">
        <v>19</v>
      </c>
      <c r="E575" s="10" t="s">
        <v>169</v>
      </c>
      <c r="F575" s="10" t="str">
        <f>"2170636327 "</f>
        <v xml:space="preserve">2170636327 </v>
      </c>
      <c r="G575" s="10" t="str">
        <f t="shared" si="16"/>
        <v>ON1</v>
      </c>
      <c r="H575" s="10" t="s">
        <v>21</v>
      </c>
      <c r="I575" s="10" t="s">
        <v>170</v>
      </c>
      <c r="J575" s="10" t="str">
        <f>""</f>
        <v/>
      </c>
      <c r="K575" s="10" t="str">
        <f>"PFES1162629288_0001"</f>
        <v>PFES1162629288_0001</v>
      </c>
      <c r="L575" s="10">
        <v>1</v>
      </c>
      <c r="M575" s="10">
        <v>3</v>
      </c>
    </row>
    <row r="576" spans="1:13">
      <c r="A576" s="8">
        <v>43264</v>
      </c>
      <c r="B576" s="9">
        <v>0.53541666666666665</v>
      </c>
      <c r="C576" s="10" t="str">
        <f>"FES1162629280"</f>
        <v>FES1162629280</v>
      </c>
      <c r="D576" s="10" t="s">
        <v>19</v>
      </c>
      <c r="E576" s="10" t="s">
        <v>117</v>
      </c>
      <c r="F576" s="10" t="str">
        <f>"2170636319 "</f>
        <v xml:space="preserve">2170636319 </v>
      </c>
      <c r="G576" s="10" t="str">
        <f t="shared" si="16"/>
        <v>ON1</v>
      </c>
      <c r="H576" s="10" t="s">
        <v>21</v>
      </c>
      <c r="I576" s="10" t="s">
        <v>118</v>
      </c>
      <c r="J576" s="10" t="str">
        <f>""</f>
        <v/>
      </c>
      <c r="K576" s="10" t="str">
        <f>"PFES1162629280_0001"</f>
        <v>PFES1162629280_0001</v>
      </c>
      <c r="L576" s="10">
        <v>1</v>
      </c>
      <c r="M576" s="10">
        <v>3</v>
      </c>
    </row>
    <row r="577" spans="1:13">
      <c r="A577" s="8">
        <v>43264</v>
      </c>
      <c r="B577" s="9">
        <v>0.53402777777777777</v>
      </c>
      <c r="C577" s="10" t="str">
        <f>"FES1162629268"</f>
        <v>FES1162629268</v>
      </c>
      <c r="D577" s="10" t="s">
        <v>19</v>
      </c>
      <c r="E577" s="10" t="s">
        <v>310</v>
      </c>
      <c r="F577" s="10" t="str">
        <f>"2170635317 "</f>
        <v xml:space="preserve">2170635317 </v>
      </c>
      <c r="G577" s="10" t="str">
        <f t="shared" si="16"/>
        <v>ON1</v>
      </c>
      <c r="H577" s="10" t="s">
        <v>21</v>
      </c>
      <c r="I577" s="10" t="s">
        <v>255</v>
      </c>
      <c r="J577" s="10" t="str">
        <f>""</f>
        <v/>
      </c>
      <c r="K577" s="10" t="str">
        <f>"PFES1162629268_0001"</f>
        <v>PFES1162629268_0001</v>
      </c>
      <c r="L577" s="10">
        <v>1</v>
      </c>
      <c r="M577" s="10">
        <v>5</v>
      </c>
    </row>
    <row r="578" spans="1:13">
      <c r="A578" s="8">
        <v>43264</v>
      </c>
      <c r="B578" s="9">
        <v>0.53263888888888888</v>
      </c>
      <c r="C578" s="10" t="str">
        <f>"FES1162629269"</f>
        <v>FES1162629269</v>
      </c>
      <c r="D578" s="10" t="s">
        <v>19</v>
      </c>
      <c r="E578" s="10" t="s">
        <v>523</v>
      </c>
      <c r="F578" s="10" t="str">
        <f>"2170636219 "</f>
        <v xml:space="preserve">2170636219 </v>
      </c>
      <c r="G578" s="10" t="str">
        <f t="shared" si="16"/>
        <v>ON1</v>
      </c>
      <c r="H578" s="10" t="s">
        <v>21</v>
      </c>
      <c r="I578" s="10" t="s">
        <v>524</v>
      </c>
      <c r="J578" s="10" t="str">
        <f>""</f>
        <v/>
      </c>
      <c r="K578" s="10" t="str">
        <f>"PFES1162629269_0001"</f>
        <v>PFES1162629269_0001</v>
      </c>
      <c r="L578" s="10">
        <v>1</v>
      </c>
      <c r="M578" s="10">
        <v>3</v>
      </c>
    </row>
    <row r="579" spans="1:13">
      <c r="A579" s="8">
        <v>43264</v>
      </c>
      <c r="B579" s="9">
        <v>0.53055555555555556</v>
      </c>
      <c r="C579" s="10" t="str">
        <f>"FES1162629254"</f>
        <v>FES1162629254</v>
      </c>
      <c r="D579" s="10" t="s">
        <v>19</v>
      </c>
      <c r="E579" s="10" t="s">
        <v>525</v>
      </c>
      <c r="F579" s="10" t="str">
        <f>"2170636284 "</f>
        <v xml:space="preserve">2170636284 </v>
      </c>
      <c r="G579" s="10" t="str">
        <f t="shared" si="16"/>
        <v>ON1</v>
      </c>
      <c r="H579" s="10" t="s">
        <v>21</v>
      </c>
      <c r="I579" s="10" t="s">
        <v>237</v>
      </c>
      <c r="J579" s="10" t="str">
        <f>""</f>
        <v/>
      </c>
      <c r="K579" s="10" t="str">
        <f>"PFES1162629254_0001"</f>
        <v>PFES1162629254_0001</v>
      </c>
      <c r="L579" s="10">
        <v>1</v>
      </c>
      <c r="M579" s="10">
        <v>2</v>
      </c>
    </row>
    <row r="580" spans="1:13">
      <c r="A580" s="8">
        <v>43264</v>
      </c>
      <c r="B580" s="9">
        <v>0.52986111111111112</v>
      </c>
      <c r="C580" s="10" t="str">
        <f>"FES1162629236"</f>
        <v>FES1162629236</v>
      </c>
      <c r="D580" s="10" t="s">
        <v>19</v>
      </c>
      <c r="E580" s="10" t="s">
        <v>241</v>
      </c>
      <c r="F580" s="10" t="str">
        <f>"2170636139 "</f>
        <v xml:space="preserve">2170636139 </v>
      </c>
      <c r="G580" s="10" t="str">
        <f t="shared" si="16"/>
        <v>ON1</v>
      </c>
      <c r="H580" s="10" t="s">
        <v>21</v>
      </c>
      <c r="I580" s="10" t="s">
        <v>42</v>
      </c>
      <c r="J580" s="10" t="str">
        <f>""</f>
        <v/>
      </c>
      <c r="K580" s="10" t="str">
        <f>"PFES1162629236_0001"</f>
        <v>PFES1162629236_0001</v>
      </c>
      <c r="L580" s="10">
        <v>1</v>
      </c>
      <c r="M580" s="10">
        <v>1</v>
      </c>
    </row>
    <row r="581" spans="1:13">
      <c r="A581" s="8">
        <v>43264</v>
      </c>
      <c r="B581" s="9">
        <v>0.52916666666666667</v>
      </c>
      <c r="C581" s="10" t="str">
        <f>"FES1162629270"</f>
        <v>FES1162629270</v>
      </c>
      <c r="D581" s="10" t="s">
        <v>19</v>
      </c>
      <c r="E581" s="10" t="s">
        <v>526</v>
      </c>
      <c r="F581" s="10" t="str">
        <f>"2170636262 "</f>
        <v xml:space="preserve">2170636262 </v>
      </c>
      <c r="G581" s="10" t="str">
        <f t="shared" si="16"/>
        <v>ON1</v>
      </c>
      <c r="H581" s="10" t="s">
        <v>21</v>
      </c>
      <c r="I581" s="10" t="s">
        <v>110</v>
      </c>
      <c r="J581" s="10" t="str">
        <f>""</f>
        <v/>
      </c>
      <c r="K581" s="10" t="str">
        <f>"PFES1162629270_0001"</f>
        <v>PFES1162629270_0001</v>
      </c>
      <c r="L581" s="10">
        <v>1</v>
      </c>
      <c r="M581" s="10">
        <v>8</v>
      </c>
    </row>
    <row r="582" spans="1:13">
      <c r="A582" s="8">
        <v>43264</v>
      </c>
      <c r="B582" s="9">
        <v>0.52916666666666667</v>
      </c>
      <c r="C582" s="10" t="str">
        <f>"FES1162629266"</f>
        <v>FES1162629266</v>
      </c>
      <c r="D582" s="10" t="s">
        <v>19</v>
      </c>
      <c r="E582" s="10" t="s">
        <v>33</v>
      </c>
      <c r="F582" s="10" t="str">
        <f>"2170636298 "</f>
        <v xml:space="preserve">2170636298 </v>
      </c>
      <c r="G582" s="10" t="str">
        <f t="shared" si="16"/>
        <v>ON1</v>
      </c>
      <c r="H582" s="10" t="s">
        <v>21</v>
      </c>
      <c r="I582" s="10" t="s">
        <v>34</v>
      </c>
      <c r="J582" s="10" t="str">
        <f>""</f>
        <v/>
      </c>
      <c r="K582" s="10" t="str">
        <f>"PFES1162629266_0001"</f>
        <v>PFES1162629266_0001</v>
      </c>
      <c r="L582" s="10">
        <v>1</v>
      </c>
      <c r="M582" s="10">
        <v>1</v>
      </c>
    </row>
    <row r="583" spans="1:13">
      <c r="A583" s="8">
        <v>43264</v>
      </c>
      <c r="B583" s="9">
        <v>0.52847222222222223</v>
      </c>
      <c r="C583" s="10" t="str">
        <f>"FES1162629247"</f>
        <v>FES1162629247</v>
      </c>
      <c r="D583" s="10" t="s">
        <v>19</v>
      </c>
      <c r="E583" s="10" t="s">
        <v>169</v>
      </c>
      <c r="F583" s="10" t="str">
        <f>"2170636276 "</f>
        <v xml:space="preserve">2170636276 </v>
      </c>
      <c r="G583" s="10" t="str">
        <f t="shared" si="16"/>
        <v>ON1</v>
      </c>
      <c r="H583" s="10" t="s">
        <v>21</v>
      </c>
      <c r="I583" s="10" t="s">
        <v>170</v>
      </c>
      <c r="J583" s="10" t="str">
        <f>""</f>
        <v/>
      </c>
      <c r="K583" s="10" t="str">
        <f>"PFES1162629247_0001"</f>
        <v>PFES1162629247_0001</v>
      </c>
      <c r="L583" s="10">
        <v>1</v>
      </c>
      <c r="M583" s="10">
        <v>3</v>
      </c>
    </row>
    <row r="584" spans="1:13">
      <c r="A584" s="8">
        <v>43264</v>
      </c>
      <c r="B584" s="9">
        <v>0.52847222222222223</v>
      </c>
      <c r="C584" s="10" t="str">
        <f>"FES1162629287"</f>
        <v>FES1162629287</v>
      </c>
      <c r="D584" s="10" t="s">
        <v>19</v>
      </c>
      <c r="E584" s="10" t="s">
        <v>352</v>
      </c>
      <c r="F584" s="10" t="str">
        <f>"2170636323 "</f>
        <v xml:space="preserve">2170636323 </v>
      </c>
      <c r="G584" s="10" t="str">
        <f t="shared" si="16"/>
        <v>ON1</v>
      </c>
      <c r="H584" s="10" t="s">
        <v>21</v>
      </c>
      <c r="I584" s="10" t="s">
        <v>353</v>
      </c>
      <c r="J584" s="10" t="str">
        <f>""</f>
        <v/>
      </c>
      <c r="K584" s="10" t="str">
        <f>"PFES1162629287_0001"</f>
        <v>PFES1162629287_0001</v>
      </c>
      <c r="L584" s="10">
        <v>1</v>
      </c>
      <c r="M584" s="10">
        <v>1</v>
      </c>
    </row>
    <row r="585" spans="1:13">
      <c r="A585" s="8">
        <v>43264</v>
      </c>
      <c r="B585" s="9">
        <v>0.52777777777777779</v>
      </c>
      <c r="C585" s="10" t="str">
        <f>"FES1162629319"</f>
        <v>FES1162629319</v>
      </c>
      <c r="D585" s="10" t="s">
        <v>19</v>
      </c>
      <c r="E585" s="10" t="s">
        <v>527</v>
      </c>
      <c r="F585" s="10" t="str">
        <f>"2170636358 "</f>
        <v xml:space="preserve">2170636358 </v>
      </c>
      <c r="G585" s="10" t="str">
        <f t="shared" si="16"/>
        <v>ON1</v>
      </c>
      <c r="H585" s="10" t="s">
        <v>21</v>
      </c>
      <c r="I585" s="10" t="s">
        <v>427</v>
      </c>
      <c r="J585" s="10" t="str">
        <f>""</f>
        <v/>
      </c>
      <c r="K585" s="10" t="str">
        <f>"PFES1162629319_0001"</f>
        <v>PFES1162629319_0001</v>
      </c>
      <c r="L585" s="10">
        <v>1</v>
      </c>
      <c r="M585" s="10">
        <v>1</v>
      </c>
    </row>
    <row r="586" spans="1:13">
      <c r="A586" s="8">
        <v>43264</v>
      </c>
      <c r="B586" s="9">
        <v>0.52777777777777779</v>
      </c>
      <c r="C586" s="10" t="str">
        <f>"FES1162629293"</f>
        <v>FES1162629293</v>
      </c>
      <c r="D586" s="10" t="s">
        <v>19</v>
      </c>
      <c r="E586" s="10" t="s">
        <v>528</v>
      </c>
      <c r="F586" s="10" t="str">
        <f>"2170636333 "</f>
        <v xml:space="preserve">2170636333 </v>
      </c>
      <c r="G586" s="10" t="str">
        <f t="shared" si="16"/>
        <v>ON1</v>
      </c>
      <c r="H586" s="10" t="s">
        <v>21</v>
      </c>
      <c r="I586" s="10" t="s">
        <v>529</v>
      </c>
      <c r="J586" s="10" t="str">
        <f>""</f>
        <v/>
      </c>
      <c r="K586" s="10" t="str">
        <f>"PFES1162629293_0001"</f>
        <v>PFES1162629293_0001</v>
      </c>
      <c r="L586" s="10">
        <v>1</v>
      </c>
      <c r="M586" s="10">
        <v>2</v>
      </c>
    </row>
    <row r="587" spans="1:13">
      <c r="A587" s="8">
        <v>43264</v>
      </c>
      <c r="B587" s="9">
        <v>0.52777777777777779</v>
      </c>
      <c r="C587" s="10" t="str">
        <f>"FES1162629272"</f>
        <v>FES1162629272</v>
      </c>
      <c r="D587" s="10" t="s">
        <v>19</v>
      </c>
      <c r="E587" s="10" t="s">
        <v>530</v>
      </c>
      <c r="F587" s="10" t="str">
        <f>"21706363031 "</f>
        <v xml:space="preserve">21706363031 </v>
      </c>
      <c r="G587" s="10" t="str">
        <f t="shared" si="16"/>
        <v>ON1</v>
      </c>
      <c r="H587" s="10" t="s">
        <v>21</v>
      </c>
      <c r="I587" s="10" t="s">
        <v>79</v>
      </c>
      <c r="J587" s="10" t="str">
        <f>""</f>
        <v/>
      </c>
      <c r="K587" s="10" t="str">
        <f>"PFES1162629272_0001"</f>
        <v>PFES1162629272_0001</v>
      </c>
      <c r="L587" s="10">
        <v>1</v>
      </c>
      <c r="M587" s="10">
        <v>1</v>
      </c>
    </row>
    <row r="588" spans="1:13">
      <c r="A588" s="8">
        <v>43264</v>
      </c>
      <c r="B588" s="9">
        <v>0.52708333333333335</v>
      </c>
      <c r="C588" s="10" t="str">
        <f>"FES1162629237"</f>
        <v>FES1162629237</v>
      </c>
      <c r="D588" s="10" t="s">
        <v>19</v>
      </c>
      <c r="E588" s="10" t="s">
        <v>376</v>
      </c>
      <c r="F588" s="10" t="str">
        <f>"217063145 "</f>
        <v xml:space="preserve">217063145 </v>
      </c>
      <c r="G588" s="10" t="str">
        <f t="shared" si="16"/>
        <v>ON1</v>
      </c>
      <c r="H588" s="10" t="s">
        <v>21</v>
      </c>
      <c r="I588" s="10" t="s">
        <v>83</v>
      </c>
      <c r="J588" s="10" t="str">
        <f>""</f>
        <v/>
      </c>
      <c r="K588" s="10" t="str">
        <f>"PFES1162629237_0001"</f>
        <v>PFES1162629237_0001</v>
      </c>
      <c r="L588" s="10">
        <v>1</v>
      </c>
      <c r="M588" s="10">
        <v>1</v>
      </c>
    </row>
    <row r="589" spans="1:13">
      <c r="A589" s="8">
        <v>43264</v>
      </c>
      <c r="B589" s="9">
        <v>0.52638888888888891</v>
      </c>
      <c r="C589" s="10" t="str">
        <f>"FES1162629258"</f>
        <v>FES1162629258</v>
      </c>
      <c r="D589" s="10" t="s">
        <v>19</v>
      </c>
      <c r="E589" s="10" t="s">
        <v>531</v>
      </c>
      <c r="F589" s="10" t="str">
        <f>"217063289 "</f>
        <v xml:space="preserve">217063289 </v>
      </c>
      <c r="G589" s="10" t="str">
        <f t="shared" si="16"/>
        <v>ON1</v>
      </c>
      <c r="H589" s="10" t="s">
        <v>21</v>
      </c>
      <c r="I589" s="10" t="s">
        <v>265</v>
      </c>
      <c r="J589" s="10" t="str">
        <f>""</f>
        <v/>
      </c>
      <c r="K589" s="10" t="str">
        <f>"PFES1162629258_0001"</f>
        <v>PFES1162629258_0001</v>
      </c>
      <c r="L589" s="10">
        <v>1</v>
      </c>
      <c r="M589" s="10">
        <v>1</v>
      </c>
    </row>
    <row r="590" spans="1:13">
      <c r="A590" s="8">
        <v>43264</v>
      </c>
      <c r="B590" s="9">
        <v>0.52638888888888891</v>
      </c>
      <c r="C590" s="10" t="str">
        <f>"FES1162629228"</f>
        <v>FES1162629228</v>
      </c>
      <c r="D590" s="10" t="s">
        <v>19</v>
      </c>
      <c r="E590" s="10" t="s">
        <v>532</v>
      </c>
      <c r="F590" s="10" t="str">
        <f>"2170635153 "</f>
        <v xml:space="preserve">2170635153 </v>
      </c>
      <c r="G590" s="10" t="str">
        <f t="shared" si="16"/>
        <v>ON1</v>
      </c>
      <c r="H590" s="10" t="s">
        <v>21</v>
      </c>
      <c r="I590" s="10" t="s">
        <v>483</v>
      </c>
      <c r="J590" s="10" t="str">
        <f>""</f>
        <v/>
      </c>
      <c r="K590" s="10" t="str">
        <f>"PFES1162629228_0001"</f>
        <v>PFES1162629228_0001</v>
      </c>
      <c r="L590" s="10">
        <v>1</v>
      </c>
      <c r="M590" s="10">
        <v>1</v>
      </c>
    </row>
    <row r="591" spans="1:13">
      <c r="A591" s="8">
        <v>43264</v>
      </c>
      <c r="B591" s="9">
        <v>0.52638888888888891</v>
      </c>
      <c r="C591" s="10" t="str">
        <f>"FES1162629289"</f>
        <v>FES1162629289</v>
      </c>
      <c r="D591" s="10" t="s">
        <v>19</v>
      </c>
      <c r="E591" s="10" t="s">
        <v>383</v>
      </c>
      <c r="F591" s="10" t="str">
        <f>"2170636006 "</f>
        <v xml:space="preserve">2170636006 </v>
      </c>
      <c r="G591" s="10" t="str">
        <f t="shared" si="16"/>
        <v>ON1</v>
      </c>
      <c r="H591" s="10" t="s">
        <v>21</v>
      </c>
      <c r="I591" s="10" t="s">
        <v>384</v>
      </c>
      <c r="J591" s="10" t="str">
        <f>""</f>
        <v/>
      </c>
      <c r="K591" s="10" t="str">
        <f>"PFES1162629289_0001"</f>
        <v>PFES1162629289_0001</v>
      </c>
      <c r="L591" s="10">
        <v>1</v>
      </c>
      <c r="M591" s="10">
        <v>3</v>
      </c>
    </row>
    <row r="592" spans="1:13">
      <c r="A592" s="8">
        <v>43264</v>
      </c>
      <c r="B592" s="9">
        <v>0.52500000000000002</v>
      </c>
      <c r="C592" s="10" t="str">
        <f>"FES1162629240"</f>
        <v>FES1162629240</v>
      </c>
      <c r="D592" s="10" t="s">
        <v>19</v>
      </c>
      <c r="E592" s="10" t="s">
        <v>101</v>
      </c>
      <c r="F592" s="10" t="str">
        <f>"2170636263 "</f>
        <v xml:space="preserve">2170636263 </v>
      </c>
      <c r="G592" s="10" t="str">
        <f t="shared" si="16"/>
        <v>ON1</v>
      </c>
      <c r="H592" s="10" t="s">
        <v>21</v>
      </c>
      <c r="I592" s="10" t="s">
        <v>102</v>
      </c>
      <c r="J592" s="10" t="str">
        <f>""</f>
        <v/>
      </c>
      <c r="K592" s="10" t="str">
        <f>"PFES1162629240_0001"</f>
        <v>PFES1162629240_0001</v>
      </c>
      <c r="L592" s="10">
        <v>1</v>
      </c>
      <c r="M592" s="10">
        <v>4</v>
      </c>
    </row>
    <row r="593" spans="1:13">
      <c r="A593" s="8">
        <v>43264</v>
      </c>
      <c r="B593" s="9">
        <v>0.52430555555555558</v>
      </c>
      <c r="C593" s="10" t="str">
        <f>"FES1162629239"</f>
        <v>FES1162629239</v>
      </c>
      <c r="D593" s="10" t="s">
        <v>19</v>
      </c>
      <c r="E593" s="10" t="s">
        <v>29</v>
      </c>
      <c r="F593" s="10" t="str">
        <f>"2170636259 "</f>
        <v xml:space="preserve">2170636259 </v>
      </c>
      <c r="G593" s="10" t="str">
        <f t="shared" si="16"/>
        <v>ON1</v>
      </c>
      <c r="H593" s="10" t="s">
        <v>21</v>
      </c>
      <c r="I593" s="10" t="s">
        <v>30</v>
      </c>
      <c r="J593" s="10" t="str">
        <f>""</f>
        <v/>
      </c>
      <c r="K593" s="10" t="str">
        <f>"PFES1162629239_0001"</f>
        <v>PFES1162629239_0001</v>
      </c>
      <c r="L593" s="10">
        <v>1</v>
      </c>
      <c r="M593" s="10">
        <v>2</v>
      </c>
    </row>
    <row r="594" spans="1:13">
      <c r="A594" s="8">
        <v>43264</v>
      </c>
      <c r="B594" s="9">
        <v>0.52361111111111114</v>
      </c>
      <c r="C594" s="10" t="str">
        <f>"FES1162629276"</f>
        <v>FES1162629276</v>
      </c>
      <c r="D594" s="10" t="s">
        <v>19</v>
      </c>
      <c r="E594" s="10" t="s">
        <v>383</v>
      </c>
      <c r="F594" s="10" t="str">
        <f>"2170636312 "</f>
        <v xml:space="preserve">2170636312 </v>
      </c>
      <c r="G594" s="10" t="str">
        <f t="shared" si="16"/>
        <v>ON1</v>
      </c>
      <c r="H594" s="10" t="s">
        <v>21</v>
      </c>
      <c r="I594" s="10" t="s">
        <v>384</v>
      </c>
      <c r="J594" s="10" t="str">
        <f>""</f>
        <v/>
      </c>
      <c r="K594" s="10" t="str">
        <f>"PFES1162629276_0001"</f>
        <v>PFES1162629276_0001</v>
      </c>
      <c r="L594" s="10">
        <v>1</v>
      </c>
      <c r="M594" s="10">
        <v>6</v>
      </c>
    </row>
    <row r="595" spans="1:13">
      <c r="A595" s="8">
        <v>43264</v>
      </c>
      <c r="B595" s="9">
        <v>0.52361111111111114</v>
      </c>
      <c r="C595" s="10" t="str">
        <f>"FES1162629281"</f>
        <v>FES1162629281</v>
      </c>
      <c r="D595" s="10" t="s">
        <v>19</v>
      </c>
      <c r="E595" s="10" t="s">
        <v>33</v>
      </c>
      <c r="F595" s="10" t="str">
        <f>"2170636320 "</f>
        <v xml:space="preserve">2170636320 </v>
      </c>
      <c r="G595" s="10" t="str">
        <f t="shared" si="16"/>
        <v>ON1</v>
      </c>
      <c r="H595" s="10" t="s">
        <v>21</v>
      </c>
      <c r="I595" s="10" t="s">
        <v>34</v>
      </c>
      <c r="J595" s="10" t="str">
        <f>""</f>
        <v/>
      </c>
      <c r="K595" s="10" t="str">
        <f>"PFES1162629281_0001"</f>
        <v>PFES1162629281_0001</v>
      </c>
      <c r="L595" s="10">
        <v>1</v>
      </c>
      <c r="M595" s="10">
        <v>1</v>
      </c>
    </row>
    <row r="596" spans="1:13">
      <c r="A596" s="8">
        <v>43264</v>
      </c>
      <c r="B596" s="9">
        <v>0.5229166666666667</v>
      </c>
      <c r="C596" s="10" t="str">
        <f>"FES1162629278"</f>
        <v>FES1162629278</v>
      </c>
      <c r="D596" s="10" t="s">
        <v>19</v>
      </c>
      <c r="E596" s="10" t="s">
        <v>99</v>
      </c>
      <c r="F596" s="10" t="str">
        <f>"2170630898 "</f>
        <v xml:space="preserve">2170630898 </v>
      </c>
      <c r="G596" s="10" t="str">
        <f t="shared" si="16"/>
        <v>ON1</v>
      </c>
      <c r="H596" s="10" t="s">
        <v>21</v>
      </c>
      <c r="I596" s="10" t="s">
        <v>100</v>
      </c>
      <c r="J596" s="10" t="str">
        <f>""</f>
        <v/>
      </c>
      <c r="K596" s="10" t="str">
        <f>"PFES1162629278_0001"</f>
        <v>PFES1162629278_0001</v>
      </c>
      <c r="L596" s="10">
        <v>1</v>
      </c>
      <c r="M596" s="10">
        <v>1</v>
      </c>
    </row>
    <row r="597" spans="1:13">
      <c r="A597" s="8">
        <v>43264</v>
      </c>
      <c r="B597" s="9">
        <v>0.52222222222222225</v>
      </c>
      <c r="C597" s="10" t="str">
        <f>"FES1162629244"</f>
        <v>FES1162629244</v>
      </c>
      <c r="D597" s="10" t="s">
        <v>19</v>
      </c>
      <c r="E597" s="10" t="s">
        <v>465</v>
      </c>
      <c r="F597" s="10" t="str">
        <f>"2170636273 "</f>
        <v xml:space="preserve">2170636273 </v>
      </c>
      <c r="G597" s="10" t="str">
        <f t="shared" si="16"/>
        <v>ON1</v>
      </c>
      <c r="H597" s="10" t="s">
        <v>21</v>
      </c>
      <c r="I597" s="10" t="s">
        <v>83</v>
      </c>
      <c r="J597" s="10" t="str">
        <f>""</f>
        <v/>
      </c>
      <c r="K597" s="10" t="str">
        <f>"PFES1162629244_0001"</f>
        <v>PFES1162629244_0001</v>
      </c>
      <c r="L597" s="10">
        <v>1</v>
      </c>
      <c r="M597" s="10">
        <v>1</v>
      </c>
    </row>
    <row r="598" spans="1:13">
      <c r="A598" s="8">
        <v>43264</v>
      </c>
      <c r="B598" s="9">
        <v>0.52222222222222225</v>
      </c>
      <c r="C598" s="10" t="str">
        <f>"FES1162629256"</f>
        <v>FES1162629256</v>
      </c>
      <c r="D598" s="10" t="s">
        <v>19</v>
      </c>
      <c r="E598" s="10" t="s">
        <v>533</v>
      </c>
      <c r="F598" s="10" t="str">
        <f>"2170636287 "</f>
        <v xml:space="preserve">2170636287 </v>
      </c>
      <c r="G598" s="10" t="str">
        <f t="shared" si="16"/>
        <v>ON1</v>
      </c>
      <c r="H598" s="10" t="s">
        <v>21</v>
      </c>
      <c r="I598" s="10" t="s">
        <v>393</v>
      </c>
      <c r="J598" s="10" t="str">
        <f>""</f>
        <v/>
      </c>
      <c r="K598" s="10" t="str">
        <f>"PFES1162629256_0001"</f>
        <v>PFES1162629256_0001</v>
      </c>
      <c r="L598" s="10">
        <v>1</v>
      </c>
      <c r="M598" s="10">
        <v>1</v>
      </c>
    </row>
    <row r="599" spans="1:13">
      <c r="A599" s="8">
        <v>43264</v>
      </c>
      <c r="B599" s="9">
        <v>0.52222222222222225</v>
      </c>
      <c r="C599" s="10" t="str">
        <f>"FES1162629322"</f>
        <v>FES1162629322</v>
      </c>
      <c r="D599" s="10" t="s">
        <v>19</v>
      </c>
      <c r="E599" s="10" t="s">
        <v>122</v>
      </c>
      <c r="F599" s="10" t="str">
        <f>"2170636367 "</f>
        <v xml:space="preserve">2170636367 </v>
      </c>
      <c r="G599" s="10" t="str">
        <f t="shared" si="16"/>
        <v>ON1</v>
      </c>
      <c r="H599" s="10" t="s">
        <v>21</v>
      </c>
      <c r="I599" s="10" t="s">
        <v>75</v>
      </c>
      <c r="J599" s="10" t="str">
        <f>""</f>
        <v/>
      </c>
      <c r="K599" s="10" t="str">
        <f>"PFES1162629322_0001"</f>
        <v>PFES1162629322_0001</v>
      </c>
      <c r="L599" s="10">
        <v>1</v>
      </c>
      <c r="M599" s="10">
        <v>1</v>
      </c>
    </row>
    <row r="600" spans="1:13">
      <c r="A600" s="8">
        <v>43264</v>
      </c>
      <c r="B600" s="9">
        <v>0.52152777777777781</v>
      </c>
      <c r="C600" s="10" t="str">
        <f>"FES1162629251"</f>
        <v>FES1162629251</v>
      </c>
      <c r="D600" s="10" t="s">
        <v>19</v>
      </c>
      <c r="E600" s="10" t="s">
        <v>534</v>
      </c>
      <c r="F600" s="10" t="str">
        <f>"2170636281 "</f>
        <v xml:space="preserve">2170636281 </v>
      </c>
      <c r="G600" s="10" t="str">
        <f t="shared" si="16"/>
        <v>ON1</v>
      </c>
      <c r="H600" s="10" t="s">
        <v>21</v>
      </c>
      <c r="I600" s="10" t="s">
        <v>356</v>
      </c>
      <c r="J600" s="10" t="str">
        <f>""</f>
        <v/>
      </c>
      <c r="K600" s="10" t="str">
        <f>"PFES1162629251_0001"</f>
        <v>PFES1162629251_0001</v>
      </c>
      <c r="L600" s="10">
        <v>1</v>
      </c>
      <c r="M600" s="10">
        <v>4</v>
      </c>
    </row>
    <row r="601" spans="1:13">
      <c r="A601" s="8">
        <v>43264</v>
      </c>
      <c r="B601" s="9">
        <v>0.52083333333333337</v>
      </c>
      <c r="C601" s="10" t="str">
        <f>"FES1162629341"</f>
        <v>FES1162629341</v>
      </c>
      <c r="D601" s="10" t="s">
        <v>19</v>
      </c>
      <c r="E601" s="10" t="s">
        <v>147</v>
      </c>
      <c r="F601" s="10" t="str">
        <f>"2170631913 "</f>
        <v xml:space="preserve">2170631913 </v>
      </c>
      <c r="G601" s="10" t="str">
        <f t="shared" si="16"/>
        <v>ON1</v>
      </c>
      <c r="H601" s="10" t="s">
        <v>21</v>
      </c>
      <c r="I601" s="10" t="s">
        <v>148</v>
      </c>
      <c r="J601" s="10" t="str">
        <f>""</f>
        <v/>
      </c>
      <c r="K601" s="10" t="str">
        <f>"PFES1162629341_0001"</f>
        <v>PFES1162629341_0001</v>
      </c>
      <c r="L601" s="10">
        <v>1</v>
      </c>
      <c r="M601" s="10">
        <v>3</v>
      </c>
    </row>
    <row r="602" spans="1:13">
      <c r="A602" s="8">
        <v>43264</v>
      </c>
      <c r="B602" s="9">
        <v>0.51944444444444449</v>
      </c>
      <c r="C602" s="10" t="str">
        <f>"FES1162629305"</f>
        <v>FES1162629305</v>
      </c>
      <c r="D602" s="10" t="s">
        <v>19</v>
      </c>
      <c r="E602" s="10" t="s">
        <v>535</v>
      </c>
      <c r="F602" s="10" t="str">
        <f>"2170636343 "</f>
        <v xml:space="preserve">2170636343 </v>
      </c>
      <c r="G602" s="10" t="str">
        <f t="shared" si="16"/>
        <v>ON1</v>
      </c>
      <c r="H602" s="10" t="s">
        <v>21</v>
      </c>
      <c r="I602" s="10" t="s">
        <v>146</v>
      </c>
      <c r="J602" s="10" t="str">
        <f>""</f>
        <v/>
      </c>
      <c r="K602" s="10" t="str">
        <f>"PFES1162629305_0001"</f>
        <v>PFES1162629305_0001</v>
      </c>
      <c r="L602" s="10">
        <v>1</v>
      </c>
      <c r="M602" s="10">
        <v>1</v>
      </c>
    </row>
    <row r="603" spans="1:13">
      <c r="A603" s="8">
        <v>43264</v>
      </c>
      <c r="B603" s="9">
        <v>0.51874999999999993</v>
      </c>
      <c r="C603" s="10" t="str">
        <f>"FES1162629311"</f>
        <v>FES1162629311</v>
      </c>
      <c r="D603" s="10" t="s">
        <v>19</v>
      </c>
      <c r="E603" s="10" t="s">
        <v>60</v>
      </c>
      <c r="F603" s="10" t="str">
        <f>"2170636357 "</f>
        <v xml:space="preserve">2170636357 </v>
      </c>
      <c r="G603" s="10" t="str">
        <f t="shared" si="16"/>
        <v>ON1</v>
      </c>
      <c r="H603" s="10" t="s">
        <v>21</v>
      </c>
      <c r="I603" s="10" t="s">
        <v>61</v>
      </c>
      <c r="J603" s="10" t="str">
        <f>""</f>
        <v/>
      </c>
      <c r="K603" s="10" t="str">
        <f>"PFES1162629311_0001"</f>
        <v>PFES1162629311_0001</v>
      </c>
      <c r="L603" s="10">
        <v>1</v>
      </c>
      <c r="M603" s="10">
        <v>15</v>
      </c>
    </row>
    <row r="604" spans="1:13">
      <c r="A604" s="8">
        <v>43264</v>
      </c>
      <c r="B604" s="9">
        <v>0.51874999999999993</v>
      </c>
      <c r="C604" s="10" t="str">
        <f>"FES1162629290"</f>
        <v>FES1162629290</v>
      </c>
      <c r="D604" s="10" t="s">
        <v>19</v>
      </c>
      <c r="E604" s="10" t="s">
        <v>130</v>
      </c>
      <c r="F604" s="10" t="str">
        <f>"2170636329 "</f>
        <v xml:space="preserve">2170636329 </v>
      </c>
      <c r="G604" s="10" t="str">
        <f t="shared" si="16"/>
        <v>ON1</v>
      </c>
      <c r="H604" s="10" t="s">
        <v>21</v>
      </c>
      <c r="I604" s="10" t="s">
        <v>131</v>
      </c>
      <c r="J604" s="10" t="str">
        <f>""</f>
        <v/>
      </c>
      <c r="K604" s="10" t="str">
        <f>"PFES1162629290_0001"</f>
        <v>PFES1162629290_0001</v>
      </c>
      <c r="L604" s="10">
        <v>1</v>
      </c>
      <c r="M604" s="10">
        <v>1</v>
      </c>
    </row>
    <row r="605" spans="1:13">
      <c r="A605" s="8">
        <v>43264</v>
      </c>
      <c r="B605" s="9">
        <v>0.5180555555555556</v>
      </c>
      <c r="C605" s="10" t="str">
        <f>"FES1162629337"</f>
        <v>FES1162629337</v>
      </c>
      <c r="D605" s="10" t="s">
        <v>19</v>
      </c>
      <c r="E605" s="10" t="s">
        <v>60</v>
      </c>
      <c r="F605" s="10" t="str">
        <f>"2170630865 "</f>
        <v xml:space="preserve">2170630865 </v>
      </c>
      <c r="G605" s="10" t="str">
        <f t="shared" si="16"/>
        <v>ON1</v>
      </c>
      <c r="H605" s="10" t="s">
        <v>21</v>
      </c>
      <c r="I605" s="10" t="s">
        <v>61</v>
      </c>
      <c r="J605" s="10" t="str">
        <f>""</f>
        <v/>
      </c>
      <c r="K605" s="10" t="str">
        <f>"PFES1162629337_0001"</f>
        <v>PFES1162629337_0001</v>
      </c>
      <c r="L605" s="10">
        <v>1</v>
      </c>
      <c r="M605" s="10">
        <v>4</v>
      </c>
    </row>
    <row r="606" spans="1:13">
      <c r="A606" s="8">
        <v>43264</v>
      </c>
      <c r="B606" s="9">
        <v>0.51736111111111105</v>
      </c>
      <c r="C606" s="10" t="str">
        <f>"FES1162629300"</f>
        <v>FES1162629300</v>
      </c>
      <c r="D606" s="10" t="s">
        <v>19</v>
      </c>
      <c r="E606" s="10" t="s">
        <v>536</v>
      </c>
      <c r="F606" s="10" t="str">
        <f>"2170636341 "</f>
        <v xml:space="preserve">2170636341 </v>
      </c>
      <c r="G606" s="10" t="str">
        <f t="shared" si="16"/>
        <v>ON1</v>
      </c>
      <c r="H606" s="10" t="s">
        <v>21</v>
      </c>
      <c r="I606" s="10" t="s">
        <v>487</v>
      </c>
      <c r="J606" s="10" t="str">
        <f>""</f>
        <v/>
      </c>
      <c r="K606" s="10" t="str">
        <f>"PFES1162629300_0001"</f>
        <v>PFES1162629300_0001</v>
      </c>
      <c r="L606" s="10">
        <v>1</v>
      </c>
      <c r="M606" s="10">
        <v>1</v>
      </c>
    </row>
    <row r="607" spans="1:13">
      <c r="A607" s="8">
        <v>43264</v>
      </c>
      <c r="B607" s="9">
        <v>0.51666666666666672</v>
      </c>
      <c r="C607" s="10" t="str">
        <f>"FES1162629332"</f>
        <v>FES1162629332</v>
      </c>
      <c r="D607" s="10" t="s">
        <v>19</v>
      </c>
      <c r="E607" s="10" t="s">
        <v>537</v>
      </c>
      <c r="F607" s="10" t="str">
        <f>"2170627501 "</f>
        <v xml:space="preserve">2170627501 </v>
      </c>
      <c r="G607" s="10" t="str">
        <f t="shared" si="16"/>
        <v>ON1</v>
      </c>
      <c r="H607" s="10" t="s">
        <v>21</v>
      </c>
      <c r="I607" s="10" t="s">
        <v>303</v>
      </c>
      <c r="J607" s="10" t="str">
        <f>""</f>
        <v/>
      </c>
      <c r="K607" s="10" t="str">
        <f>"PFES1162629332_0001"</f>
        <v>PFES1162629332_0001</v>
      </c>
      <c r="L607" s="10">
        <v>1</v>
      </c>
      <c r="M607" s="10">
        <v>7</v>
      </c>
    </row>
    <row r="608" spans="1:13">
      <c r="A608" s="8">
        <v>43264</v>
      </c>
      <c r="B608" s="9">
        <v>0.51597222222222217</v>
      </c>
      <c r="C608" s="10" t="str">
        <f>"FES1162629279"</f>
        <v>FES1162629279</v>
      </c>
      <c r="D608" s="10" t="s">
        <v>19</v>
      </c>
      <c r="E608" s="10" t="s">
        <v>538</v>
      </c>
      <c r="F608" s="10" t="str">
        <f>"2170636316 "</f>
        <v xml:space="preserve">2170636316 </v>
      </c>
      <c r="G608" s="10" t="str">
        <f t="shared" si="16"/>
        <v>ON1</v>
      </c>
      <c r="H608" s="10" t="s">
        <v>21</v>
      </c>
      <c r="I608" s="10" t="s">
        <v>83</v>
      </c>
      <c r="J608" s="10" t="str">
        <f>""</f>
        <v/>
      </c>
      <c r="K608" s="10" t="str">
        <f>"PFES1162629279_0001"</f>
        <v>PFES1162629279_0001</v>
      </c>
      <c r="L608" s="10">
        <v>1</v>
      </c>
      <c r="M608" s="10">
        <v>1</v>
      </c>
    </row>
    <row r="609" spans="1:13">
      <c r="A609" s="8">
        <v>43264</v>
      </c>
      <c r="B609" s="9">
        <v>0.51597222222222217</v>
      </c>
      <c r="C609" s="10" t="str">
        <f>"FES1162629313"</f>
        <v>FES1162629313</v>
      </c>
      <c r="D609" s="10" t="s">
        <v>19</v>
      </c>
      <c r="E609" s="10" t="s">
        <v>539</v>
      </c>
      <c r="F609" s="10" t="str">
        <f>"2170636361 "</f>
        <v xml:space="preserve">2170636361 </v>
      </c>
      <c r="G609" s="10" t="str">
        <f t="shared" si="16"/>
        <v>ON1</v>
      </c>
      <c r="H609" s="10" t="s">
        <v>21</v>
      </c>
      <c r="I609" s="10" t="s">
        <v>96</v>
      </c>
      <c r="J609" s="10" t="str">
        <f>""</f>
        <v/>
      </c>
      <c r="K609" s="10" t="str">
        <f>"PFES1162629313_0001"</f>
        <v>PFES1162629313_0001</v>
      </c>
      <c r="L609" s="10">
        <v>1</v>
      </c>
      <c r="M609" s="10">
        <v>2</v>
      </c>
    </row>
    <row r="610" spans="1:13">
      <c r="A610" s="8">
        <v>43264</v>
      </c>
      <c r="B610" s="9">
        <v>0.51597222222222217</v>
      </c>
      <c r="C610" s="10" t="str">
        <f>"FES1162629234"</f>
        <v>FES1162629234</v>
      </c>
      <c r="D610" s="10" t="s">
        <v>19</v>
      </c>
      <c r="E610" s="10" t="s">
        <v>376</v>
      </c>
      <c r="F610" s="10" t="str">
        <f>"2170635909 "</f>
        <v xml:space="preserve">2170635909 </v>
      </c>
      <c r="G610" s="10" t="str">
        <f t="shared" si="16"/>
        <v>ON1</v>
      </c>
      <c r="H610" s="10" t="s">
        <v>21</v>
      </c>
      <c r="I610" s="10" t="s">
        <v>83</v>
      </c>
      <c r="J610" s="10" t="str">
        <f>""</f>
        <v/>
      </c>
      <c r="K610" s="10" t="str">
        <f>"PFES1162629234_0001"</f>
        <v>PFES1162629234_0001</v>
      </c>
      <c r="L610" s="10">
        <v>1</v>
      </c>
      <c r="M610" s="10">
        <v>1</v>
      </c>
    </row>
    <row r="611" spans="1:13">
      <c r="A611" s="8">
        <v>43264</v>
      </c>
      <c r="B611" s="9">
        <v>0.51527777777777783</v>
      </c>
      <c r="C611" s="10" t="str">
        <f>"FES1162629294"</f>
        <v>FES1162629294</v>
      </c>
      <c r="D611" s="10" t="s">
        <v>19</v>
      </c>
      <c r="E611" s="10" t="s">
        <v>486</v>
      </c>
      <c r="F611" s="10" t="str">
        <f>"2170636335 "</f>
        <v xml:space="preserve">2170636335 </v>
      </c>
      <c r="G611" s="10" t="str">
        <f t="shared" si="16"/>
        <v>ON1</v>
      </c>
      <c r="H611" s="10" t="s">
        <v>21</v>
      </c>
      <c r="I611" s="10" t="s">
        <v>487</v>
      </c>
      <c r="J611" s="10" t="str">
        <f>""</f>
        <v/>
      </c>
      <c r="K611" s="10" t="str">
        <f>"PFES1162629294_0001"</f>
        <v>PFES1162629294_0001</v>
      </c>
      <c r="L611" s="10">
        <v>1</v>
      </c>
      <c r="M611" s="10">
        <v>1</v>
      </c>
    </row>
    <row r="612" spans="1:13">
      <c r="A612" s="8">
        <v>43264</v>
      </c>
      <c r="B612" s="9">
        <v>0.51458333333333328</v>
      </c>
      <c r="C612" s="10" t="str">
        <f>"FES1162629344"</f>
        <v>FES1162629344</v>
      </c>
      <c r="D612" s="10" t="s">
        <v>19</v>
      </c>
      <c r="E612" s="10" t="s">
        <v>314</v>
      </c>
      <c r="F612" s="10" t="str">
        <f>"2170632647 "</f>
        <v xml:space="preserve">2170632647 </v>
      </c>
      <c r="G612" s="10" t="str">
        <f t="shared" si="16"/>
        <v>ON1</v>
      </c>
      <c r="H612" s="10" t="s">
        <v>21</v>
      </c>
      <c r="I612" s="10" t="s">
        <v>57</v>
      </c>
      <c r="J612" s="10" t="str">
        <f>""</f>
        <v/>
      </c>
      <c r="K612" s="10" t="str">
        <f>"PFES1162629344_0001"</f>
        <v>PFES1162629344_0001</v>
      </c>
      <c r="L612" s="10">
        <v>1</v>
      </c>
      <c r="M612" s="10">
        <v>3</v>
      </c>
    </row>
    <row r="613" spans="1:13">
      <c r="A613" s="8">
        <v>43264</v>
      </c>
      <c r="B613" s="9">
        <v>0.51458333333333328</v>
      </c>
      <c r="C613" s="10" t="str">
        <f>"FES1162629262"</f>
        <v>FES1162629262</v>
      </c>
      <c r="D613" s="10" t="s">
        <v>19</v>
      </c>
      <c r="E613" s="10" t="s">
        <v>99</v>
      </c>
      <c r="F613" s="10" t="str">
        <f>"2170636294 "</f>
        <v xml:space="preserve">2170636294 </v>
      </c>
      <c r="G613" s="10" t="str">
        <f t="shared" si="16"/>
        <v>ON1</v>
      </c>
      <c r="H613" s="10" t="s">
        <v>21</v>
      </c>
      <c r="I613" s="10" t="s">
        <v>79</v>
      </c>
      <c r="J613" s="10" t="str">
        <f>""</f>
        <v/>
      </c>
      <c r="K613" s="10" t="str">
        <f>"PFES1162629262_0001"</f>
        <v>PFES1162629262_0001</v>
      </c>
      <c r="L613" s="10">
        <v>1</v>
      </c>
      <c r="M613" s="10">
        <v>1</v>
      </c>
    </row>
    <row r="614" spans="1:13">
      <c r="A614" s="8">
        <v>43264</v>
      </c>
      <c r="B614" s="9">
        <v>0.51388888888888895</v>
      </c>
      <c r="C614" s="10" t="str">
        <f>"FES1162629238"</f>
        <v>FES1162629238</v>
      </c>
      <c r="D614" s="10" t="s">
        <v>19</v>
      </c>
      <c r="E614" s="10" t="s">
        <v>408</v>
      </c>
      <c r="F614" s="10" t="str">
        <f>"2170636206 "</f>
        <v xml:space="preserve">2170636206 </v>
      </c>
      <c r="G614" s="10" t="str">
        <f t="shared" si="16"/>
        <v>ON1</v>
      </c>
      <c r="H614" s="10" t="s">
        <v>21</v>
      </c>
      <c r="I614" s="10" t="s">
        <v>297</v>
      </c>
      <c r="J614" s="10" t="str">
        <f>""</f>
        <v/>
      </c>
      <c r="K614" s="10" t="str">
        <f>"PFES1162629238_0001"</f>
        <v>PFES1162629238_0001</v>
      </c>
      <c r="L614" s="10">
        <v>1</v>
      </c>
      <c r="M614" s="10">
        <v>1</v>
      </c>
    </row>
    <row r="615" spans="1:13">
      <c r="A615" s="8">
        <v>43264</v>
      </c>
      <c r="B615" s="9">
        <v>0.5131944444444444</v>
      </c>
      <c r="C615" s="10" t="str">
        <f>"FES1162629327"</f>
        <v>FES1162629327</v>
      </c>
      <c r="D615" s="10" t="s">
        <v>19</v>
      </c>
      <c r="E615" s="10" t="s">
        <v>126</v>
      </c>
      <c r="F615" s="10" t="str">
        <f>"2170636374 "</f>
        <v xml:space="preserve">2170636374 </v>
      </c>
      <c r="G615" s="10" t="str">
        <f t="shared" si="16"/>
        <v>ON1</v>
      </c>
      <c r="H615" s="10" t="s">
        <v>21</v>
      </c>
      <c r="I615" s="10" t="s">
        <v>127</v>
      </c>
      <c r="J615" s="10" t="str">
        <f>""</f>
        <v/>
      </c>
      <c r="K615" s="10" t="str">
        <f>"PFES1162629327_0001"</f>
        <v>PFES1162629327_0001</v>
      </c>
      <c r="L615" s="10">
        <v>1</v>
      </c>
      <c r="M615" s="10">
        <v>1</v>
      </c>
    </row>
    <row r="616" spans="1:13">
      <c r="A616" s="8">
        <v>43264</v>
      </c>
      <c r="B616" s="9">
        <v>0.51250000000000007</v>
      </c>
      <c r="C616" s="10" t="str">
        <f>"FES1162629365"</f>
        <v>FES1162629365</v>
      </c>
      <c r="D616" s="10" t="s">
        <v>19</v>
      </c>
      <c r="E616" s="10" t="s">
        <v>56</v>
      </c>
      <c r="F616" s="10" t="str">
        <f>"2170636465 "</f>
        <v xml:space="preserve">2170636465 </v>
      </c>
      <c r="G616" s="10" t="str">
        <f t="shared" si="16"/>
        <v>ON1</v>
      </c>
      <c r="H616" s="10" t="s">
        <v>21</v>
      </c>
      <c r="I616" s="10" t="s">
        <v>57</v>
      </c>
      <c r="J616" s="10" t="str">
        <f>""</f>
        <v/>
      </c>
      <c r="K616" s="10" t="str">
        <f>"PFES1162629365_0001"</f>
        <v>PFES1162629365_0001</v>
      </c>
      <c r="L616" s="10">
        <v>1</v>
      </c>
      <c r="M616" s="10">
        <v>1</v>
      </c>
    </row>
    <row r="617" spans="1:13">
      <c r="A617" s="8">
        <v>43264</v>
      </c>
      <c r="B617" s="9">
        <v>0.51180555555555551</v>
      </c>
      <c r="C617" s="10" t="str">
        <f>"FES1162629326"</f>
        <v>FES1162629326</v>
      </c>
      <c r="D617" s="10" t="s">
        <v>19</v>
      </c>
      <c r="E617" s="10" t="s">
        <v>60</v>
      </c>
      <c r="F617" s="10" t="str">
        <f>"2170636373 "</f>
        <v xml:space="preserve">2170636373 </v>
      </c>
      <c r="G617" s="10" t="str">
        <f t="shared" si="16"/>
        <v>ON1</v>
      </c>
      <c r="H617" s="10" t="s">
        <v>21</v>
      </c>
      <c r="I617" s="10" t="s">
        <v>61</v>
      </c>
      <c r="J617" s="10" t="str">
        <f>""</f>
        <v/>
      </c>
      <c r="K617" s="10" t="str">
        <f>"PFES1162629326_0001"</f>
        <v>PFES1162629326_0001</v>
      </c>
      <c r="L617" s="10">
        <v>1</v>
      </c>
      <c r="M617" s="10">
        <v>1</v>
      </c>
    </row>
    <row r="618" spans="1:13">
      <c r="A618" s="8">
        <v>43264</v>
      </c>
      <c r="B618" s="9">
        <v>0.4909722222222222</v>
      </c>
      <c r="C618" s="10" t="str">
        <f>"FES1162629227"</f>
        <v>FES1162629227</v>
      </c>
      <c r="D618" s="10" t="s">
        <v>19</v>
      </c>
      <c r="E618" s="10" t="s">
        <v>29</v>
      </c>
      <c r="F618" s="10" t="str">
        <f>"2170634782 "</f>
        <v xml:space="preserve">2170634782 </v>
      </c>
      <c r="G618" s="10" t="str">
        <f t="shared" si="16"/>
        <v>ON1</v>
      </c>
      <c r="H618" s="10" t="s">
        <v>21</v>
      </c>
      <c r="I618" s="10" t="s">
        <v>30</v>
      </c>
      <c r="J618" s="10" t="str">
        <f>""</f>
        <v/>
      </c>
      <c r="K618" s="10" t="str">
        <f>"PFES1162629227_0001"</f>
        <v>PFES1162629227_0001</v>
      </c>
      <c r="L618" s="10">
        <v>1</v>
      </c>
      <c r="M618" s="10">
        <v>1</v>
      </c>
    </row>
    <row r="619" spans="1:13">
      <c r="A619" s="8">
        <v>43264</v>
      </c>
      <c r="B619" s="9">
        <v>0.47500000000000003</v>
      </c>
      <c r="C619" s="10" t="str">
        <f>"FES1162629232"</f>
        <v>FES1162629232</v>
      </c>
      <c r="D619" s="10" t="s">
        <v>19</v>
      </c>
      <c r="E619" s="10" t="s">
        <v>319</v>
      </c>
      <c r="F619" s="10" t="str">
        <f>"2170635580 "</f>
        <v xml:space="preserve">2170635580 </v>
      </c>
      <c r="G619" s="10" t="str">
        <f t="shared" si="16"/>
        <v>ON1</v>
      </c>
      <c r="H619" s="10" t="s">
        <v>21</v>
      </c>
      <c r="I619" s="10" t="s">
        <v>106</v>
      </c>
      <c r="J619" s="10" t="str">
        <f>""</f>
        <v/>
      </c>
      <c r="K619" s="10" t="str">
        <f>"PFES1162629232_0001"</f>
        <v>PFES1162629232_0001</v>
      </c>
      <c r="L619" s="10">
        <v>1</v>
      </c>
      <c r="M619" s="10">
        <v>1</v>
      </c>
    </row>
    <row r="620" spans="1:13">
      <c r="A620" s="8">
        <v>43264</v>
      </c>
      <c r="B620" s="9">
        <v>0.47430555555555554</v>
      </c>
      <c r="C620" s="10" t="str">
        <f>"FES1162629231"</f>
        <v>FES1162629231</v>
      </c>
      <c r="D620" s="10" t="s">
        <v>19</v>
      </c>
      <c r="E620" s="10" t="s">
        <v>67</v>
      </c>
      <c r="F620" s="10" t="str">
        <f>"2170635247 "</f>
        <v xml:space="preserve">2170635247 </v>
      </c>
      <c r="G620" s="10" t="str">
        <f t="shared" si="16"/>
        <v>ON1</v>
      </c>
      <c r="H620" s="10" t="s">
        <v>21</v>
      </c>
      <c r="I620" s="10" t="s">
        <v>146</v>
      </c>
      <c r="J620" s="10" t="str">
        <f>""</f>
        <v/>
      </c>
      <c r="K620" s="10" t="str">
        <f>"PFES1162629231_0001"</f>
        <v>PFES1162629231_0001</v>
      </c>
      <c r="L620" s="10">
        <v>1</v>
      </c>
      <c r="M620" s="10">
        <v>1</v>
      </c>
    </row>
    <row r="621" spans="1:13">
      <c r="A621" s="8">
        <v>43264</v>
      </c>
      <c r="B621" s="9">
        <v>0.47361111111111115</v>
      </c>
      <c r="C621" s="10" t="str">
        <f>"FES1162629260"</f>
        <v>FES1162629260</v>
      </c>
      <c r="D621" s="10" t="s">
        <v>19</v>
      </c>
      <c r="E621" s="10" t="s">
        <v>540</v>
      </c>
      <c r="F621" s="10" t="str">
        <f>"2170636290 "</f>
        <v xml:space="preserve">2170636290 </v>
      </c>
      <c r="G621" s="10" t="str">
        <f t="shared" si="16"/>
        <v>ON1</v>
      </c>
      <c r="H621" s="10" t="s">
        <v>21</v>
      </c>
      <c r="I621" s="10" t="s">
        <v>55</v>
      </c>
      <c r="J621" s="10" t="str">
        <f>""</f>
        <v/>
      </c>
      <c r="K621" s="10" t="str">
        <f>"PFES1162629260_0001"</f>
        <v>PFES1162629260_0001</v>
      </c>
      <c r="L621" s="10">
        <v>1</v>
      </c>
      <c r="M621" s="10">
        <v>1</v>
      </c>
    </row>
    <row r="622" spans="1:13">
      <c r="A622" s="8">
        <v>43264</v>
      </c>
      <c r="B622" s="9">
        <v>0.46736111111111112</v>
      </c>
      <c r="C622" s="10" t="str">
        <f>"FES1162629229"</f>
        <v>FES1162629229</v>
      </c>
      <c r="D622" s="10" t="s">
        <v>19</v>
      </c>
      <c r="E622" s="10" t="s">
        <v>539</v>
      </c>
      <c r="F622" s="10" t="str">
        <f>"2170635165 "</f>
        <v xml:space="preserve">2170635165 </v>
      </c>
      <c r="G622" s="10" t="str">
        <f t="shared" si="16"/>
        <v>ON1</v>
      </c>
      <c r="H622" s="10" t="s">
        <v>21</v>
      </c>
      <c r="I622" s="10" t="s">
        <v>96</v>
      </c>
      <c r="J622" s="10" t="str">
        <f>""</f>
        <v/>
      </c>
      <c r="K622" s="10" t="str">
        <f>"PFES1162629229_0001"</f>
        <v>PFES1162629229_0001</v>
      </c>
      <c r="L622" s="10">
        <v>1</v>
      </c>
      <c r="M622" s="10">
        <v>1</v>
      </c>
    </row>
    <row r="623" spans="1:13">
      <c r="A623" s="8">
        <v>43264</v>
      </c>
      <c r="B623" s="9">
        <v>0.46666666666666662</v>
      </c>
      <c r="C623" s="10" t="str">
        <f>"FES1162629230"</f>
        <v>FES1162629230</v>
      </c>
      <c r="D623" s="10" t="s">
        <v>19</v>
      </c>
      <c r="E623" s="10" t="s">
        <v>541</v>
      </c>
      <c r="F623" s="10" t="str">
        <f>"2170635301 "</f>
        <v xml:space="preserve">2170635301 </v>
      </c>
      <c r="G623" s="10" t="str">
        <f t="shared" si="16"/>
        <v>ON1</v>
      </c>
      <c r="H623" s="10" t="s">
        <v>21</v>
      </c>
      <c r="I623" s="10" t="s">
        <v>96</v>
      </c>
      <c r="J623" s="10" t="str">
        <f>""</f>
        <v/>
      </c>
      <c r="K623" s="10" t="str">
        <f>"PFES1162629230_0001"</f>
        <v>PFES1162629230_0001</v>
      </c>
      <c r="L623" s="10">
        <v>1</v>
      </c>
      <c r="M623" s="10">
        <v>1</v>
      </c>
    </row>
    <row r="624" spans="1:13">
      <c r="A624" s="8">
        <v>43264</v>
      </c>
      <c r="B624" s="9">
        <v>0.46666666666666662</v>
      </c>
      <c r="C624" s="10" t="str">
        <f>"FES1162629222"</f>
        <v>FES1162629222</v>
      </c>
      <c r="D624" s="10" t="s">
        <v>19</v>
      </c>
      <c r="E624" s="10" t="s">
        <v>542</v>
      </c>
      <c r="F624" s="10" t="str">
        <f>"2170633690 "</f>
        <v xml:space="preserve">2170633690 </v>
      </c>
      <c r="G624" s="10" t="str">
        <f t="shared" si="16"/>
        <v>ON1</v>
      </c>
      <c r="H624" s="10" t="s">
        <v>21</v>
      </c>
      <c r="I624" s="10" t="s">
        <v>104</v>
      </c>
      <c r="J624" s="10" t="str">
        <f>""</f>
        <v/>
      </c>
      <c r="K624" s="10" t="str">
        <f>"PFES1162629222_0001"</f>
        <v>PFES1162629222_0001</v>
      </c>
      <c r="L624" s="10">
        <v>1</v>
      </c>
      <c r="M624" s="10">
        <v>1</v>
      </c>
    </row>
    <row r="625" spans="1:13">
      <c r="A625" s="8">
        <v>43264</v>
      </c>
      <c r="B625" s="9">
        <v>0.37013888888888885</v>
      </c>
      <c r="C625" s="10" t="str">
        <f>"FES1162629253"</f>
        <v>FES1162629253</v>
      </c>
      <c r="D625" s="10" t="s">
        <v>19</v>
      </c>
      <c r="E625" s="10" t="s">
        <v>95</v>
      </c>
      <c r="F625" s="10" t="str">
        <f>"2170636283 "</f>
        <v xml:space="preserve">2170636283 </v>
      </c>
      <c r="G625" s="10" t="str">
        <f t="shared" si="16"/>
        <v>ON1</v>
      </c>
      <c r="H625" s="10" t="s">
        <v>21</v>
      </c>
      <c r="I625" s="10" t="s">
        <v>96</v>
      </c>
      <c r="J625" s="10" t="str">
        <f>""</f>
        <v/>
      </c>
      <c r="K625" s="10" t="str">
        <f>"PFES1162629253_0001"</f>
        <v>PFES1162629253_0001</v>
      </c>
      <c r="L625" s="10">
        <v>1</v>
      </c>
      <c r="M625" s="10">
        <v>6</v>
      </c>
    </row>
    <row r="626" spans="1:13">
      <c r="A626" s="8">
        <v>43264</v>
      </c>
      <c r="B626" s="9">
        <v>0.36944444444444446</v>
      </c>
      <c r="C626" s="10" t="str">
        <f>"FES1162629235"</f>
        <v>FES1162629235</v>
      </c>
      <c r="D626" s="10" t="s">
        <v>19</v>
      </c>
      <c r="E626" s="10" t="s">
        <v>149</v>
      </c>
      <c r="F626" s="10" t="str">
        <f>"2170636128 "</f>
        <v xml:space="preserve">2170636128 </v>
      </c>
      <c r="G626" s="10" t="str">
        <f t="shared" si="16"/>
        <v>ON1</v>
      </c>
      <c r="H626" s="10" t="s">
        <v>21</v>
      </c>
      <c r="I626" s="10" t="s">
        <v>96</v>
      </c>
      <c r="J626" s="10" t="str">
        <f>""</f>
        <v/>
      </c>
      <c r="K626" s="10" t="str">
        <f>"PFES1162629235_0001"</f>
        <v>PFES1162629235_0001</v>
      </c>
      <c r="L626" s="10">
        <v>1</v>
      </c>
      <c r="M626" s="10">
        <v>1</v>
      </c>
    </row>
    <row r="627" spans="1:13">
      <c r="A627" s="8">
        <v>43264</v>
      </c>
      <c r="B627" s="9">
        <v>0.36805555555555558</v>
      </c>
      <c r="C627" s="10" t="str">
        <f>"FES1162629218"</f>
        <v>FES1162629218</v>
      </c>
      <c r="D627" s="10" t="s">
        <v>19</v>
      </c>
      <c r="E627" s="10" t="s">
        <v>149</v>
      </c>
      <c r="F627" s="10" t="str">
        <f>"2170631992 "</f>
        <v xml:space="preserve">2170631992 </v>
      </c>
      <c r="G627" s="10" t="str">
        <f t="shared" si="16"/>
        <v>ON1</v>
      </c>
      <c r="H627" s="10" t="s">
        <v>21</v>
      </c>
      <c r="I627" s="10" t="s">
        <v>96</v>
      </c>
      <c r="J627" s="10" t="str">
        <f>""</f>
        <v/>
      </c>
      <c r="K627" s="10" t="str">
        <f>"PFES1162629218_0001"</f>
        <v>PFES1162629218_0001</v>
      </c>
      <c r="L627" s="10">
        <v>1</v>
      </c>
      <c r="M627" s="10">
        <v>5</v>
      </c>
    </row>
    <row r="628" spans="1:13">
      <c r="A628" s="8">
        <v>43264</v>
      </c>
      <c r="B628" s="9">
        <v>0.36527777777777781</v>
      </c>
      <c r="C628" s="10" t="str">
        <f>"FES1162629241"</f>
        <v>FES1162629241</v>
      </c>
      <c r="D628" s="10" t="s">
        <v>19</v>
      </c>
      <c r="E628" s="10" t="s">
        <v>105</v>
      </c>
      <c r="F628" s="10" t="str">
        <f>"2170636265 "</f>
        <v xml:space="preserve">2170636265 </v>
      </c>
      <c r="G628" s="10" t="str">
        <f t="shared" si="16"/>
        <v>ON1</v>
      </c>
      <c r="H628" s="10" t="s">
        <v>21</v>
      </c>
      <c r="I628" s="10" t="s">
        <v>106</v>
      </c>
      <c r="J628" s="10" t="str">
        <f>""</f>
        <v/>
      </c>
      <c r="K628" s="10" t="str">
        <f>"PFES1162629241_0001"</f>
        <v>PFES1162629241_0001</v>
      </c>
      <c r="L628" s="10">
        <v>1</v>
      </c>
      <c r="M628" s="10">
        <v>5</v>
      </c>
    </row>
    <row r="629" spans="1:13">
      <c r="A629" s="8">
        <v>43264</v>
      </c>
      <c r="B629" s="9">
        <v>0.36458333333333331</v>
      </c>
      <c r="C629" s="10" t="str">
        <f>"FES1162629225"</f>
        <v>FES1162629225</v>
      </c>
      <c r="D629" s="10" t="s">
        <v>19</v>
      </c>
      <c r="E629" s="10" t="s">
        <v>105</v>
      </c>
      <c r="F629" s="10" t="str">
        <f>"2170634505 "</f>
        <v xml:space="preserve">2170634505 </v>
      </c>
      <c r="G629" s="10" t="str">
        <f t="shared" si="16"/>
        <v>ON1</v>
      </c>
      <c r="H629" s="10" t="s">
        <v>21</v>
      </c>
      <c r="I629" s="10" t="s">
        <v>106</v>
      </c>
      <c r="J629" s="10" t="str">
        <f>""</f>
        <v/>
      </c>
      <c r="K629" s="10" t="str">
        <f>"PFES1162629225_0001"</f>
        <v>PFES1162629225_0001</v>
      </c>
      <c r="L629" s="10">
        <v>1</v>
      </c>
      <c r="M629" s="10">
        <v>15</v>
      </c>
    </row>
    <row r="630" spans="1:13">
      <c r="A630" s="8">
        <v>43265</v>
      </c>
      <c r="B630" s="9">
        <v>0.70000000000000007</v>
      </c>
      <c r="C630" s="10" t="str">
        <f>"FES1162629750"</f>
        <v>FES1162629750</v>
      </c>
      <c r="D630" s="10" t="s">
        <v>19</v>
      </c>
      <c r="E630" s="10" t="s">
        <v>543</v>
      </c>
      <c r="F630" s="10" t="str">
        <f>"2170636791 "</f>
        <v xml:space="preserve">2170636791 </v>
      </c>
      <c r="G630" s="10" t="str">
        <f t="shared" ref="G630:G640" si="17">"ON1"</f>
        <v>ON1</v>
      </c>
      <c r="H630" s="10" t="s">
        <v>21</v>
      </c>
      <c r="I630" s="10" t="s">
        <v>544</v>
      </c>
      <c r="J630" s="10" t="str">
        <f>""</f>
        <v/>
      </c>
      <c r="K630" s="10" t="str">
        <f>"PFES1162629750_0001"</f>
        <v>PFES1162629750_0001</v>
      </c>
      <c r="L630" s="10">
        <v>1</v>
      </c>
      <c r="M630" s="10">
        <v>7</v>
      </c>
    </row>
    <row r="631" spans="1:13">
      <c r="A631" s="8">
        <v>43265</v>
      </c>
      <c r="B631" s="9">
        <v>0.69930555555555562</v>
      </c>
      <c r="C631" s="10" t="str">
        <f>"FES1162629757"</f>
        <v>FES1162629757</v>
      </c>
      <c r="D631" s="10" t="s">
        <v>19</v>
      </c>
      <c r="E631" s="10" t="s">
        <v>117</v>
      </c>
      <c r="F631" s="10" t="str">
        <f>"2170636797 "</f>
        <v xml:space="preserve">2170636797 </v>
      </c>
      <c r="G631" s="10" t="str">
        <f t="shared" si="17"/>
        <v>ON1</v>
      </c>
      <c r="H631" s="10" t="s">
        <v>21</v>
      </c>
      <c r="I631" s="10" t="s">
        <v>118</v>
      </c>
      <c r="J631" s="10" t="str">
        <f>""</f>
        <v/>
      </c>
      <c r="K631" s="10" t="str">
        <f>"PFES1162629757_0001"</f>
        <v>PFES1162629757_0001</v>
      </c>
      <c r="L631" s="10">
        <v>1</v>
      </c>
      <c r="M631" s="10">
        <v>9</v>
      </c>
    </row>
    <row r="632" spans="1:13">
      <c r="A632" s="8">
        <v>43265</v>
      </c>
      <c r="B632" s="9">
        <v>0.69861111111111107</v>
      </c>
      <c r="C632" s="10" t="str">
        <f>"FES1162629760"</f>
        <v>FES1162629760</v>
      </c>
      <c r="D632" s="10" t="s">
        <v>19</v>
      </c>
      <c r="E632" s="10" t="s">
        <v>191</v>
      </c>
      <c r="F632" s="10" t="str">
        <f>"2170636805 "</f>
        <v xml:space="preserve">2170636805 </v>
      </c>
      <c r="G632" s="10" t="str">
        <f t="shared" si="17"/>
        <v>ON1</v>
      </c>
      <c r="H632" s="10" t="s">
        <v>21</v>
      </c>
      <c r="I632" s="10" t="s">
        <v>192</v>
      </c>
      <c r="J632" s="10" t="str">
        <f>""</f>
        <v/>
      </c>
      <c r="K632" s="10" t="str">
        <f>"PFES1162629760_0001"</f>
        <v>PFES1162629760_0001</v>
      </c>
      <c r="L632" s="10">
        <v>1</v>
      </c>
      <c r="M632" s="10">
        <v>2</v>
      </c>
    </row>
    <row r="633" spans="1:13">
      <c r="A633" s="8">
        <v>43265</v>
      </c>
      <c r="B633" s="9">
        <v>0.69791666666666663</v>
      </c>
      <c r="C633" s="10" t="str">
        <f>"FES1162629762"</f>
        <v>FES1162629762</v>
      </c>
      <c r="D633" s="10" t="s">
        <v>19</v>
      </c>
      <c r="E633" s="10" t="s">
        <v>43</v>
      </c>
      <c r="F633" s="10" t="str">
        <f>"2170635124 "</f>
        <v xml:space="preserve">2170635124 </v>
      </c>
      <c r="G633" s="10" t="str">
        <f t="shared" si="17"/>
        <v>ON1</v>
      </c>
      <c r="H633" s="10" t="s">
        <v>21</v>
      </c>
      <c r="I633" s="10" t="s">
        <v>44</v>
      </c>
      <c r="J633" s="10" t="str">
        <f>""</f>
        <v/>
      </c>
      <c r="K633" s="10" t="str">
        <f>"PFES1162629762_0001"</f>
        <v>PFES1162629762_0001</v>
      </c>
      <c r="L633" s="10">
        <v>2</v>
      </c>
      <c r="M633" s="10">
        <v>8</v>
      </c>
    </row>
    <row r="634" spans="1:13">
      <c r="A634" s="8">
        <v>43265</v>
      </c>
      <c r="B634" s="9">
        <v>0.6972222222222223</v>
      </c>
      <c r="C634" s="10" t="str">
        <f>"FES1162629758"</f>
        <v>FES1162629758</v>
      </c>
      <c r="D634" s="10" t="s">
        <v>19</v>
      </c>
      <c r="E634" s="10" t="s">
        <v>325</v>
      </c>
      <c r="F634" s="10" t="str">
        <f>"2170636800 "</f>
        <v xml:space="preserve">2170636800 </v>
      </c>
      <c r="G634" s="10" t="str">
        <f t="shared" si="17"/>
        <v>ON1</v>
      </c>
      <c r="H634" s="10" t="s">
        <v>21</v>
      </c>
      <c r="I634" s="10" t="s">
        <v>326</v>
      </c>
      <c r="J634" s="10" t="str">
        <f>""</f>
        <v/>
      </c>
      <c r="K634" s="10" t="str">
        <f>"PFES1162629758_0001"</f>
        <v>PFES1162629758_0001</v>
      </c>
      <c r="L634" s="10">
        <v>1</v>
      </c>
      <c r="M634" s="10">
        <v>4</v>
      </c>
    </row>
    <row r="635" spans="1:13">
      <c r="A635" s="8">
        <v>43265</v>
      </c>
      <c r="B635" s="9">
        <v>0.69652777777777775</v>
      </c>
      <c r="C635" s="10" t="str">
        <f>"FES1162629723"</f>
        <v>FES1162629723</v>
      </c>
      <c r="D635" s="10" t="s">
        <v>19</v>
      </c>
      <c r="E635" s="10" t="s">
        <v>545</v>
      </c>
      <c r="F635" s="10" t="str">
        <f>"2170636605 "</f>
        <v xml:space="preserve">2170636605 </v>
      </c>
      <c r="G635" s="10" t="str">
        <f t="shared" si="17"/>
        <v>ON1</v>
      </c>
      <c r="H635" s="10" t="s">
        <v>21</v>
      </c>
      <c r="I635" s="10" t="s">
        <v>260</v>
      </c>
      <c r="J635" s="10" t="str">
        <f>""</f>
        <v/>
      </c>
      <c r="K635" s="10" t="str">
        <f>"PFES1162629723_0001"</f>
        <v>PFES1162629723_0001</v>
      </c>
      <c r="L635" s="10">
        <v>1</v>
      </c>
      <c r="M635" s="10">
        <v>3</v>
      </c>
    </row>
    <row r="636" spans="1:13">
      <c r="A636" s="8">
        <v>43265</v>
      </c>
      <c r="B636" s="9">
        <v>0.6958333333333333</v>
      </c>
      <c r="C636" s="10" t="str">
        <f>"FES1162629743"</f>
        <v>FES1162629743</v>
      </c>
      <c r="D636" s="10" t="s">
        <v>19</v>
      </c>
      <c r="E636" s="10" t="s">
        <v>67</v>
      </c>
      <c r="F636" s="10" t="str">
        <f>"2170634546 "</f>
        <v xml:space="preserve">2170634546 </v>
      </c>
      <c r="G636" s="10" t="str">
        <f t="shared" si="17"/>
        <v>ON1</v>
      </c>
      <c r="H636" s="10" t="s">
        <v>21</v>
      </c>
      <c r="I636" s="10" t="s">
        <v>46</v>
      </c>
      <c r="J636" s="10" t="str">
        <f>""</f>
        <v/>
      </c>
      <c r="K636" s="10" t="str">
        <f>"PFES1162629743_0001"</f>
        <v>PFES1162629743_0001</v>
      </c>
      <c r="L636" s="10">
        <v>1</v>
      </c>
      <c r="M636" s="10">
        <v>5</v>
      </c>
    </row>
    <row r="637" spans="1:13">
      <c r="A637" s="8">
        <v>43265</v>
      </c>
      <c r="B637" s="9">
        <v>0.69444444444444453</v>
      </c>
      <c r="C637" s="10" t="str">
        <f>"FES1162629737"</f>
        <v>FES1162629737</v>
      </c>
      <c r="D637" s="10" t="s">
        <v>19</v>
      </c>
      <c r="E637" s="10" t="s">
        <v>64</v>
      </c>
      <c r="F637" s="10" t="str">
        <f>"2170636782 "</f>
        <v xml:space="preserve">2170636782 </v>
      </c>
      <c r="G637" s="10" t="str">
        <f t="shared" si="17"/>
        <v>ON1</v>
      </c>
      <c r="H637" s="10" t="s">
        <v>21</v>
      </c>
      <c r="I637" s="10" t="s">
        <v>40</v>
      </c>
      <c r="J637" s="10" t="str">
        <f>""</f>
        <v/>
      </c>
      <c r="K637" s="10" t="str">
        <f>"PFES1162629737_0001"</f>
        <v>PFES1162629737_0001</v>
      </c>
      <c r="L637" s="10">
        <v>2</v>
      </c>
      <c r="M637" s="10">
        <v>4</v>
      </c>
    </row>
    <row r="638" spans="1:13">
      <c r="A638" s="8">
        <v>43265</v>
      </c>
      <c r="B638" s="9">
        <v>0.69374999999999998</v>
      </c>
      <c r="C638" s="10" t="str">
        <f>"FES1162629711"</f>
        <v>FES1162629711</v>
      </c>
      <c r="D638" s="10" t="s">
        <v>19</v>
      </c>
      <c r="E638" s="10" t="s">
        <v>278</v>
      </c>
      <c r="F638" s="10" t="str">
        <f>"2170636732 "</f>
        <v xml:space="preserve">2170636732 </v>
      </c>
      <c r="G638" s="10" t="str">
        <f t="shared" si="17"/>
        <v>ON1</v>
      </c>
      <c r="H638" s="10" t="s">
        <v>21</v>
      </c>
      <c r="I638" s="10" t="s">
        <v>279</v>
      </c>
      <c r="J638" s="10" t="str">
        <f>""</f>
        <v/>
      </c>
      <c r="K638" s="10" t="str">
        <f>"PFES1162629711_0001"</f>
        <v>PFES1162629711_0001</v>
      </c>
      <c r="L638" s="10">
        <v>1</v>
      </c>
      <c r="M638" s="10">
        <v>7</v>
      </c>
    </row>
    <row r="639" spans="1:13">
      <c r="A639" s="8">
        <v>43265</v>
      </c>
      <c r="B639" s="9">
        <v>0.69236111111111109</v>
      </c>
      <c r="C639" s="10" t="str">
        <f>"FES1162629739"</f>
        <v>FES1162629739</v>
      </c>
      <c r="D639" s="10" t="s">
        <v>19</v>
      </c>
      <c r="E639" s="10" t="s">
        <v>64</v>
      </c>
      <c r="F639" s="10" t="str">
        <f>"2170636786 "</f>
        <v xml:space="preserve">2170636786 </v>
      </c>
      <c r="G639" s="10" t="str">
        <f t="shared" si="17"/>
        <v>ON1</v>
      </c>
      <c r="H639" s="10" t="s">
        <v>21</v>
      </c>
      <c r="I639" s="10" t="s">
        <v>40</v>
      </c>
      <c r="J639" s="10" t="str">
        <f>""</f>
        <v/>
      </c>
      <c r="K639" s="10" t="str">
        <f>"PFES1162629739_0001"</f>
        <v>PFES1162629739_0001</v>
      </c>
      <c r="L639" s="10">
        <v>1</v>
      </c>
      <c r="M639" s="10">
        <v>1</v>
      </c>
    </row>
    <row r="640" spans="1:13">
      <c r="A640" s="8">
        <v>43265</v>
      </c>
      <c r="B640" s="9">
        <v>0.69166666666666676</v>
      </c>
      <c r="C640" s="10" t="str">
        <f>"FES1162629742"</f>
        <v>FES1162629742</v>
      </c>
      <c r="D640" s="10" t="s">
        <v>19</v>
      </c>
      <c r="E640" s="10" t="s">
        <v>80</v>
      </c>
      <c r="F640" s="10" t="str">
        <f>"2170633490 "</f>
        <v xml:space="preserve">2170633490 </v>
      </c>
      <c r="G640" s="10" t="str">
        <f t="shared" si="17"/>
        <v>ON1</v>
      </c>
      <c r="H640" s="10" t="s">
        <v>21</v>
      </c>
      <c r="I640" s="10" t="s">
        <v>81</v>
      </c>
      <c r="J640" s="10" t="str">
        <f>""</f>
        <v/>
      </c>
      <c r="K640" s="10" t="str">
        <f>"PFES1162629742_0001"</f>
        <v>PFES1162629742_0001</v>
      </c>
      <c r="L640" s="10">
        <v>2</v>
      </c>
      <c r="M640" s="10">
        <v>10</v>
      </c>
    </row>
    <row r="641" spans="1:13">
      <c r="A641" s="8">
        <v>43265</v>
      </c>
      <c r="B641" s="9">
        <v>0.69027777777777777</v>
      </c>
      <c r="C641" s="10" t="str">
        <f>"FES1162629744"</f>
        <v>FES1162629744</v>
      </c>
      <c r="D641" s="10" t="s">
        <v>19</v>
      </c>
      <c r="E641" s="10" t="s">
        <v>191</v>
      </c>
      <c r="F641" s="10" t="str">
        <f>"2170635140 "</f>
        <v xml:space="preserve">2170635140 </v>
      </c>
      <c r="G641" s="10" t="str">
        <f t="shared" ref="G641:G646" si="18">"ON1"</f>
        <v>ON1</v>
      </c>
      <c r="H641" s="10" t="s">
        <v>21</v>
      </c>
      <c r="I641" s="10" t="s">
        <v>192</v>
      </c>
      <c r="J641" s="10" t="str">
        <f>""</f>
        <v/>
      </c>
      <c r="K641" s="10" t="str">
        <f>"PFES1162629744_0001"</f>
        <v>PFES1162629744_0001</v>
      </c>
      <c r="L641" s="10">
        <v>1</v>
      </c>
      <c r="M641" s="10">
        <v>1</v>
      </c>
    </row>
    <row r="642" spans="1:13">
      <c r="A642" s="8">
        <v>43265</v>
      </c>
      <c r="B642" s="9">
        <v>0.68958333333333333</v>
      </c>
      <c r="C642" s="10" t="str">
        <f>"FES1162625438"</f>
        <v>FES1162625438</v>
      </c>
      <c r="D642" s="10" t="s">
        <v>19</v>
      </c>
      <c r="E642" s="10" t="s">
        <v>546</v>
      </c>
      <c r="F642" s="10" t="str">
        <f>"2170631898 "</f>
        <v xml:space="preserve">2170631898 </v>
      </c>
      <c r="G642" s="10" t="str">
        <f t="shared" si="18"/>
        <v>ON1</v>
      </c>
      <c r="H642" s="10" t="s">
        <v>21</v>
      </c>
      <c r="I642" s="10" t="s">
        <v>36</v>
      </c>
      <c r="J642" s="10" t="str">
        <f>""</f>
        <v/>
      </c>
      <c r="K642" s="10" t="str">
        <f>"PFES1162625438_0001"</f>
        <v>PFES1162625438_0001</v>
      </c>
      <c r="L642" s="10">
        <v>1</v>
      </c>
      <c r="M642" s="10">
        <v>1</v>
      </c>
    </row>
    <row r="643" spans="1:13">
      <c r="A643" s="8">
        <v>43265</v>
      </c>
      <c r="B643" s="9">
        <v>0.68958333333333333</v>
      </c>
      <c r="C643" s="10" t="str">
        <f>"FES1162629754"</f>
        <v>FES1162629754</v>
      </c>
      <c r="D643" s="10" t="s">
        <v>19</v>
      </c>
      <c r="E643" s="10" t="s">
        <v>402</v>
      </c>
      <c r="F643" s="10" t="str">
        <f>"21706336163 "</f>
        <v xml:space="preserve">21706336163 </v>
      </c>
      <c r="G643" s="10" t="str">
        <f t="shared" si="18"/>
        <v>ON1</v>
      </c>
      <c r="H643" s="10" t="s">
        <v>21</v>
      </c>
      <c r="I643" s="10" t="s">
        <v>389</v>
      </c>
      <c r="J643" s="10" t="str">
        <f>""</f>
        <v/>
      </c>
      <c r="K643" s="10" t="str">
        <f>"PFES1162629754_0001"</f>
        <v>PFES1162629754_0001</v>
      </c>
      <c r="L643" s="10">
        <v>1</v>
      </c>
      <c r="M643" s="10">
        <v>1</v>
      </c>
    </row>
    <row r="644" spans="1:13">
      <c r="A644" s="8">
        <v>43265</v>
      </c>
      <c r="B644" s="9">
        <v>0.68958333333333333</v>
      </c>
      <c r="C644" s="10" t="str">
        <f>"FES1162629720"</f>
        <v>FES1162629720</v>
      </c>
      <c r="D644" s="10" t="s">
        <v>19</v>
      </c>
      <c r="E644" s="10" t="s">
        <v>235</v>
      </c>
      <c r="F644" s="10" t="str">
        <f>"2170636756 "</f>
        <v xml:space="preserve">2170636756 </v>
      </c>
      <c r="G644" s="10" t="str">
        <f t="shared" si="18"/>
        <v>ON1</v>
      </c>
      <c r="H644" s="10" t="s">
        <v>21</v>
      </c>
      <c r="I644" s="10" t="s">
        <v>174</v>
      </c>
      <c r="J644" s="10" t="str">
        <f>""</f>
        <v/>
      </c>
      <c r="K644" s="10" t="str">
        <f>"PFES1162629720_0001"</f>
        <v>PFES1162629720_0001</v>
      </c>
      <c r="L644" s="10">
        <v>1</v>
      </c>
      <c r="M644" s="10">
        <v>1</v>
      </c>
    </row>
    <row r="645" spans="1:13">
      <c r="A645" s="8">
        <v>43265</v>
      </c>
      <c r="B645" s="9">
        <v>0.68888888888888899</v>
      </c>
      <c r="C645" s="10" t="str">
        <f>"FES1162629726"</f>
        <v>FES1162629726</v>
      </c>
      <c r="D645" s="10" t="s">
        <v>19</v>
      </c>
      <c r="E645" s="10" t="s">
        <v>117</v>
      </c>
      <c r="F645" s="10" t="str">
        <f>"2170636764 "</f>
        <v xml:space="preserve">2170636764 </v>
      </c>
      <c r="G645" s="10" t="str">
        <f t="shared" si="18"/>
        <v>ON1</v>
      </c>
      <c r="H645" s="10" t="s">
        <v>21</v>
      </c>
      <c r="I645" s="10" t="s">
        <v>118</v>
      </c>
      <c r="J645" s="10" t="str">
        <f>""</f>
        <v/>
      </c>
      <c r="K645" s="10" t="str">
        <f>"PFES1162629726_0001"</f>
        <v>PFES1162629726_0001</v>
      </c>
      <c r="L645" s="10">
        <v>1</v>
      </c>
      <c r="M645" s="10">
        <v>3</v>
      </c>
    </row>
    <row r="646" spans="1:13">
      <c r="A646" s="8">
        <v>43265</v>
      </c>
      <c r="B646" s="9">
        <v>0.68888888888888899</v>
      </c>
      <c r="C646" s="10" t="str">
        <f>"FES1162629721"</f>
        <v>FES1162629721</v>
      </c>
      <c r="D646" s="10" t="s">
        <v>19</v>
      </c>
      <c r="E646" s="10" t="s">
        <v>235</v>
      </c>
      <c r="F646" s="10" t="str">
        <f>"2170636758 "</f>
        <v xml:space="preserve">2170636758 </v>
      </c>
      <c r="G646" s="10" t="str">
        <f t="shared" si="18"/>
        <v>ON1</v>
      </c>
      <c r="H646" s="10" t="s">
        <v>21</v>
      </c>
      <c r="I646" s="10" t="s">
        <v>174</v>
      </c>
      <c r="J646" s="10" t="str">
        <f>""</f>
        <v/>
      </c>
      <c r="K646" s="10" t="str">
        <f>"PFES1162629721_0001"</f>
        <v>PFES1162629721_0001</v>
      </c>
      <c r="L646" s="10">
        <v>1</v>
      </c>
      <c r="M646" s="10">
        <v>1</v>
      </c>
    </row>
    <row r="647" spans="1:13">
      <c r="A647" s="8">
        <v>43265</v>
      </c>
      <c r="B647" s="9">
        <v>0.68819444444444444</v>
      </c>
      <c r="C647" s="10" t="str">
        <f>"FES1162629751"</f>
        <v>FES1162629751</v>
      </c>
      <c r="D647" s="10" t="s">
        <v>19</v>
      </c>
      <c r="E647" s="10" t="s">
        <v>547</v>
      </c>
      <c r="F647" s="10" t="str">
        <f>"2170636789 "</f>
        <v xml:space="preserve">2170636789 </v>
      </c>
      <c r="G647" s="10" t="str">
        <f>"DBC"</f>
        <v>DBC</v>
      </c>
      <c r="H647" s="10" t="s">
        <v>21</v>
      </c>
      <c r="I647" s="10" t="s">
        <v>548</v>
      </c>
      <c r="J647" s="10" t="str">
        <f>""</f>
        <v/>
      </c>
      <c r="K647" s="10" t="str">
        <f>"PFES1162629751_0001"</f>
        <v>PFES1162629751_0001</v>
      </c>
      <c r="L647" s="10">
        <v>1</v>
      </c>
      <c r="M647" s="10">
        <v>21</v>
      </c>
    </row>
    <row r="648" spans="1:13">
      <c r="A648" s="8">
        <v>43265</v>
      </c>
      <c r="B648" s="9">
        <v>0.68680555555555556</v>
      </c>
      <c r="C648" s="10" t="str">
        <f>"FES1162629741"</f>
        <v>FES1162629741</v>
      </c>
      <c r="D648" s="10" t="s">
        <v>19</v>
      </c>
      <c r="E648" s="10" t="s">
        <v>547</v>
      </c>
      <c r="F648" s="10" t="str">
        <f>"2170636789 "</f>
        <v xml:space="preserve">2170636789 </v>
      </c>
      <c r="G648" s="10" t="str">
        <f t="shared" ref="G648:G654" si="19">"ON1"</f>
        <v>ON1</v>
      </c>
      <c r="H648" s="10" t="s">
        <v>21</v>
      </c>
      <c r="I648" s="10" t="s">
        <v>548</v>
      </c>
      <c r="J648" s="10" t="str">
        <f>""</f>
        <v/>
      </c>
      <c r="K648" s="10" t="str">
        <f>"PFES1162629741_0001"</f>
        <v>PFES1162629741_0001</v>
      </c>
      <c r="L648" s="10">
        <v>1</v>
      </c>
      <c r="M648" s="10">
        <v>12</v>
      </c>
    </row>
    <row r="649" spans="1:13">
      <c r="A649" s="8">
        <v>43265</v>
      </c>
      <c r="B649" s="9">
        <v>0.68541666666666667</v>
      </c>
      <c r="C649" s="10" t="str">
        <f>"FES1162629756"</f>
        <v>FES1162629756</v>
      </c>
      <c r="D649" s="10" t="s">
        <v>19</v>
      </c>
      <c r="E649" s="10" t="s">
        <v>130</v>
      </c>
      <c r="F649" s="10" t="str">
        <f>"2170636796 "</f>
        <v xml:space="preserve">2170636796 </v>
      </c>
      <c r="G649" s="10" t="str">
        <f t="shared" si="19"/>
        <v>ON1</v>
      </c>
      <c r="H649" s="10" t="s">
        <v>21</v>
      </c>
      <c r="I649" s="10" t="s">
        <v>75</v>
      </c>
      <c r="J649" s="10" t="str">
        <f>""</f>
        <v/>
      </c>
      <c r="K649" s="10" t="str">
        <f>"PFES1162629756_0001"</f>
        <v>PFES1162629756_0001</v>
      </c>
      <c r="L649" s="10">
        <v>1</v>
      </c>
      <c r="M649" s="10">
        <v>2</v>
      </c>
    </row>
    <row r="650" spans="1:13">
      <c r="A650" s="8">
        <v>43265</v>
      </c>
      <c r="B650" s="9">
        <v>0.68472222222222223</v>
      </c>
      <c r="C650" s="10" t="str">
        <f>"FES1162629729"</f>
        <v>FES1162629729</v>
      </c>
      <c r="D650" s="10" t="s">
        <v>19</v>
      </c>
      <c r="E650" s="10" t="s">
        <v>117</v>
      </c>
      <c r="F650" s="10" t="str">
        <f>"2170636771 "</f>
        <v xml:space="preserve">2170636771 </v>
      </c>
      <c r="G650" s="10" t="str">
        <f t="shared" si="19"/>
        <v>ON1</v>
      </c>
      <c r="H650" s="10" t="s">
        <v>21</v>
      </c>
      <c r="I650" s="10" t="s">
        <v>118</v>
      </c>
      <c r="J650" s="10" t="str">
        <f>""</f>
        <v/>
      </c>
      <c r="K650" s="10" t="str">
        <f>"PFES1162629729_0001"</f>
        <v>PFES1162629729_0001</v>
      </c>
      <c r="L650" s="10">
        <v>1</v>
      </c>
      <c r="M650" s="10">
        <v>13</v>
      </c>
    </row>
    <row r="651" spans="1:13">
      <c r="A651" s="8">
        <v>43265</v>
      </c>
      <c r="B651" s="9">
        <v>0.68333333333333324</v>
      </c>
      <c r="C651" s="10" t="str">
        <f>"FES1162629759"</f>
        <v>FES1162629759</v>
      </c>
      <c r="D651" s="10" t="s">
        <v>19</v>
      </c>
      <c r="E651" s="10" t="s">
        <v>549</v>
      </c>
      <c r="F651" s="10" t="str">
        <f>"2170636803 "</f>
        <v xml:space="preserve">2170636803 </v>
      </c>
      <c r="G651" s="10" t="str">
        <f t="shared" si="19"/>
        <v>ON1</v>
      </c>
      <c r="H651" s="10" t="s">
        <v>21</v>
      </c>
      <c r="I651" s="10" t="s">
        <v>393</v>
      </c>
      <c r="J651" s="10" t="str">
        <f>""</f>
        <v/>
      </c>
      <c r="K651" s="10" t="str">
        <f>"PFES1162629759_0001"</f>
        <v>PFES1162629759_0001</v>
      </c>
      <c r="L651" s="10">
        <v>1</v>
      </c>
      <c r="M651" s="10">
        <v>4</v>
      </c>
    </row>
    <row r="652" spans="1:13">
      <c r="A652" s="8">
        <v>43265</v>
      </c>
      <c r="B652" s="9">
        <v>0.68263888888888891</v>
      </c>
      <c r="C652" s="10" t="str">
        <f>"FES1162629669"</f>
        <v>FES1162629669</v>
      </c>
      <c r="D652" s="10" t="s">
        <v>19</v>
      </c>
      <c r="E652" s="10" t="s">
        <v>550</v>
      </c>
      <c r="F652" s="10" t="str">
        <f>"2170631113 "</f>
        <v xml:space="preserve">2170631113 </v>
      </c>
      <c r="G652" s="10" t="str">
        <f t="shared" si="19"/>
        <v>ON1</v>
      </c>
      <c r="H652" s="10" t="s">
        <v>21</v>
      </c>
      <c r="I652" s="10" t="s">
        <v>439</v>
      </c>
      <c r="J652" s="10" t="str">
        <f>""</f>
        <v/>
      </c>
      <c r="K652" s="10" t="str">
        <f>"PFES1162629669_0001"</f>
        <v>PFES1162629669_0001</v>
      </c>
      <c r="L652" s="10">
        <v>1</v>
      </c>
      <c r="M652" s="10">
        <v>4</v>
      </c>
    </row>
    <row r="653" spans="1:13">
      <c r="A653" s="8">
        <v>43265</v>
      </c>
      <c r="B653" s="9">
        <v>0.68055555555555547</v>
      </c>
      <c r="C653" s="10" t="str">
        <f>"FES1162629681"</f>
        <v>FES1162629681</v>
      </c>
      <c r="D653" s="10" t="s">
        <v>19</v>
      </c>
      <c r="E653" s="10" t="s">
        <v>551</v>
      </c>
      <c r="F653" s="10" t="str">
        <f>"2170636691 "</f>
        <v xml:space="preserve">2170636691 </v>
      </c>
      <c r="G653" s="10" t="str">
        <f t="shared" si="19"/>
        <v>ON1</v>
      </c>
      <c r="H653" s="10" t="s">
        <v>21</v>
      </c>
      <c r="I653" s="10" t="s">
        <v>552</v>
      </c>
      <c r="J653" s="10" t="str">
        <f>""</f>
        <v/>
      </c>
      <c r="K653" s="10" t="str">
        <f>"PFES1162629681_0001"</f>
        <v>PFES1162629681_0001</v>
      </c>
      <c r="L653" s="10">
        <v>1</v>
      </c>
      <c r="M653" s="10">
        <v>5</v>
      </c>
    </row>
    <row r="654" spans="1:13">
      <c r="A654" s="8">
        <v>43265</v>
      </c>
      <c r="B654" s="9">
        <v>0.67986111111111114</v>
      </c>
      <c r="C654" s="10" t="str">
        <f>"FES1162629700"</f>
        <v>FES1162629700</v>
      </c>
      <c r="D654" s="10" t="s">
        <v>19</v>
      </c>
      <c r="E654" s="10" t="s">
        <v>553</v>
      </c>
      <c r="F654" s="10" t="str">
        <f>"2170636722 "</f>
        <v xml:space="preserve">2170636722 </v>
      </c>
      <c r="G654" s="10" t="str">
        <f t="shared" si="19"/>
        <v>ON1</v>
      </c>
      <c r="H654" s="10" t="s">
        <v>21</v>
      </c>
      <c r="I654" s="10" t="s">
        <v>305</v>
      </c>
      <c r="J654" s="10" t="str">
        <f>""</f>
        <v/>
      </c>
      <c r="K654" s="10" t="str">
        <f>"PFES1162629700_0001"</f>
        <v>PFES1162629700_0001</v>
      </c>
      <c r="L654" s="10">
        <v>1</v>
      </c>
      <c r="M654" s="10">
        <v>2</v>
      </c>
    </row>
    <row r="655" spans="1:13">
      <c r="A655" s="8">
        <v>43265</v>
      </c>
      <c r="B655" s="9">
        <v>0.67569444444444438</v>
      </c>
      <c r="C655" s="10" t="str">
        <f>"FES1162629613"</f>
        <v>FES1162629613</v>
      </c>
      <c r="D655" s="10" t="s">
        <v>19</v>
      </c>
      <c r="E655" s="10" t="s">
        <v>554</v>
      </c>
      <c r="F655" s="10" t="str">
        <f>"2170631410 "</f>
        <v xml:space="preserve">2170631410 </v>
      </c>
      <c r="G655" s="10" t="str">
        <f>"DBC"</f>
        <v>DBC</v>
      </c>
      <c r="H655" s="10" t="s">
        <v>21</v>
      </c>
      <c r="I655" s="10" t="s">
        <v>26</v>
      </c>
      <c r="J655" s="10" t="str">
        <f>""</f>
        <v/>
      </c>
      <c r="K655" s="10" t="str">
        <f>"PFES1162629613_0001"</f>
        <v>PFES1162629613_0001</v>
      </c>
      <c r="L655" s="10">
        <v>3</v>
      </c>
      <c r="M655" s="10">
        <v>59</v>
      </c>
    </row>
    <row r="656" spans="1:13">
      <c r="A656" s="8">
        <v>43265</v>
      </c>
      <c r="B656" s="9">
        <v>0.67499999999999993</v>
      </c>
      <c r="C656" s="10" t="str">
        <f>"FES1162629706"</f>
        <v>FES1162629706</v>
      </c>
      <c r="D656" s="10" t="s">
        <v>19</v>
      </c>
      <c r="E656" s="10" t="s">
        <v>430</v>
      </c>
      <c r="F656" s="10" t="str">
        <f>"2170636729 "</f>
        <v xml:space="preserve">2170636729 </v>
      </c>
      <c r="G656" s="10" t="str">
        <f t="shared" ref="G656:G699" si="20">"ON1"</f>
        <v>ON1</v>
      </c>
      <c r="H656" s="10" t="s">
        <v>21</v>
      </c>
      <c r="I656" s="10" t="s">
        <v>42</v>
      </c>
      <c r="J656" s="10" t="str">
        <f>""</f>
        <v/>
      </c>
      <c r="K656" s="10" t="str">
        <f>"PFES1162629706_0001"</f>
        <v>PFES1162629706_0001</v>
      </c>
      <c r="L656" s="10">
        <v>1</v>
      </c>
      <c r="M656" s="10">
        <v>2</v>
      </c>
    </row>
    <row r="657" spans="1:13">
      <c r="A657" s="8">
        <v>43265</v>
      </c>
      <c r="B657" s="9">
        <v>0.67361111111111116</v>
      </c>
      <c r="C657" s="10" t="str">
        <f>"FES1162629702"</f>
        <v>FES1162629702</v>
      </c>
      <c r="D657" s="10" t="s">
        <v>19</v>
      </c>
      <c r="E657" s="10" t="s">
        <v>555</v>
      </c>
      <c r="F657" s="10" t="str">
        <f>"2170636724 "</f>
        <v xml:space="preserve">2170636724 </v>
      </c>
      <c r="G657" s="10" t="str">
        <f t="shared" si="20"/>
        <v>ON1</v>
      </c>
      <c r="H657" s="10" t="s">
        <v>21</v>
      </c>
      <c r="I657" s="10" t="s">
        <v>556</v>
      </c>
      <c r="J657" s="10" t="str">
        <f>""</f>
        <v/>
      </c>
      <c r="K657" s="10" t="str">
        <f>"PFES1162629702_0001"</f>
        <v>PFES1162629702_0001</v>
      </c>
      <c r="L657" s="10">
        <v>1</v>
      </c>
      <c r="M657" s="10">
        <v>5</v>
      </c>
    </row>
    <row r="658" spans="1:13">
      <c r="A658" s="8">
        <v>43265</v>
      </c>
      <c r="B658" s="9">
        <v>0.67222222222222217</v>
      </c>
      <c r="C658" s="10" t="str">
        <f>"FES1162629667"</f>
        <v>FES1162629667</v>
      </c>
      <c r="D658" s="10" t="s">
        <v>19</v>
      </c>
      <c r="E658" s="10" t="s">
        <v>117</v>
      </c>
      <c r="F658" s="10" t="str">
        <f>"2170636684 "</f>
        <v xml:space="preserve">2170636684 </v>
      </c>
      <c r="G658" s="10" t="str">
        <f t="shared" si="20"/>
        <v>ON1</v>
      </c>
      <c r="H658" s="10" t="s">
        <v>21</v>
      </c>
      <c r="I658" s="10" t="s">
        <v>118</v>
      </c>
      <c r="J658" s="10" t="str">
        <f>""</f>
        <v/>
      </c>
      <c r="K658" s="10" t="str">
        <f>"PFES1162629667_0001"</f>
        <v>PFES1162629667_0001</v>
      </c>
      <c r="L658" s="10">
        <v>1</v>
      </c>
      <c r="M658" s="10">
        <v>3</v>
      </c>
    </row>
    <row r="659" spans="1:13">
      <c r="A659" s="8">
        <v>43265</v>
      </c>
      <c r="B659" s="9">
        <v>0.67152777777777783</v>
      </c>
      <c r="C659" s="10" t="str">
        <f>"FES1162629717"</f>
        <v>FES1162629717</v>
      </c>
      <c r="D659" s="10" t="s">
        <v>19</v>
      </c>
      <c r="E659" s="10" t="s">
        <v>557</v>
      </c>
      <c r="F659" s="10" t="str">
        <f>"2170635963 "</f>
        <v xml:space="preserve">2170635963 </v>
      </c>
      <c r="G659" s="10" t="str">
        <f t="shared" si="20"/>
        <v>ON1</v>
      </c>
      <c r="H659" s="10" t="s">
        <v>21</v>
      </c>
      <c r="I659" s="10" t="s">
        <v>558</v>
      </c>
      <c r="J659" s="10" t="str">
        <f>""</f>
        <v/>
      </c>
      <c r="K659" s="10" t="str">
        <f>"PFES1162629717_0001"</f>
        <v>PFES1162629717_0001</v>
      </c>
      <c r="L659" s="10">
        <v>1</v>
      </c>
      <c r="M659" s="10">
        <v>7</v>
      </c>
    </row>
    <row r="660" spans="1:13">
      <c r="A660" s="8">
        <v>43265</v>
      </c>
      <c r="B660" s="9">
        <v>0.67013888888888884</v>
      </c>
      <c r="C660" s="10" t="str">
        <f>"FES1162629662"</f>
        <v>FES1162629662</v>
      </c>
      <c r="D660" s="10" t="s">
        <v>19</v>
      </c>
      <c r="E660" s="10" t="s">
        <v>559</v>
      </c>
      <c r="F660" s="10" t="str">
        <f>"2170636660 "</f>
        <v xml:space="preserve">2170636660 </v>
      </c>
      <c r="G660" s="10" t="str">
        <f t="shared" si="20"/>
        <v>ON1</v>
      </c>
      <c r="H660" s="10" t="s">
        <v>21</v>
      </c>
      <c r="I660" s="10" t="s">
        <v>112</v>
      </c>
      <c r="J660" s="10" t="str">
        <f>""</f>
        <v/>
      </c>
      <c r="K660" s="10" t="str">
        <f>"PFES1162629662_0001"</f>
        <v>PFES1162629662_0001</v>
      </c>
      <c r="L660" s="10">
        <v>1</v>
      </c>
      <c r="M660" s="10">
        <v>0</v>
      </c>
    </row>
    <row r="661" spans="1:13">
      <c r="A661" s="8">
        <v>43265</v>
      </c>
      <c r="B661" s="9">
        <v>0.6694444444444444</v>
      </c>
      <c r="C661" s="10" t="str">
        <f>"FES1162629752"</f>
        <v>FES1162629752</v>
      </c>
      <c r="D661" s="10" t="s">
        <v>19</v>
      </c>
      <c r="E661" s="10" t="s">
        <v>560</v>
      </c>
      <c r="F661" s="10" t="str">
        <f>"21706267777 "</f>
        <v xml:space="preserve">21706267777 </v>
      </c>
      <c r="G661" s="10" t="str">
        <f t="shared" si="20"/>
        <v>ON1</v>
      </c>
      <c r="H661" s="10" t="s">
        <v>21</v>
      </c>
      <c r="I661" s="10" t="s">
        <v>186</v>
      </c>
      <c r="J661" s="10" t="str">
        <f>""</f>
        <v/>
      </c>
      <c r="K661" s="10" t="str">
        <f>"PFES1162629752_0001"</f>
        <v>PFES1162629752_0001</v>
      </c>
      <c r="L661" s="10">
        <v>1</v>
      </c>
      <c r="M661" s="10">
        <v>1</v>
      </c>
    </row>
    <row r="662" spans="1:13">
      <c r="A662" s="8">
        <v>43265</v>
      </c>
      <c r="B662" s="9">
        <v>0.6694444444444444</v>
      </c>
      <c r="C662" s="10" t="str">
        <f>"FES1162629755"</f>
        <v>FES1162629755</v>
      </c>
      <c r="D662" s="10" t="s">
        <v>19</v>
      </c>
      <c r="E662" s="10" t="s">
        <v>561</v>
      </c>
      <c r="F662" s="10" t="str">
        <f>"21706363794 "</f>
        <v xml:space="preserve">21706363794 </v>
      </c>
      <c r="G662" s="10" t="str">
        <f t="shared" si="20"/>
        <v>ON1</v>
      </c>
      <c r="H662" s="10" t="s">
        <v>21</v>
      </c>
      <c r="I662" s="10" t="s">
        <v>562</v>
      </c>
      <c r="J662" s="10" t="str">
        <f>""</f>
        <v/>
      </c>
      <c r="K662" s="10" t="str">
        <f>"PFES1162629755_0001"</f>
        <v>PFES1162629755_0001</v>
      </c>
      <c r="L662" s="10">
        <v>1</v>
      </c>
      <c r="M662" s="10">
        <v>1</v>
      </c>
    </row>
    <row r="663" spans="1:13">
      <c r="A663" s="8">
        <v>43265</v>
      </c>
      <c r="B663" s="9">
        <v>0.66875000000000007</v>
      </c>
      <c r="C663" s="10" t="str">
        <f>"FES1162629676"</f>
        <v>FES1162629676</v>
      </c>
      <c r="D663" s="10" t="s">
        <v>19</v>
      </c>
      <c r="E663" s="10" t="s">
        <v>280</v>
      </c>
      <c r="F663" s="10" t="str">
        <f>"2170636133 "</f>
        <v xml:space="preserve">2170636133 </v>
      </c>
      <c r="G663" s="10" t="str">
        <f t="shared" si="20"/>
        <v>ON1</v>
      </c>
      <c r="H663" s="10" t="s">
        <v>21</v>
      </c>
      <c r="I663" s="10" t="s">
        <v>46</v>
      </c>
      <c r="J663" s="10" t="str">
        <f>""</f>
        <v/>
      </c>
      <c r="K663" s="10" t="str">
        <f>"PFES1162629676_0001"</f>
        <v>PFES1162629676_0001</v>
      </c>
      <c r="L663" s="10">
        <v>1</v>
      </c>
      <c r="M663" s="10">
        <v>1</v>
      </c>
    </row>
    <row r="664" spans="1:13">
      <c r="A664" s="8">
        <v>43265</v>
      </c>
      <c r="B664" s="9">
        <v>0.66875000000000007</v>
      </c>
      <c r="C664" s="10" t="str">
        <f>"FES1162629753"</f>
        <v>FES1162629753</v>
      </c>
      <c r="D664" s="10" t="s">
        <v>19</v>
      </c>
      <c r="E664" s="10" t="s">
        <v>402</v>
      </c>
      <c r="F664" s="10" t="str">
        <f>"2170625363 "</f>
        <v xml:space="preserve">2170625363 </v>
      </c>
      <c r="G664" s="10" t="str">
        <f t="shared" si="20"/>
        <v>ON1</v>
      </c>
      <c r="H664" s="10" t="s">
        <v>21</v>
      </c>
      <c r="I664" s="10" t="s">
        <v>389</v>
      </c>
      <c r="J664" s="10" t="str">
        <f>""</f>
        <v/>
      </c>
      <c r="K664" s="10" t="str">
        <f>"PFES1162629753_0001"</f>
        <v>PFES1162629753_0001</v>
      </c>
      <c r="L664" s="10">
        <v>1</v>
      </c>
      <c r="M664" s="10">
        <v>1</v>
      </c>
    </row>
    <row r="665" spans="1:13">
      <c r="A665" s="8">
        <v>43265</v>
      </c>
      <c r="B665" s="9">
        <v>0.66736111111111107</v>
      </c>
      <c r="C665" s="10" t="str">
        <f>"FES1162629643"</f>
        <v>FES1162629643</v>
      </c>
      <c r="D665" s="10" t="s">
        <v>19</v>
      </c>
      <c r="E665" s="10" t="s">
        <v>190</v>
      </c>
      <c r="F665" s="10" t="str">
        <f>"2170636656 "</f>
        <v xml:space="preserve">2170636656 </v>
      </c>
      <c r="G665" s="10" t="str">
        <f t="shared" si="20"/>
        <v>ON1</v>
      </c>
      <c r="H665" s="10" t="s">
        <v>21</v>
      </c>
      <c r="I665" s="10" t="s">
        <v>71</v>
      </c>
      <c r="J665" s="10" t="str">
        <f>""</f>
        <v/>
      </c>
      <c r="K665" s="10" t="str">
        <f>"PFES1162629643_0001"</f>
        <v>PFES1162629643_0001</v>
      </c>
      <c r="L665" s="10">
        <v>1</v>
      </c>
      <c r="M665" s="10">
        <v>7</v>
      </c>
    </row>
    <row r="666" spans="1:13">
      <c r="A666" s="8">
        <v>43265</v>
      </c>
      <c r="B666" s="9">
        <v>0.66597222222222219</v>
      </c>
      <c r="C666" s="10" t="str">
        <f>"FES1162629684"</f>
        <v>FES1162629684</v>
      </c>
      <c r="D666" s="10" t="s">
        <v>19</v>
      </c>
      <c r="E666" s="10" t="s">
        <v>461</v>
      </c>
      <c r="F666" s="10" t="str">
        <f>"2170636695 "</f>
        <v xml:space="preserve">2170636695 </v>
      </c>
      <c r="G666" s="10" t="str">
        <f t="shared" si="20"/>
        <v>ON1</v>
      </c>
      <c r="H666" s="10" t="s">
        <v>21</v>
      </c>
      <c r="I666" s="10" t="s">
        <v>32</v>
      </c>
      <c r="J666" s="10" t="str">
        <f>""</f>
        <v/>
      </c>
      <c r="K666" s="10" t="str">
        <f>"PFES1162629684_0001"</f>
        <v>PFES1162629684_0001</v>
      </c>
      <c r="L666" s="10">
        <v>1</v>
      </c>
      <c r="M666" s="10">
        <v>2</v>
      </c>
    </row>
    <row r="667" spans="1:13">
      <c r="A667" s="8">
        <v>43265</v>
      </c>
      <c r="B667" s="9">
        <v>0.6645833333333333</v>
      </c>
      <c r="C667" s="10" t="str">
        <f>"FES1162629697"</f>
        <v>FES1162629697</v>
      </c>
      <c r="D667" s="10" t="s">
        <v>19</v>
      </c>
      <c r="E667" s="10" t="s">
        <v>58</v>
      </c>
      <c r="F667" s="10" t="str">
        <f>"2170636715 "</f>
        <v xml:space="preserve">2170636715 </v>
      </c>
      <c r="G667" s="10" t="str">
        <f t="shared" si="20"/>
        <v>ON1</v>
      </c>
      <c r="H667" s="10" t="s">
        <v>21</v>
      </c>
      <c r="I667" s="10" t="s">
        <v>59</v>
      </c>
      <c r="J667" s="10" t="str">
        <f>""</f>
        <v/>
      </c>
      <c r="K667" s="10" t="str">
        <f>"PFES1162629697_0001"</f>
        <v>PFES1162629697_0001</v>
      </c>
      <c r="L667" s="10">
        <v>1</v>
      </c>
      <c r="M667" s="10">
        <v>3</v>
      </c>
    </row>
    <row r="668" spans="1:13">
      <c r="A668" s="8">
        <v>43265</v>
      </c>
      <c r="B668" s="9">
        <v>0.66319444444444442</v>
      </c>
      <c r="C668" s="10" t="str">
        <f>"FES1162629670"</f>
        <v>FES1162629670</v>
      </c>
      <c r="D668" s="10" t="s">
        <v>19</v>
      </c>
      <c r="E668" s="10" t="s">
        <v>235</v>
      </c>
      <c r="F668" s="10" t="str">
        <f>"2170632799 "</f>
        <v xml:space="preserve">2170632799 </v>
      </c>
      <c r="G668" s="10" t="str">
        <f t="shared" si="20"/>
        <v>ON1</v>
      </c>
      <c r="H668" s="10" t="s">
        <v>21</v>
      </c>
      <c r="I668" s="10" t="s">
        <v>26</v>
      </c>
      <c r="J668" s="10" t="str">
        <f>""</f>
        <v/>
      </c>
      <c r="K668" s="10" t="str">
        <f>"PFES1162629670_0001"</f>
        <v>PFES1162629670_0001</v>
      </c>
      <c r="L668" s="10">
        <v>1</v>
      </c>
      <c r="M668" s="10">
        <v>7</v>
      </c>
    </row>
    <row r="669" spans="1:13">
      <c r="A669" s="8">
        <v>43265</v>
      </c>
      <c r="B669" s="9">
        <v>0.66249999999999998</v>
      </c>
      <c r="C669" s="10" t="str">
        <f>"FES1162629671"</f>
        <v>FES1162629671</v>
      </c>
      <c r="D669" s="10" t="s">
        <v>19</v>
      </c>
      <c r="E669" s="10" t="s">
        <v>223</v>
      </c>
      <c r="F669" s="10" t="str">
        <f>"2170634165 "</f>
        <v xml:space="preserve">2170634165 </v>
      </c>
      <c r="G669" s="10" t="str">
        <f t="shared" si="20"/>
        <v>ON1</v>
      </c>
      <c r="H669" s="10" t="s">
        <v>21</v>
      </c>
      <c r="I669" s="10" t="s">
        <v>224</v>
      </c>
      <c r="J669" s="10" t="str">
        <f>""</f>
        <v/>
      </c>
      <c r="K669" s="10" t="str">
        <f>"PFES1162629671_0001"</f>
        <v>PFES1162629671_0001</v>
      </c>
      <c r="L669" s="10">
        <v>1</v>
      </c>
      <c r="M669" s="10">
        <v>3</v>
      </c>
    </row>
    <row r="670" spans="1:13">
      <c r="A670" s="8">
        <v>43265</v>
      </c>
      <c r="B670" s="9">
        <v>0.66041666666666665</v>
      </c>
      <c r="C670" s="10" t="str">
        <f>"009935791816"</f>
        <v>009935791816</v>
      </c>
      <c r="D670" s="10" t="s">
        <v>19</v>
      </c>
      <c r="E670" s="10" t="s">
        <v>64</v>
      </c>
      <c r="F670" s="10" t="str">
        <f>"2170636664 "</f>
        <v xml:space="preserve">2170636664 </v>
      </c>
      <c r="G670" s="10" t="str">
        <f t="shared" si="20"/>
        <v>ON1</v>
      </c>
      <c r="H670" s="10" t="s">
        <v>21</v>
      </c>
      <c r="I670" s="10" t="s">
        <v>40</v>
      </c>
      <c r="J670" s="10" t="str">
        <f>""</f>
        <v/>
      </c>
      <c r="K670" s="10" t="str">
        <f>"P009935791816_0001"</f>
        <v>P009935791816_0001</v>
      </c>
      <c r="L670" s="10">
        <v>1</v>
      </c>
      <c r="M670" s="10">
        <v>2</v>
      </c>
    </row>
    <row r="671" spans="1:13">
      <c r="A671" s="8">
        <v>43265</v>
      </c>
      <c r="B671" s="9">
        <v>0.65902777777777777</v>
      </c>
      <c r="C671" s="10" t="str">
        <f>"FES1162629537"</f>
        <v>FES1162629537</v>
      </c>
      <c r="D671" s="10" t="s">
        <v>19</v>
      </c>
      <c r="E671" s="10" t="s">
        <v>67</v>
      </c>
      <c r="F671" s="10" t="str">
        <f>"2170636586 "</f>
        <v xml:space="preserve">2170636586 </v>
      </c>
      <c r="G671" s="10" t="str">
        <f t="shared" si="20"/>
        <v>ON1</v>
      </c>
      <c r="H671" s="10" t="s">
        <v>21</v>
      </c>
      <c r="I671" s="10" t="s">
        <v>32</v>
      </c>
      <c r="J671" s="10" t="str">
        <f>""</f>
        <v/>
      </c>
      <c r="K671" s="10" t="str">
        <f>"PFES1162629537_0001"</f>
        <v>PFES1162629537_0001</v>
      </c>
      <c r="L671" s="10">
        <v>1</v>
      </c>
      <c r="M671" s="10">
        <v>3</v>
      </c>
    </row>
    <row r="672" spans="1:13">
      <c r="A672" s="8">
        <v>43265</v>
      </c>
      <c r="B672" s="9">
        <v>0.65833333333333333</v>
      </c>
      <c r="C672" s="10" t="str">
        <f>"FES1162629727"</f>
        <v>FES1162629727</v>
      </c>
      <c r="D672" s="10" t="s">
        <v>19</v>
      </c>
      <c r="E672" s="10" t="s">
        <v>268</v>
      </c>
      <c r="F672" s="10" t="str">
        <f>"2170636765 "</f>
        <v xml:space="preserve">2170636765 </v>
      </c>
      <c r="G672" s="10" t="str">
        <f t="shared" si="20"/>
        <v>ON1</v>
      </c>
      <c r="H672" s="10" t="s">
        <v>21</v>
      </c>
      <c r="I672" s="10" t="s">
        <v>269</v>
      </c>
      <c r="J672" s="10" t="str">
        <f>""</f>
        <v/>
      </c>
      <c r="K672" s="10" t="str">
        <f>"PFES1162629727_0001"</f>
        <v>PFES1162629727_0001</v>
      </c>
      <c r="L672" s="10">
        <v>1</v>
      </c>
      <c r="M672" s="10">
        <v>1</v>
      </c>
    </row>
    <row r="673" spans="1:13">
      <c r="A673" s="8">
        <v>43265</v>
      </c>
      <c r="B673" s="9">
        <v>0.65763888888888888</v>
      </c>
      <c r="C673" s="10" t="str">
        <f>"FES1162629728"</f>
        <v>FES1162629728</v>
      </c>
      <c r="D673" s="10" t="s">
        <v>19</v>
      </c>
      <c r="E673" s="10" t="s">
        <v>67</v>
      </c>
      <c r="F673" s="10" t="str">
        <f>"2170636768 "</f>
        <v xml:space="preserve">2170636768 </v>
      </c>
      <c r="G673" s="10" t="str">
        <f t="shared" si="20"/>
        <v>ON1</v>
      </c>
      <c r="H673" s="10" t="s">
        <v>21</v>
      </c>
      <c r="I673" s="10" t="s">
        <v>397</v>
      </c>
      <c r="J673" s="10" t="str">
        <f>""</f>
        <v/>
      </c>
      <c r="K673" s="10" t="str">
        <f>"PFES1162629728_0001"</f>
        <v>PFES1162629728_0001</v>
      </c>
      <c r="L673" s="10">
        <v>1</v>
      </c>
      <c r="M673" s="10">
        <v>1</v>
      </c>
    </row>
    <row r="674" spans="1:13">
      <c r="A674" s="8">
        <v>43265</v>
      </c>
      <c r="B674" s="9">
        <v>0.65763888888888888</v>
      </c>
      <c r="C674" s="10" t="str">
        <f>"FES1162629725"</f>
        <v>FES1162629725</v>
      </c>
      <c r="D674" s="10" t="s">
        <v>19</v>
      </c>
      <c r="E674" s="10" t="s">
        <v>132</v>
      </c>
      <c r="F674" s="10" t="str">
        <f>"2170636763 "</f>
        <v xml:space="preserve">2170636763 </v>
      </c>
      <c r="G674" s="10" t="str">
        <f t="shared" si="20"/>
        <v>ON1</v>
      </c>
      <c r="H674" s="10" t="s">
        <v>21</v>
      </c>
      <c r="I674" s="10" t="s">
        <v>69</v>
      </c>
      <c r="J674" s="10" t="str">
        <f>""</f>
        <v/>
      </c>
      <c r="K674" s="10" t="str">
        <f>"PFES1162629725_0001"</f>
        <v>PFES1162629725_0001</v>
      </c>
      <c r="L674" s="10">
        <v>1</v>
      </c>
      <c r="M674" s="10">
        <v>1</v>
      </c>
    </row>
    <row r="675" spans="1:13">
      <c r="A675" s="8">
        <v>43265</v>
      </c>
      <c r="B675" s="9">
        <v>0.65763888888888888</v>
      </c>
      <c r="C675" s="10" t="str">
        <f>"FES1162629692"</f>
        <v>FES1162629692</v>
      </c>
      <c r="D675" s="10" t="s">
        <v>19</v>
      </c>
      <c r="E675" s="10" t="s">
        <v>345</v>
      </c>
      <c r="F675" s="10" t="str">
        <f>"2170636703 "</f>
        <v xml:space="preserve">2170636703 </v>
      </c>
      <c r="G675" s="10" t="str">
        <f t="shared" si="20"/>
        <v>ON1</v>
      </c>
      <c r="H675" s="10" t="s">
        <v>21</v>
      </c>
      <c r="I675" s="10" t="s">
        <v>228</v>
      </c>
      <c r="J675" s="10" t="str">
        <f>""</f>
        <v/>
      </c>
      <c r="K675" s="10" t="str">
        <f>"PFES1162629692_0001"</f>
        <v>PFES1162629692_0001</v>
      </c>
      <c r="L675" s="10">
        <v>1</v>
      </c>
      <c r="M675" s="10">
        <v>1</v>
      </c>
    </row>
    <row r="676" spans="1:13">
      <c r="A676" s="8">
        <v>43265</v>
      </c>
      <c r="B676" s="9">
        <v>0.65694444444444444</v>
      </c>
      <c r="C676" s="10" t="str">
        <f>"FES1162629705"</f>
        <v>FES1162629705</v>
      </c>
      <c r="D676" s="10" t="s">
        <v>19</v>
      </c>
      <c r="E676" s="10" t="s">
        <v>191</v>
      </c>
      <c r="F676" s="10" t="str">
        <f>"2170636728 "</f>
        <v xml:space="preserve">2170636728 </v>
      </c>
      <c r="G676" s="10" t="str">
        <f t="shared" si="20"/>
        <v>ON1</v>
      </c>
      <c r="H676" s="10" t="s">
        <v>21</v>
      </c>
      <c r="I676" s="10" t="s">
        <v>192</v>
      </c>
      <c r="J676" s="10" t="str">
        <f>""</f>
        <v/>
      </c>
      <c r="K676" s="10" t="str">
        <f>"PFES1162629705_0001"</f>
        <v>PFES1162629705_0001</v>
      </c>
      <c r="L676" s="10">
        <v>1</v>
      </c>
      <c r="M676" s="10">
        <v>1</v>
      </c>
    </row>
    <row r="677" spans="1:13">
      <c r="A677" s="8">
        <v>43265</v>
      </c>
      <c r="B677" s="9">
        <v>0.65694444444444444</v>
      </c>
      <c r="C677" s="10" t="str">
        <f>"FES1162629688"</f>
        <v>FES1162629688</v>
      </c>
      <c r="D677" s="10" t="s">
        <v>19</v>
      </c>
      <c r="E677" s="10" t="s">
        <v>563</v>
      </c>
      <c r="F677" s="10" t="str">
        <f>"2170636699 "</f>
        <v xml:space="preserve">2170636699 </v>
      </c>
      <c r="G677" s="10" t="str">
        <f t="shared" si="20"/>
        <v>ON1</v>
      </c>
      <c r="H677" s="10" t="s">
        <v>21</v>
      </c>
      <c r="I677" s="10" t="s">
        <v>564</v>
      </c>
      <c r="J677" s="10" t="str">
        <f>""</f>
        <v/>
      </c>
      <c r="K677" s="10" t="str">
        <f>"PFES1162629688_0001"</f>
        <v>PFES1162629688_0001</v>
      </c>
      <c r="L677" s="10">
        <v>1</v>
      </c>
      <c r="M677" s="10">
        <v>1</v>
      </c>
    </row>
    <row r="678" spans="1:13">
      <c r="A678" s="8">
        <v>43265</v>
      </c>
      <c r="B678" s="9">
        <v>0.65694444444444444</v>
      </c>
      <c r="C678" s="10" t="str">
        <f>"FES1162629709"</f>
        <v>FES1162629709</v>
      </c>
      <c r="D678" s="10" t="s">
        <v>19</v>
      </c>
      <c r="E678" s="10" t="s">
        <v>565</v>
      </c>
      <c r="F678" s="10" t="str">
        <f>"2170635667 "</f>
        <v xml:space="preserve">2170635667 </v>
      </c>
      <c r="G678" s="10" t="str">
        <f t="shared" si="20"/>
        <v>ON1</v>
      </c>
      <c r="H678" s="10" t="s">
        <v>21</v>
      </c>
      <c r="I678" s="10" t="s">
        <v>26</v>
      </c>
      <c r="J678" s="10" t="str">
        <f>""</f>
        <v/>
      </c>
      <c r="K678" s="10" t="str">
        <f>"PFES1162629709_0001"</f>
        <v>PFES1162629709_0001</v>
      </c>
      <c r="L678" s="10">
        <v>1</v>
      </c>
      <c r="M678" s="10">
        <v>7</v>
      </c>
    </row>
    <row r="679" spans="1:13">
      <c r="A679" s="8">
        <v>43265</v>
      </c>
      <c r="B679" s="9">
        <v>0.65625</v>
      </c>
      <c r="C679" s="10" t="str">
        <f>"FES1162629638"</f>
        <v>FES1162629638</v>
      </c>
      <c r="D679" s="10" t="s">
        <v>19</v>
      </c>
      <c r="E679" s="10" t="s">
        <v>310</v>
      </c>
      <c r="F679" s="10" t="str">
        <f>"2170635317 "</f>
        <v xml:space="preserve">2170635317 </v>
      </c>
      <c r="G679" s="10" t="str">
        <f t="shared" si="20"/>
        <v>ON1</v>
      </c>
      <c r="H679" s="10" t="s">
        <v>21</v>
      </c>
      <c r="I679" s="10" t="s">
        <v>255</v>
      </c>
      <c r="J679" s="10" t="str">
        <f>""</f>
        <v/>
      </c>
      <c r="K679" s="10" t="str">
        <f>"PFES1162629638_0001"</f>
        <v>PFES1162629638_0001</v>
      </c>
      <c r="L679" s="10">
        <v>1</v>
      </c>
      <c r="M679" s="10">
        <v>1</v>
      </c>
    </row>
    <row r="680" spans="1:13">
      <c r="A680" s="8">
        <v>43265</v>
      </c>
      <c r="B680" s="9">
        <v>0.65625</v>
      </c>
      <c r="C680" s="10" t="str">
        <f>"FES1162629652"</f>
        <v>FES1162629652</v>
      </c>
      <c r="D680" s="10" t="s">
        <v>19</v>
      </c>
      <c r="E680" s="10" t="s">
        <v>67</v>
      </c>
      <c r="F680" s="10" t="str">
        <f>"2170636669 "</f>
        <v xml:space="preserve">2170636669 </v>
      </c>
      <c r="G680" s="10" t="str">
        <f t="shared" si="20"/>
        <v>ON1</v>
      </c>
      <c r="H680" s="10" t="s">
        <v>21</v>
      </c>
      <c r="I680" s="10" t="s">
        <v>32</v>
      </c>
      <c r="J680" s="10" t="str">
        <f>""</f>
        <v/>
      </c>
      <c r="K680" s="10" t="str">
        <f>"PFES1162629652_0001"</f>
        <v>PFES1162629652_0001</v>
      </c>
      <c r="L680" s="10">
        <v>1</v>
      </c>
      <c r="M680" s="10">
        <v>1</v>
      </c>
    </row>
    <row r="681" spans="1:13">
      <c r="A681" s="8">
        <v>43265</v>
      </c>
      <c r="B681" s="9">
        <v>0.65555555555555556</v>
      </c>
      <c r="C681" s="10" t="str">
        <f>"FES1162629708"</f>
        <v>FES1162629708</v>
      </c>
      <c r="D681" s="10" t="s">
        <v>19</v>
      </c>
      <c r="E681" s="10" t="s">
        <v>58</v>
      </c>
      <c r="F681" s="10" t="str">
        <f>"2170636735 "</f>
        <v xml:space="preserve">2170636735 </v>
      </c>
      <c r="G681" s="10" t="str">
        <f t="shared" si="20"/>
        <v>ON1</v>
      </c>
      <c r="H681" s="10" t="s">
        <v>21</v>
      </c>
      <c r="I681" s="10" t="s">
        <v>59</v>
      </c>
      <c r="J681" s="10" t="str">
        <f>""</f>
        <v/>
      </c>
      <c r="K681" s="10" t="str">
        <f>"PFES1162629708_0001"</f>
        <v>PFES1162629708_0001</v>
      </c>
      <c r="L681" s="10">
        <v>1</v>
      </c>
      <c r="M681" s="10">
        <v>1</v>
      </c>
    </row>
    <row r="682" spans="1:13">
      <c r="A682" s="8">
        <v>43265</v>
      </c>
      <c r="B682" s="9">
        <v>0.65555555555555556</v>
      </c>
      <c r="C682" s="10" t="str">
        <f>"FES1162629641"</f>
        <v>FES1162629641</v>
      </c>
      <c r="D682" s="10" t="s">
        <v>19</v>
      </c>
      <c r="E682" s="10" t="s">
        <v>190</v>
      </c>
      <c r="F682" s="10" t="str">
        <f>"2170636653 "</f>
        <v xml:space="preserve">2170636653 </v>
      </c>
      <c r="G682" s="10" t="str">
        <f t="shared" si="20"/>
        <v>ON1</v>
      </c>
      <c r="H682" s="10" t="s">
        <v>21</v>
      </c>
      <c r="I682" s="10" t="s">
        <v>71</v>
      </c>
      <c r="J682" s="10" t="str">
        <f>""</f>
        <v/>
      </c>
      <c r="K682" s="10" t="str">
        <f>"PFES1162629641_0001"</f>
        <v>PFES1162629641_0001</v>
      </c>
      <c r="L682" s="10">
        <v>1</v>
      </c>
      <c r="M682" s="10">
        <v>1</v>
      </c>
    </row>
    <row r="683" spans="1:13">
      <c r="A683" s="8">
        <v>43265</v>
      </c>
      <c r="B683" s="9">
        <v>0.65555555555555556</v>
      </c>
      <c r="C683" s="10" t="str">
        <f>"FES1162629740"</f>
        <v>FES1162629740</v>
      </c>
      <c r="D683" s="10" t="s">
        <v>19</v>
      </c>
      <c r="E683" s="10" t="s">
        <v>490</v>
      </c>
      <c r="F683" s="10" t="str">
        <f>"2170636788 "</f>
        <v xml:space="preserve">2170636788 </v>
      </c>
      <c r="G683" s="10" t="str">
        <f t="shared" si="20"/>
        <v>ON1</v>
      </c>
      <c r="H683" s="10" t="s">
        <v>21</v>
      </c>
      <c r="I683" s="10" t="s">
        <v>393</v>
      </c>
      <c r="J683" s="10" t="str">
        <f>""</f>
        <v/>
      </c>
      <c r="K683" s="10" t="str">
        <f>"PFES1162629740_0001"</f>
        <v>PFES1162629740_0001</v>
      </c>
      <c r="L683" s="10">
        <v>1</v>
      </c>
      <c r="M683" s="10">
        <v>1</v>
      </c>
    </row>
    <row r="684" spans="1:13">
      <c r="A684" s="8">
        <v>43265</v>
      </c>
      <c r="B684" s="9">
        <v>0.65486111111111112</v>
      </c>
      <c r="C684" s="10" t="str">
        <f>"FES1162629575"</f>
        <v>FES1162629575</v>
      </c>
      <c r="D684" s="10" t="s">
        <v>19</v>
      </c>
      <c r="E684" s="10" t="s">
        <v>188</v>
      </c>
      <c r="F684" s="10" t="str">
        <f>"2170631997 "</f>
        <v xml:space="preserve">2170631997 </v>
      </c>
      <c r="G684" s="10" t="str">
        <f t="shared" si="20"/>
        <v>ON1</v>
      </c>
      <c r="H684" s="10" t="s">
        <v>21</v>
      </c>
      <c r="I684" s="10" t="s">
        <v>189</v>
      </c>
      <c r="J684" s="10" t="str">
        <f>""</f>
        <v/>
      </c>
      <c r="K684" s="10" t="str">
        <f>"PFES1162629575_0001"</f>
        <v>PFES1162629575_0001</v>
      </c>
      <c r="L684" s="10">
        <v>1</v>
      </c>
      <c r="M684" s="10">
        <v>1</v>
      </c>
    </row>
    <row r="685" spans="1:13">
      <c r="A685" s="8">
        <v>43265</v>
      </c>
      <c r="B685" s="9">
        <v>0.65416666666666667</v>
      </c>
      <c r="C685" s="10" t="str">
        <f>"FES1162629666"</f>
        <v>FES1162629666</v>
      </c>
      <c r="D685" s="10" t="s">
        <v>19</v>
      </c>
      <c r="E685" s="10" t="s">
        <v>566</v>
      </c>
      <c r="F685" s="10" t="str">
        <f>"2170636683 "</f>
        <v xml:space="preserve">2170636683 </v>
      </c>
      <c r="G685" s="10" t="str">
        <f t="shared" si="20"/>
        <v>ON1</v>
      </c>
      <c r="H685" s="10" t="s">
        <v>21</v>
      </c>
      <c r="I685" s="10" t="s">
        <v>251</v>
      </c>
      <c r="J685" s="10" t="str">
        <f>""</f>
        <v/>
      </c>
      <c r="K685" s="10" t="str">
        <f>"PFES1162629666_0001"</f>
        <v>PFES1162629666_0001</v>
      </c>
      <c r="L685" s="10">
        <v>1</v>
      </c>
      <c r="M685" s="10">
        <v>1</v>
      </c>
    </row>
    <row r="686" spans="1:13">
      <c r="A686" s="8">
        <v>43265</v>
      </c>
      <c r="B686" s="9">
        <v>0.65416666666666667</v>
      </c>
      <c r="C686" s="10" t="str">
        <f>"FES1162629657"</f>
        <v>FES1162629657</v>
      </c>
      <c r="D686" s="10" t="s">
        <v>19</v>
      </c>
      <c r="E686" s="10" t="s">
        <v>567</v>
      </c>
      <c r="F686" s="10" t="str">
        <f>"2170636681 "</f>
        <v xml:space="preserve">2170636681 </v>
      </c>
      <c r="G686" s="10" t="str">
        <f t="shared" si="20"/>
        <v>ON1</v>
      </c>
      <c r="H686" s="10" t="s">
        <v>21</v>
      </c>
      <c r="I686" s="10" t="s">
        <v>213</v>
      </c>
      <c r="J686" s="10" t="str">
        <f>""</f>
        <v/>
      </c>
      <c r="K686" s="10" t="str">
        <f>"PFES1162629657_0001"</f>
        <v>PFES1162629657_0001</v>
      </c>
      <c r="L686" s="10">
        <v>1</v>
      </c>
      <c r="M686" s="10">
        <v>1</v>
      </c>
    </row>
    <row r="687" spans="1:13">
      <c r="A687" s="8">
        <v>43265</v>
      </c>
      <c r="B687" s="9">
        <v>0.65347222222222223</v>
      </c>
      <c r="C687" s="10" t="str">
        <f>"FES1162629748"</f>
        <v>FES1162629748</v>
      </c>
      <c r="D687" s="10" t="s">
        <v>19</v>
      </c>
      <c r="E687" s="10" t="s">
        <v>568</v>
      </c>
      <c r="F687" s="10" t="str">
        <f>"2170636787+ "</f>
        <v xml:space="preserve">2170636787+ </v>
      </c>
      <c r="G687" s="10" t="str">
        <f t="shared" si="20"/>
        <v>ON1</v>
      </c>
      <c r="H687" s="10" t="s">
        <v>21</v>
      </c>
      <c r="I687" s="10" t="s">
        <v>569</v>
      </c>
      <c r="J687" s="10" t="str">
        <f>""</f>
        <v/>
      </c>
      <c r="K687" s="10" t="str">
        <f>"PFES1162629748_0001"</f>
        <v>PFES1162629748_0001</v>
      </c>
      <c r="L687" s="10">
        <v>1</v>
      </c>
      <c r="M687" s="10">
        <v>1</v>
      </c>
    </row>
    <row r="688" spans="1:13">
      <c r="A688" s="8">
        <v>43265</v>
      </c>
      <c r="B688" s="9">
        <v>0.65347222222222223</v>
      </c>
      <c r="C688" s="10" t="str">
        <f>"FES1162629524"</f>
        <v>FES1162629524</v>
      </c>
      <c r="D688" s="10" t="s">
        <v>19</v>
      </c>
      <c r="E688" s="10" t="s">
        <v>191</v>
      </c>
      <c r="F688" s="10" t="str">
        <f>"2170636578 "</f>
        <v xml:space="preserve">2170636578 </v>
      </c>
      <c r="G688" s="10" t="str">
        <f t="shared" si="20"/>
        <v>ON1</v>
      </c>
      <c r="H688" s="10" t="s">
        <v>21</v>
      </c>
      <c r="I688" s="10" t="s">
        <v>192</v>
      </c>
      <c r="J688" s="10" t="str">
        <f>""</f>
        <v/>
      </c>
      <c r="K688" s="10" t="str">
        <f>"PFES1162629524_0001"</f>
        <v>PFES1162629524_0001</v>
      </c>
      <c r="L688" s="10">
        <v>1</v>
      </c>
      <c r="M688" s="10">
        <v>4</v>
      </c>
    </row>
    <row r="689" spans="1:13">
      <c r="A689" s="8">
        <v>43265</v>
      </c>
      <c r="B689" s="9">
        <v>0.65277777777777779</v>
      </c>
      <c r="C689" s="10" t="str">
        <f>"FES1162629735"</f>
        <v>FES1162629735</v>
      </c>
      <c r="D689" s="10" t="s">
        <v>19</v>
      </c>
      <c r="E689" s="10" t="s">
        <v>570</v>
      </c>
      <c r="F689" s="10" t="str">
        <f>"2170636778 "</f>
        <v xml:space="preserve">2170636778 </v>
      </c>
      <c r="G689" s="10" t="str">
        <f t="shared" si="20"/>
        <v>ON1</v>
      </c>
      <c r="H689" s="10" t="s">
        <v>21</v>
      </c>
      <c r="I689" s="10" t="s">
        <v>349</v>
      </c>
      <c r="J689" s="10" t="str">
        <f>""</f>
        <v/>
      </c>
      <c r="K689" s="10" t="str">
        <f>"PFES1162629735_0001"</f>
        <v>PFES1162629735_0001</v>
      </c>
      <c r="L689" s="10">
        <v>1</v>
      </c>
      <c r="M689" s="10">
        <v>1</v>
      </c>
    </row>
    <row r="690" spans="1:13">
      <c r="A690" s="8">
        <v>43265</v>
      </c>
      <c r="B690" s="9">
        <v>0.65277777777777779</v>
      </c>
      <c r="C690" s="10" t="str">
        <f>"FES1162629654"</f>
        <v>FES1162629654</v>
      </c>
      <c r="D690" s="10" t="s">
        <v>19</v>
      </c>
      <c r="E690" s="10" t="s">
        <v>571</v>
      </c>
      <c r="F690" s="10" t="str">
        <f>"2170636674 "</f>
        <v xml:space="preserve">2170636674 </v>
      </c>
      <c r="G690" s="10" t="str">
        <f t="shared" si="20"/>
        <v>ON1</v>
      </c>
      <c r="H690" s="10" t="s">
        <v>21</v>
      </c>
      <c r="I690" s="10" t="s">
        <v>174</v>
      </c>
      <c r="J690" s="10" t="str">
        <f>""</f>
        <v/>
      </c>
      <c r="K690" s="10" t="str">
        <f>"PFES1162629654_0001"</f>
        <v>PFES1162629654_0001</v>
      </c>
      <c r="L690" s="10">
        <v>1</v>
      </c>
      <c r="M690" s="10">
        <v>1</v>
      </c>
    </row>
    <row r="691" spans="1:13">
      <c r="A691" s="8">
        <v>43265</v>
      </c>
      <c r="B691" s="9">
        <v>0.65208333333333335</v>
      </c>
      <c r="C691" s="10" t="str">
        <f>"FES1162629714"</f>
        <v>FES1162629714</v>
      </c>
      <c r="D691" s="10" t="s">
        <v>19</v>
      </c>
      <c r="E691" s="10" t="s">
        <v>482</v>
      </c>
      <c r="F691" s="10" t="str">
        <f>"217063742 "</f>
        <v xml:space="preserve">217063742 </v>
      </c>
      <c r="G691" s="10" t="str">
        <f t="shared" si="20"/>
        <v>ON1</v>
      </c>
      <c r="H691" s="10" t="s">
        <v>21</v>
      </c>
      <c r="I691" s="10" t="s">
        <v>483</v>
      </c>
      <c r="J691" s="10" t="str">
        <f>""</f>
        <v/>
      </c>
      <c r="K691" s="10" t="str">
        <f>"PFES1162629714_0001"</f>
        <v>PFES1162629714_0001</v>
      </c>
      <c r="L691" s="10">
        <v>1</v>
      </c>
      <c r="M691" s="10">
        <v>1</v>
      </c>
    </row>
    <row r="692" spans="1:13">
      <c r="A692" s="8">
        <v>43265</v>
      </c>
      <c r="B692" s="9">
        <v>0.65208333333333335</v>
      </c>
      <c r="C692" s="10" t="str">
        <f>"FES1162629689"</f>
        <v>FES1162629689</v>
      </c>
      <c r="D692" s="10" t="s">
        <v>19</v>
      </c>
      <c r="E692" s="10" t="s">
        <v>459</v>
      </c>
      <c r="F692" s="10" t="str">
        <f>"2170636700 "</f>
        <v xml:space="preserve">2170636700 </v>
      </c>
      <c r="G692" s="10" t="str">
        <f t="shared" si="20"/>
        <v>ON1</v>
      </c>
      <c r="H692" s="10" t="s">
        <v>21</v>
      </c>
      <c r="I692" s="10" t="s">
        <v>460</v>
      </c>
      <c r="J692" s="10" t="str">
        <f>""</f>
        <v/>
      </c>
      <c r="K692" s="10" t="str">
        <f>"PFES1162629689_0001"</f>
        <v>PFES1162629689_0001</v>
      </c>
      <c r="L692" s="10">
        <v>1</v>
      </c>
      <c r="M692" s="10">
        <v>1</v>
      </c>
    </row>
    <row r="693" spans="1:13">
      <c r="A693" s="8">
        <v>43265</v>
      </c>
      <c r="B693" s="9">
        <v>0.65069444444444446</v>
      </c>
      <c r="C693" s="10" t="str">
        <f>"FES1162629663"</f>
        <v>FES1162629663</v>
      </c>
      <c r="D693" s="10" t="s">
        <v>19</v>
      </c>
      <c r="E693" s="10" t="s">
        <v>193</v>
      </c>
      <c r="F693" s="10" t="str">
        <f>"2170636677 "</f>
        <v xml:space="preserve">2170636677 </v>
      </c>
      <c r="G693" s="10" t="str">
        <f t="shared" si="20"/>
        <v>ON1</v>
      </c>
      <c r="H693" s="10" t="s">
        <v>21</v>
      </c>
      <c r="I693" s="10" t="s">
        <v>30</v>
      </c>
      <c r="J693" s="10" t="str">
        <f>""</f>
        <v/>
      </c>
      <c r="K693" s="10" t="str">
        <f>"PFES1162629663_0001"</f>
        <v>PFES1162629663_0001</v>
      </c>
      <c r="L693" s="10">
        <v>1</v>
      </c>
      <c r="M693" s="10">
        <v>1</v>
      </c>
    </row>
    <row r="694" spans="1:13">
      <c r="A694" s="8">
        <v>43265</v>
      </c>
      <c r="B694" s="9">
        <v>0.62847222222222221</v>
      </c>
      <c r="C694" s="10" t="str">
        <f>"FES1162629718"</f>
        <v>FES1162629718</v>
      </c>
      <c r="D694" s="10" t="s">
        <v>19</v>
      </c>
      <c r="E694" s="10" t="s">
        <v>572</v>
      </c>
      <c r="F694" s="10" t="str">
        <f>"2170636753 "</f>
        <v xml:space="preserve">2170636753 </v>
      </c>
      <c r="G694" s="10" t="str">
        <f t="shared" si="20"/>
        <v>ON1</v>
      </c>
      <c r="H694" s="10" t="s">
        <v>21</v>
      </c>
      <c r="I694" s="10" t="s">
        <v>170</v>
      </c>
      <c r="J694" s="10" t="str">
        <f>""</f>
        <v/>
      </c>
      <c r="K694" s="10" t="str">
        <f>"PFES1162629718_0001"</f>
        <v>PFES1162629718_0001</v>
      </c>
      <c r="L694" s="10">
        <v>1</v>
      </c>
      <c r="M694" s="10">
        <v>13</v>
      </c>
    </row>
    <row r="695" spans="1:13">
      <c r="A695" s="8">
        <v>43265</v>
      </c>
      <c r="B695" s="9">
        <v>0.60277777777777775</v>
      </c>
      <c r="C695" s="10" t="str">
        <f>"FES1162629675"</f>
        <v>FES1162629675</v>
      </c>
      <c r="D695" s="10" t="s">
        <v>19</v>
      </c>
      <c r="E695" s="10" t="s">
        <v>489</v>
      </c>
      <c r="F695" s="10" t="str">
        <f>"2170636121 "</f>
        <v xml:space="preserve">2170636121 </v>
      </c>
      <c r="G695" s="10" t="str">
        <f t="shared" si="20"/>
        <v>ON1</v>
      </c>
      <c r="H695" s="10" t="s">
        <v>21</v>
      </c>
      <c r="I695" s="10" t="s">
        <v>487</v>
      </c>
      <c r="J695" s="10" t="str">
        <f>""</f>
        <v/>
      </c>
      <c r="K695" s="10" t="str">
        <f>"PFES1162629675_0001"</f>
        <v>PFES1162629675_0001</v>
      </c>
      <c r="L695" s="10">
        <v>1</v>
      </c>
      <c r="M695" s="10">
        <v>15</v>
      </c>
    </row>
    <row r="696" spans="1:13">
      <c r="A696" s="8">
        <v>43265</v>
      </c>
      <c r="B696" s="9">
        <v>0.60277777777777775</v>
      </c>
      <c r="C696" s="10" t="str">
        <f>"FES1162629712"</f>
        <v>FES1162629712</v>
      </c>
      <c r="D696" s="10" t="s">
        <v>19</v>
      </c>
      <c r="E696" s="10" t="s">
        <v>90</v>
      </c>
      <c r="F696" s="10" t="str">
        <f>"2170636734 "</f>
        <v xml:space="preserve">2170636734 </v>
      </c>
      <c r="G696" s="10" t="str">
        <f t="shared" si="20"/>
        <v>ON1</v>
      </c>
      <c r="H696" s="10" t="s">
        <v>21</v>
      </c>
      <c r="I696" s="10" t="s">
        <v>573</v>
      </c>
      <c r="J696" s="10" t="str">
        <f>""</f>
        <v/>
      </c>
      <c r="K696" s="10" t="str">
        <f>"PFES1162629712_0001"</f>
        <v>PFES1162629712_0001</v>
      </c>
      <c r="L696" s="10">
        <v>1</v>
      </c>
      <c r="M696" s="10">
        <v>1</v>
      </c>
    </row>
    <row r="697" spans="1:13">
      <c r="A697" s="8">
        <v>43265</v>
      </c>
      <c r="B697" s="9">
        <v>0.60277777777777775</v>
      </c>
      <c r="C697" s="10" t="str">
        <f>"FES1162629682"</f>
        <v>FES1162629682</v>
      </c>
      <c r="D697" s="10" t="s">
        <v>19</v>
      </c>
      <c r="E697" s="10" t="s">
        <v>312</v>
      </c>
      <c r="F697" s="10" t="str">
        <f>"2170636692 "</f>
        <v xml:space="preserve">2170636692 </v>
      </c>
      <c r="G697" s="10" t="str">
        <f t="shared" si="20"/>
        <v>ON1</v>
      </c>
      <c r="H697" s="10" t="s">
        <v>21</v>
      </c>
      <c r="I697" s="10" t="s">
        <v>313</v>
      </c>
      <c r="J697" s="10" t="str">
        <f>""</f>
        <v/>
      </c>
      <c r="K697" s="10" t="str">
        <f>"PFES1162629682_0001"</f>
        <v>PFES1162629682_0001</v>
      </c>
      <c r="L697" s="10">
        <v>1</v>
      </c>
      <c r="M697" s="10">
        <v>1</v>
      </c>
    </row>
    <row r="698" spans="1:13">
      <c r="A698" s="8">
        <v>43265</v>
      </c>
      <c r="B698" s="9">
        <v>0.6020833333333333</v>
      </c>
      <c r="C698" s="10" t="str">
        <f>"FES1162629698"</f>
        <v>FES1162629698</v>
      </c>
      <c r="D698" s="10" t="s">
        <v>19</v>
      </c>
      <c r="E698" s="10" t="s">
        <v>394</v>
      </c>
      <c r="F698" s="10" t="str">
        <f>"2170636716 "</f>
        <v xml:space="preserve">2170636716 </v>
      </c>
      <c r="G698" s="10" t="str">
        <f t="shared" si="20"/>
        <v>ON1</v>
      </c>
      <c r="H698" s="10" t="s">
        <v>21</v>
      </c>
      <c r="I698" s="10" t="s">
        <v>75</v>
      </c>
      <c r="J698" s="10" t="str">
        <f>""</f>
        <v/>
      </c>
      <c r="K698" s="10" t="str">
        <f>"PFES1162629698_0001"</f>
        <v>PFES1162629698_0001</v>
      </c>
      <c r="L698" s="10">
        <v>1</v>
      </c>
      <c r="M698" s="10">
        <v>1</v>
      </c>
    </row>
    <row r="699" spans="1:13">
      <c r="A699" s="8">
        <v>43265</v>
      </c>
      <c r="B699" s="9">
        <v>0.6020833333333333</v>
      </c>
      <c r="C699" s="10" t="str">
        <f>"FES1162629680"</f>
        <v>FES1162629680</v>
      </c>
      <c r="D699" s="10" t="s">
        <v>19</v>
      </c>
      <c r="E699" s="10" t="s">
        <v>198</v>
      </c>
      <c r="F699" s="10" t="str">
        <f>"2170636687 "</f>
        <v xml:space="preserve">2170636687 </v>
      </c>
      <c r="G699" s="10" t="str">
        <f t="shared" si="20"/>
        <v>ON1</v>
      </c>
      <c r="H699" s="10" t="s">
        <v>21</v>
      </c>
      <c r="I699" s="10" t="s">
        <v>199</v>
      </c>
      <c r="J699" s="10" t="str">
        <f>""</f>
        <v/>
      </c>
      <c r="K699" s="10" t="str">
        <f>"PFES1162629680_0001"</f>
        <v>PFES1162629680_0001</v>
      </c>
      <c r="L699" s="10">
        <v>1</v>
      </c>
      <c r="M699" s="10">
        <v>1</v>
      </c>
    </row>
    <row r="700" spans="1:13">
      <c r="A700" s="8">
        <v>43265</v>
      </c>
      <c r="B700" s="9">
        <v>0.60138888888888886</v>
      </c>
      <c r="C700" s="10" t="str">
        <f>"FES1162629722"</f>
        <v>FES1162629722</v>
      </c>
      <c r="D700" s="10" t="s">
        <v>19</v>
      </c>
      <c r="E700" s="10" t="s">
        <v>574</v>
      </c>
      <c r="F700" s="10" t="str">
        <f>"2170636760 "</f>
        <v xml:space="preserve">2170636760 </v>
      </c>
      <c r="G700" s="10" t="str">
        <f>"DBC"</f>
        <v>DBC</v>
      </c>
      <c r="H700" s="10" t="s">
        <v>21</v>
      </c>
      <c r="I700" s="10" t="s">
        <v>83</v>
      </c>
      <c r="J700" s="10" t="str">
        <f>"FRAGILE OIL"</f>
        <v>FRAGILE OIL</v>
      </c>
      <c r="K700" s="10" t="str">
        <f>"PFES1162629722_0001"</f>
        <v>PFES1162629722_0001</v>
      </c>
      <c r="L700" s="10">
        <v>1</v>
      </c>
      <c r="M700" s="10">
        <v>2</v>
      </c>
    </row>
    <row r="701" spans="1:13">
      <c r="A701" s="8">
        <v>43265</v>
      </c>
      <c r="B701" s="9">
        <v>0.6</v>
      </c>
      <c r="C701" s="10" t="str">
        <f>"FES1162629707"</f>
        <v>FES1162629707</v>
      </c>
      <c r="D701" s="10" t="s">
        <v>19</v>
      </c>
      <c r="E701" s="10" t="s">
        <v>575</v>
      </c>
      <c r="F701" s="10" t="str">
        <f>"2170636733 "</f>
        <v xml:space="preserve">2170636733 </v>
      </c>
      <c r="G701" s="10" t="str">
        <f t="shared" ref="G701:G710" si="21">"ON1"</f>
        <v>ON1</v>
      </c>
      <c r="H701" s="10" t="s">
        <v>21</v>
      </c>
      <c r="I701" s="10" t="s">
        <v>55</v>
      </c>
      <c r="J701" s="10" t="str">
        <f>""</f>
        <v/>
      </c>
      <c r="K701" s="10" t="str">
        <f>"PFES1162629707_0001"</f>
        <v>PFES1162629707_0001</v>
      </c>
      <c r="L701" s="10">
        <v>1</v>
      </c>
      <c r="M701" s="10">
        <v>4</v>
      </c>
    </row>
    <row r="702" spans="1:13">
      <c r="A702" s="8">
        <v>43265</v>
      </c>
      <c r="B702" s="9">
        <v>0.59722222222222221</v>
      </c>
      <c r="C702" s="10" t="str">
        <f>"FES1162629687"</f>
        <v>FES1162629687</v>
      </c>
      <c r="D702" s="10" t="s">
        <v>19</v>
      </c>
      <c r="E702" s="10" t="s">
        <v>60</v>
      </c>
      <c r="F702" s="10" t="str">
        <f>"2170636698 "</f>
        <v xml:space="preserve">2170636698 </v>
      </c>
      <c r="G702" s="10" t="str">
        <f t="shared" si="21"/>
        <v>ON1</v>
      </c>
      <c r="H702" s="10" t="s">
        <v>21</v>
      </c>
      <c r="I702" s="10" t="s">
        <v>61</v>
      </c>
      <c r="J702" s="10" t="str">
        <f>""</f>
        <v/>
      </c>
      <c r="K702" s="10" t="str">
        <f>"PFES1162629687_0001"</f>
        <v>PFES1162629687_0001</v>
      </c>
      <c r="L702" s="10">
        <v>1</v>
      </c>
      <c r="M702" s="10">
        <v>3</v>
      </c>
    </row>
    <row r="703" spans="1:13">
      <c r="A703" s="8">
        <v>43265</v>
      </c>
      <c r="B703" s="9">
        <v>0.59583333333333333</v>
      </c>
      <c r="C703" s="10" t="str">
        <f>"FES1162629539"</f>
        <v>FES1162629539</v>
      </c>
      <c r="D703" s="10" t="s">
        <v>19</v>
      </c>
      <c r="E703" s="10" t="s">
        <v>576</v>
      </c>
      <c r="F703" s="10" t="str">
        <f>"2170635615 "</f>
        <v xml:space="preserve">2170635615 </v>
      </c>
      <c r="G703" s="10" t="str">
        <f t="shared" si="21"/>
        <v>ON1</v>
      </c>
      <c r="H703" s="10" t="s">
        <v>21</v>
      </c>
      <c r="I703" s="10" t="s">
        <v>333</v>
      </c>
      <c r="J703" s="10" t="str">
        <f>""</f>
        <v/>
      </c>
      <c r="K703" s="10" t="str">
        <f>"PFES1162629539_0001"</f>
        <v>PFES1162629539_0001</v>
      </c>
      <c r="L703" s="10">
        <v>1</v>
      </c>
      <c r="M703" s="10">
        <v>2</v>
      </c>
    </row>
    <row r="704" spans="1:13">
      <c r="A704" s="8">
        <v>43265</v>
      </c>
      <c r="B704" s="9">
        <v>0.59375</v>
      </c>
      <c r="C704" s="10" t="str">
        <f>"FES1162629459"</f>
        <v>FES1162629459</v>
      </c>
      <c r="D704" s="10" t="s">
        <v>19</v>
      </c>
      <c r="E704" s="10" t="s">
        <v>328</v>
      </c>
      <c r="F704" s="10" t="str">
        <f>"2170635640 "</f>
        <v xml:space="preserve">2170635640 </v>
      </c>
      <c r="G704" s="10" t="str">
        <f t="shared" si="21"/>
        <v>ON1</v>
      </c>
      <c r="H704" s="10" t="s">
        <v>21</v>
      </c>
      <c r="I704" s="10" t="s">
        <v>329</v>
      </c>
      <c r="J704" s="10" t="str">
        <f>""</f>
        <v/>
      </c>
      <c r="K704" s="10" t="str">
        <f>"PFES1162629459_0001"</f>
        <v>PFES1162629459_0001</v>
      </c>
      <c r="L704" s="10">
        <v>1</v>
      </c>
      <c r="M704" s="10">
        <v>4</v>
      </c>
    </row>
    <row r="705" spans="1:13">
      <c r="A705" s="8">
        <v>43265</v>
      </c>
      <c r="B705" s="9">
        <v>0.59166666666666667</v>
      </c>
      <c r="C705" s="10" t="str">
        <f>"FES1162629559"</f>
        <v>FES1162629559</v>
      </c>
      <c r="D705" s="10" t="s">
        <v>19</v>
      </c>
      <c r="E705" s="10" t="s">
        <v>577</v>
      </c>
      <c r="F705" s="10" t="str">
        <f>"2170636594 "</f>
        <v xml:space="preserve">2170636594 </v>
      </c>
      <c r="G705" s="10" t="str">
        <f t="shared" si="21"/>
        <v>ON1</v>
      </c>
      <c r="H705" s="10" t="s">
        <v>21</v>
      </c>
      <c r="I705" s="10" t="s">
        <v>578</v>
      </c>
      <c r="J705" s="10" t="str">
        <f>""</f>
        <v/>
      </c>
      <c r="K705" s="10" t="str">
        <f>"PFES1162629559_0001"</f>
        <v>PFES1162629559_0001</v>
      </c>
      <c r="L705" s="10">
        <v>1</v>
      </c>
      <c r="M705" s="10">
        <v>3</v>
      </c>
    </row>
    <row r="706" spans="1:13">
      <c r="A706" s="8">
        <v>43265</v>
      </c>
      <c r="B706" s="9">
        <v>0.58888888888888891</v>
      </c>
      <c r="C706" s="10" t="str">
        <f>"FES1162629630"</f>
        <v>FES1162629630</v>
      </c>
      <c r="D706" s="10" t="s">
        <v>19</v>
      </c>
      <c r="E706" s="10" t="s">
        <v>376</v>
      </c>
      <c r="F706" s="10" t="str">
        <f>"2170636464 "</f>
        <v xml:space="preserve">2170636464 </v>
      </c>
      <c r="G706" s="10" t="str">
        <f t="shared" si="21"/>
        <v>ON1</v>
      </c>
      <c r="H706" s="10" t="s">
        <v>21</v>
      </c>
      <c r="I706" s="10" t="s">
        <v>83</v>
      </c>
      <c r="J706" s="10" t="str">
        <f>""</f>
        <v/>
      </c>
      <c r="K706" s="10" t="str">
        <f>"PFES1162629630_0001"</f>
        <v>PFES1162629630_0001</v>
      </c>
      <c r="L706" s="10">
        <v>1</v>
      </c>
      <c r="M706" s="10">
        <v>3</v>
      </c>
    </row>
    <row r="707" spans="1:13">
      <c r="A707" s="8">
        <v>43265</v>
      </c>
      <c r="B707" s="9">
        <v>0.58750000000000002</v>
      </c>
      <c r="C707" s="10" t="str">
        <f>"FES1162629497"</f>
        <v>FES1162629497</v>
      </c>
      <c r="D707" s="10" t="s">
        <v>19</v>
      </c>
      <c r="E707" s="10" t="s">
        <v>74</v>
      </c>
      <c r="F707" s="10" t="str">
        <f>"2170636238 "</f>
        <v xml:space="preserve">2170636238 </v>
      </c>
      <c r="G707" s="10" t="str">
        <f t="shared" si="21"/>
        <v>ON1</v>
      </c>
      <c r="H707" s="10" t="s">
        <v>21</v>
      </c>
      <c r="I707" s="10" t="s">
        <v>75</v>
      </c>
      <c r="J707" s="10" t="str">
        <f>""</f>
        <v/>
      </c>
      <c r="K707" s="10" t="str">
        <f>"PFES1162629497_0001"</f>
        <v>PFES1162629497_0001</v>
      </c>
      <c r="L707" s="10">
        <v>1</v>
      </c>
      <c r="M707" s="10">
        <v>1</v>
      </c>
    </row>
    <row r="708" spans="1:13">
      <c r="A708" s="8">
        <v>43265</v>
      </c>
      <c r="B708" s="9">
        <v>0.58750000000000002</v>
      </c>
      <c r="C708" s="10" t="str">
        <f>"FES1162629623"</f>
        <v>FES1162629623</v>
      </c>
      <c r="D708" s="10" t="s">
        <v>19</v>
      </c>
      <c r="E708" s="10" t="s">
        <v>579</v>
      </c>
      <c r="F708" s="10" t="str">
        <f>"2170636631 "</f>
        <v xml:space="preserve">2170636631 </v>
      </c>
      <c r="G708" s="10" t="str">
        <f t="shared" si="21"/>
        <v>ON1</v>
      </c>
      <c r="H708" s="10" t="s">
        <v>21</v>
      </c>
      <c r="I708" s="10" t="s">
        <v>580</v>
      </c>
      <c r="J708" s="10" t="str">
        <f>""</f>
        <v/>
      </c>
      <c r="K708" s="10" t="str">
        <f>"PFES1162629623_0001"</f>
        <v>PFES1162629623_0001</v>
      </c>
      <c r="L708" s="10">
        <v>1</v>
      </c>
      <c r="M708" s="10">
        <v>1</v>
      </c>
    </row>
    <row r="709" spans="1:13">
      <c r="A709" s="8">
        <v>43265</v>
      </c>
      <c r="B709" s="9">
        <v>0.58680555555555558</v>
      </c>
      <c r="C709" s="10" t="str">
        <f>"FES1162629589"</f>
        <v>FES1162629589</v>
      </c>
      <c r="D709" s="10" t="s">
        <v>19</v>
      </c>
      <c r="E709" s="10" t="s">
        <v>354</v>
      </c>
      <c r="F709" s="10" t="str">
        <f>"21706324 "</f>
        <v xml:space="preserve">21706324 </v>
      </c>
      <c r="G709" s="10" t="str">
        <f t="shared" si="21"/>
        <v>ON1</v>
      </c>
      <c r="H709" s="10" t="s">
        <v>21</v>
      </c>
      <c r="I709" s="10" t="s">
        <v>349</v>
      </c>
      <c r="J709" s="10" t="str">
        <f>""</f>
        <v/>
      </c>
      <c r="K709" s="10" t="str">
        <f>"PFES1162629589_0001"</f>
        <v>PFES1162629589_0001</v>
      </c>
      <c r="L709" s="10">
        <v>1</v>
      </c>
      <c r="M709" s="10">
        <v>1</v>
      </c>
    </row>
    <row r="710" spans="1:13">
      <c r="A710" s="8">
        <v>43265</v>
      </c>
      <c r="B710" s="9">
        <v>0.58680555555555558</v>
      </c>
      <c r="C710" s="10" t="str">
        <f>"FES1162629609"</f>
        <v>FES1162629609</v>
      </c>
      <c r="D710" s="10" t="s">
        <v>19</v>
      </c>
      <c r="E710" s="10" t="s">
        <v>581</v>
      </c>
      <c r="F710" s="10" t="str">
        <f>"2170636356 "</f>
        <v xml:space="preserve">2170636356 </v>
      </c>
      <c r="G710" s="10" t="str">
        <f t="shared" si="21"/>
        <v>ON1</v>
      </c>
      <c r="H710" s="10" t="s">
        <v>21</v>
      </c>
      <c r="I710" s="10" t="s">
        <v>582</v>
      </c>
      <c r="J710" s="10" t="str">
        <f>""</f>
        <v/>
      </c>
      <c r="K710" s="10" t="str">
        <f>"PFES1162629609_0001"</f>
        <v>PFES1162629609_0001</v>
      </c>
      <c r="L710" s="10">
        <v>1</v>
      </c>
      <c r="M710" s="10">
        <v>5</v>
      </c>
    </row>
    <row r="711" spans="1:13">
      <c r="A711" s="8">
        <v>43265</v>
      </c>
      <c r="B711" s="9">
        <v>0.58680555555555558</v>
      </c>
      <c r="C711" s="10" t="str">
        <f>"FES1162629532"</f>
        <v>FES1162629532</v>
      </c>
      <c r="D711" s="10" t="s">
        <v>19</v>
      </c>
      <c r="E711" s="10" t="s">
        <v>512</v>
      </c>
      <c r="F711" s="10" t="str">
        <f>"2170636581 "</f>
        <v xml:space="preserve">2170636581 </v>
      </c>
      <c r="G711" s="10" t="str">
        <f>"DBC"</f>
        <v>DBC</v>
      </c>
      <c r="H711" s="10" t="s">
        <v>21</v>
      </c>
      <c r="I711" s="10" t="s">
        <v>131</v>
      </c>
      <c r="J711" s="10" t="str">
        <f>""</f>
        <v/>
      </c>
      <c r="K711" s="10" t="str">
        <f>"PFES1162629532_0001"</f>
        <v>PFES1162629532_0001</v>
      </c>
      <c r="L711" s="10">
        <v>1</v>
      </c>
      <c r="M711" s="10">
        <v>1</v>
      </c>
    </row>
    <row r="712" spans="1:13">
      <c r="A712" s="8">
        <v>43265</v>
      </c>
      <c r="B712" s="9">
        <v>0.58611111111111114</v>
      </c>
      <c r="C712" s="10" t="str">
        <f>"FES1162629703"</f>
        <v>FES1162629703</v>
      </c>
      <c r="D712" s="10" t="s">
        <v>19</v>
      </c>
      <c r="E712" s="10" t="s">
        <v>568</v>
      </c>
      <c r="F712" s="10" t="str">
        <f>"2170634796 "</f>
        <v xml:space="preserve">2170634796 </v>
      </c>
      <c r="G712" s="10" t="str">
        <f t="shared" ref="G712:G734" si="22">"ON1"</f>
        <v>ON1</v>
      </c>
      <c r="H712" s="10" t="s">
        <v>21</v>
      </c>
      <c r="I712" s="10" t="s">
        <v>569</v>
      </c>
      <c r="J712" s="10" t="str">
        <f>""</f>
        <v/>
      </c>
      <c r="K712" s="10" t="str">
        <f>"PFES1162629703_0001"</f>
        <v>PFES1162629703_0001</v>
      </c>
      <c r="L712" s="10">
        <v>1</v>
      </c>
      <c r="M712" s="10">
        <v>1</v>
      </c>
    </row>
    <row r="713" spans="1:13">
      <c r="A713" s="8">
        <v>43265</v>
      </c>
      <c r="B713" s="9">
        <v>0.58472222222222225</v>
      </c>
      <c r="C713" s="10" t="str">
        <f>"FES1162629704"</f>
        <v>FES1162629704</v>
      </c>
      <c r="D713" s="10" t="s">
        <v>19</v>
      </c>
      <c r="E713" s="10" t="s">
        <v>583</v>
      </c>
      <c r="F713" s="10" t="str">
        <f>"2170636711 "</f>
        <v xml:space="preserve">2170636711 </v>
      </c>
      <c r="G713" s="10" t="str">
        <f t="shared" si="22"/>
        <v>ON1</v>
      </c>
      <c r="H713" s="10" t="s">
        <v>21</v>
      </c>
      <c r="I713" s="10" t="s">
        <v>569</v>
      </c>
      <c r="J713" s="10" t="str">
        <f>""</f>
        <v/>
      </c>
      <c r="K713" s="10" t="str">
        <f>"PFES1162629704_0001"</f>
        <v>PFES1162629704_0001</v>
      </c>
      <c r="L713" s="10">
        <v>1</v>
      </c>
      <c r="M713" s="10">
        <v>1</v>
      </c>
    </row>
    <row r="714" spans="1:13">
      <c r="A714" s="8">
        <v>43265</v>
      </c>
      <c r="B714" s="9">
        <v>0.58472222222222225</v>
      </c>
      <c r="C714" s="10" t="str">
        <f>"FES1162629500"</f>
        <v>FES1162629500</v>
      </c>
      <c r="D714" s="10" t="s">
        <v>19</v>
      </c>
      <c r="E714" s="10" t="s">
        <v>29</v>
      </c>
      <c r="F714" s="10" t="str">
        <f>"2170635769 "</f>
        <v xml:space="preserve">2170635769 </v>
      </c>
      <c r="G714" s="10" t="str">
        <f t="shared" si="22"/>
        <v>ON1</v>
      </c>
      <c r="H714" s="10" t="s">
        <v>21</v>
      </c>
      <c r="I714" s="10" t="s">
        <v>30</v>
      </c>
      <c r="J714" s="10" t="str">
        <f>""</f>
        <v/>
      </c>
      <c r="K714" s="10" t="str">
        <f>"PFES1162629500_0001"</f>
        <v>PFES1162629500_0001</v>
      </c>
      <c r="L714" s="10">
        <v>1</v>
      </c>
      <c r="M714" s="10">
        <v>3</v>
      </c>
    </row>
    <row r="715" spans="1:13">
      <c r="A715" s="8">
        <v>43265</v>
      </c>
      <c r="B715" s="9">
        <v>0.57986111111111105</v>
      </c>
      <c r="C715" s="10" t="str">
        <f>"FES1162629620"</f>
        <v>FES1162629620</v>
      </c>
      <c r="D715" s="10" t="s">
        <v>19</v>
      </c>
      <c r="E715" s="10" t="s">
        <v>584</v>
      </c>
      <c r="F715" s="10" t="str">
        <f>"2170636624 "</f>
        <v xml:space="preserve">2170636624 </v>
      </c>
      <c r="G715" s="10" t="str">
        <f t="shared" si="22"/>
        <v>ON1</v>
      </c>
      <c r="H715" s="10" t="s">
        <v>21</v>
      </c>
      <c r="I715" s="10" t="s">
        <v>439</v>
      </c>
      <c r="J715" s="10" t="str">
        <f>""</f>
        <v/>
      </c>
      <c r="K715" s="10" t="str">
        <f>"PFES1162629620_0001"</f>
        <v>PFES1162629620_0001</v>
      </c>
      <c r="L715" s="10">
        <v>1</v>
      </c>
      <c r="M715" s="10">
        <v>12</v>
      </c>
    </row>
    <row r="716" spans="1:13">
      <c r="A716" s="8">
        <v>43265</v>
      </c>
      <c r="B716" s="9">
        <v>0.57916666666666672</v>
      </c>
      <c r="C716" s="10" t="str">
        <f>"FES1162629618"</f>
        <v>FES1162629618</v>
      </c>
      <c r="D716" s="10" t="s">
        <v>19</v>
      </c>
      <c r="E716" s="10" t="s">
        <v>67</v>
      </c>
      <c r="F716" s="10" t="str">
        <f>"2170636590 "</f>
        <v xml:space="preserve">2170636590 </v>
      </c>
      <c r="G716" s="10" t="str">
        <f t="shared" si="22"/>
        <v>ON1</v>
      </c>
      <c r="H716" s="10" t="s">
        <v>21</v>
      </c>
      <c r="I716" s="10" t="s">
        <v>238</v>
      </c>
      <c r="J716" s="10" t="str">
        <f>""</f>
        <v/>
      </c>
      <c r="K716" s="10" t="str">
        <f>"PFES1162629618_0001"</f>
        <v>PFES1162629618_0001</v>
      </c>
      <c r="L716" s="10">
        <v>1</v>
      </c>
      <c r="M716" s="10">
        <v>1</v>
      </c>
    </row>
    <row r="717" spans="1:13">
      <c r="A717" s="8">
        <v>43265</v>
      </c>
      <c r="B717" s="9">
        <v>0.57916666666666672</v>
      </c>
      <c r="C717" s="10" t="str">
        <f>"FES1162629503"</f>
        <v>FES1162629503</v>
      </c>
      <c r="D717" s="10" t="s">
        <v>19</v>
      </c>
      <c r="E717" s="10" t="s">
        <v>178</v>
      </c>
      <c r="F717" s="10" t="str">
        <f>"217636460 "</f>
        <v xml:space="preserve">217636460 </v>
      </c>
      <c r="G717" s="10" t="str">
        <f t="shared" si="22"/>
        <v>ON1</v>
      </c>
      <c r="H717" s="10" t="s">
        <v>21</v>
      </c>
      <c r="I717" s="10" t="s">
        <v>93</v>
      </c>
      <c r="J717" s="10" t="str">
        <f>""</f>
        <v/>
      </c>
      <c r="K717" s="10" t="str">
        <f>"PFES1162629503_0001"</f>
        <v>PFES1162629503_0001</v>
      </c>
      <c r="L717" s="10">
        <v>1</v>
      </c>
      <c r="M717" s="10">
        <v>1</v>
      </c>
    </row>
    <row r="718" spans="1:13">
      <c r="A718" s="8">
        <v>43265</v>
      </c>
      <c r="B718" s="9">
        <v>0.57916666666666672</v>
      </c>
      <c r="C718" s="10" t="str">
        <f>"FES1162629525"</f>
        <v>FES1162629525</v>
      </c>
      <c r="D718" s="10" t="s">
        <v>19</v>
      </c>
      <c r="E718" s="10" t="s">
        <v>576</v>
      </c>
      <c r="F718" s="10" t="str">
        <f>"2170636579 "</f>
        <v xml:space="preserve">2170636579 </v>
      </c>
      <c r="G718" s="10" t="str">
        <f t="shared" si="22"/>
        <v>ON1</v>
      </c>
      <c r="H718" s="10" t="s">
        <v>21</v>
      </c>
      <c r="I718" s="10" t="s">
        <v>333</v>
      </c>
      <c r="J718" s="10" t="str">
        <f>""</f>
        <v/>
      </c>
      <c r="K718" s="10" t="str">
        <f>"PFES1162629525_0001"</f>
        <v>PFES1162629525_0001</v>
      </c>
      <c r="L718" s="10">
        <v>1</v>
      </c>
      <c r="M718" s="10">
        <v>1</v>
      </c>
    </row>
    <row r="719" spans="1:13">
      <c r="A719" s="8">
        <v>43265</v>
      </c>
      <c r="B719" s="9">
        <v>0.57847222222222217</v>
      </c>
      <c r="C719" s="10" t="str">
        <f>"FES1162629567"</f>
        <v>FES1162629567</v>
      </c>
      <c r="D719" s="10" t="s">
        <v>19</v>
      </c>
      <c r="E719" s="10" t="s">
        <v>117</v>
      </c>
      <c r="F719" s="10" t="str">
        <f>"2170636604 "</f>
        <v xml:space="preserve">2170636604 </v>
      </c>
      <c r="G719" s="10" t="str">
        <f t="shared" si="22"/>
        <v>ON1</v>
      </c>
      <c r="H719" s="10" t="s">
        <v>21</v>
      </c>
      <c r="I719" s="10" t="s">
        <v>118</v>
      </c>
      <c r="J719" s="10" t="str">
        <f>""</f>
        <v/>
      </c>
      <c r="K719" s="10" t="str">
        <f>"PFES1162629567_0001"</f>
        <v>PFES1162629567_0001</v>
      </c>
      <c r="L719" s="10">
        <v>1</v>
      </c>
      <c r="M719" s="10">
        <v>1</v>
      </c>
    </row>
    <row r="720" spans="1:13">
      <c r="A720" s="8">
        <v>43265</v>
      </c>
      <c r="B720" s="9">
        <v>0.57847222222222217</v>
      </c>
      <c r="C720" s="10" t="str">
        <f>"FES1162629561"</f>
        <v>FES1162629561</v>
      </c>
      <c r="D720" s="10" t="s">
        <v>19</v>
      </c>
      <c r="E720" s="10" t="s">
        <v>585</v>
      </c>
      <c r="F720" s="10" t="str">
        <f>"2170636598 "</f>
        <v xml:space="preserve">2170636598 </v>
      </c>
      <c r="G720" s="10" t="str">
        <f t="shared" si="22"/>
        <v>ON1</v>
      </c>
      <c r="H720" s="10" t="s">
        <v>21</v>
      </c>
      <c r="I720" s="10" t="s">
        <v>433</v>
      </c>
      <c r="J720" s="10" t="str">
        <f>""</f>
        <v/>
      </c>
      <c r="K720" s="10" t="str">
        <f>"PFES1162629561_0001"</f>
        <v>PFES1162629561_0001</v>
      </c>
      <c r="L720" s="10">
        <v>1</v>
      </c>
      <c r="M720" s="10">
        <v>1</v>
      </c>
    </row>
    <row r="721" spans="1:13">
      <c r="A721" s="8">
        <v>43265</v>
      </c>
      <c r="B721" s="9">
        <v>0.57777777777777783</v>
      </c>
      <c r="C721" s="10" t="str">
        <f>"FES1162629616"</f>
        <v>FES1162629616</v>
      </c>
      <c r="D721" s="10" t="s">
        <v>19</v>
      </c>
      <c r="E721" s="10" t="s">
        <v>117</v>
      </c>
      <c r="F721" s="10" t="str">
        <f>"2170634679 "</f>
        <v xml:space="preserve">2170634679 </v>
      </c>
      <c r="G721" s="10" t="str">
        <f t="shared" si="22"/>
        <v>ON1</v>
      </c>
      <c r="H721" s="10" t="s">
        <v>21</v>
      </c>
      <c r="I721" s="10" t="s">
        <v>118</v>
      </c>
      <c r="J721" s="10" t="str">
        <f>""</f>
        <v/>
      </c>
      <c r="K721" s="10" t="str">
        <f>"PFES1162629616_0001"</f>
        <v>PFES1162629616_0001</v>
      </c>
      <c r="L721" s="10">
        <v>1</v>
      </c>
      <c r="M721" s="10">
        <v>1</v>
      </c>
    </row>
    <row r="722" spans="1:13">
      <c r="A722" s="8">
        <v>43265</v>
      </c>
      <c r="B722" s="9">
        <v>0.57777777777777783</v>
      </c>
      <c r="C722" s="10" t="str">
        <f>"FES1162629562"</f>
        <v>FES1162629562</v>
      </c>
      <c r="D722" s="10" t="s">
        <v>19</v>
      </c>
      <c r="E722" s="10" t="s">
        <v>490</v>
      </c>
      <c r="F722" s="10" t="str">
        <f>"2170636599 "</f>
        <v xml:space="preserve">2170636599 </v>
      </c>
      <c r="G722" s="10" t="str">
        <f t="shared" si="22"/>
        <v>ON1</v>
      </c>
      <c r="H722" s="10" t="s">
        <v>21</v>
      </c>
      <c r="I722" s="10" t="s">
        <v>393</v>
      </c>
      <c r="J722" s="10" t="str">
        <f>""</f>
        <v/>
      </c>
      <c r="K722" s="10" t="str">
        <f>"PFES1162629562_0001"</f>
        <v>PFES1162629562_0001</v>
      </c>
      <c r="L722" s="10">
        <v>1</v>
      </c>
      <c r="M722" s="10">
        <v>1</v>
      </c>
    </row>
    <row r="723" spans="1:13">
      <c r="A723" s="8">
        <v>43265</v>
      </c>
      <c r="B723" s="9">
        <v>0.57708333333333328</v>
      </c>
      <c r="C723" s="10" t="str">
        <f>"FES1162629588"</f>
        <v>FES1162629588</v>
      </c>
      <c r="D723" s="10" t="s">
        <v>19</v>
      </c>
      <c r="E723" s="10" t="s">
        <v>294</v>
      </c>
      <c r="F723" s="10" t="str">
        <f>"2170634307 "</f>
        <v xml:space="preserve">2170634307 </v>
      </c>
      <c r="G723" s="10" t="str">
        <f t="shared" si="22"/>
        <v>ON1</v>
      </c>
      <c r="H723" s="10" t="s">
        <v>21</v>
      </c>
      <c r="I723" s="10" t="s">
        <v>295</v>
      </c>
      <c r="J723" s="10" t="str">
        <f>""</f>
        <v/>
      </c>
      <c r="K723" s="10" t="str">
        <f>"PFES1162629588_0001"</f>
        <v>PFES1162629588_0001</v>
      </c>
      <c r="L723" s="10">
        <v>1</v>
      </c>
      <c r="M723" s="10">
        <v>1</v>
      </c>
    </row>
    <row r="724" spans="1:13">
      <c r="A724" s="8">
        <v>43265</v>
      </c>
      <c r="B724" s="9">
        <v>0.57708333333333328</v>
      </c>
      <c r="C724" s="10" t="str">
        <f>"FES1162629599"</f>
        <v>FES1162629599</v>
      </c>
      <c r="D724" s="10" t="s">
        <v>19</v>
      </c>
      <c r="E724" s="10" t="s">
        <v>586</v>
      </c>
      <c r="F724" s="10" t="str">
        <f>"21706348877 "</f>
        <v xml:space="preserve">21706348877 </v>
      </c>
      <c r="G724" s="10" t="str">
        <f t="shared" si="22"/>
        <v>ON1</v>
      </c>
      <c r="H724" s="10" t="s">
        <v>21</v>
      </c>
      <c r="I724" s="10" t="s">
        <v>237</v>
      </c>
      <c r="J724" s="10" t="str">
        <f>""</f>
        <v/>
      </c>
      <c r="K724" s="10" t="str">
        <f>"PFES1162629599_0001"</f>
        <v>PFES1162629599_0001</v>
      </c>
      <c r="L724" s="10">
        <v>1</v>
      </c>
      <c r="M724" s="10">
        <v>1</v>
      </c>
    </row>
    <row r="725" spans="1:13">
      <c r="A725" s="8">
        <v>43265</v>
      </c>
      <c r="B725" s="9">
        <v>0.57638888888888895</v>
      </c>
      <c r="C725" s="10" t="str">
        <f>"FES1162629565"</f>
        <v>FES1162629565</v>
      </c>
      <c r="D725" s="10" t="s">
        <v>19</v>
      </c>
      <c r="E725" s="10" t="s">
        <v>490</v>
      </c>
      <c r="F725" s="10" t="str">
        <f>"2170636602 "</f>
        <v xml:space="preserve">2170636602 </v>
      </c>
      <c r="G725" s="10" t="str">
        <f t="shared" si="22"/>
        <v>ON1</v>
      </c>
      <c r="H725" s="10" t="s">
        <v>21</v>
      </c>
      <c r="I725" s="10" t="s">
        <v>393</v>
      </c>
      <c r="J725" s="10" t="str">
        <f>""</f>
        <v/>
      </c>
      <c r="K725" s="10" t="str">
        <f>"PFES1162629565_0001"</f>
        <v>PFES1162629565_0001</v>
      </c>
      <c r="L725" s="10">
        <v>1</v>
      </c>
      <c r="M725" s="10">
        <v>1</v>
      </c>
    </row>
    <row r="726" spans="1:13">
      <c r="A726" s="8">
        <v>43265</v>
      </c>
      <c r="B726" s="9">
        <v>0.57638888888888895</v>
      </c>
      <c r="C726" s="10" t="str">
        <f>"FES1162629534"</f>
        <v>FES1162629534</v>
      </c>
      <c r="D726" s="10" t="s">
        <v>19</v>
      </c>
      <c r="E726" s="10" t="s">
        <v>587</v>
      </c>
      <c r="F726" s="10" t="str">
        <f>"2170636583 "</f>
        <v xml:space="preserve">2170636583 </v>
      </c>
      <c r="G726" s="10" t="str">
        <f t="shared" si="22"/>
        <v>ON1</v>
      </c>
      <c r="H726" s="10" t="s">
        <v>21</v>
      </c>
      <c r="I726" s="10" t="s">
        <v>397</v>
      </c>
      <c r="J726" s="10" t="str">
        <f>""</f>
        <v/>
      </c>
      <c r="K726" s="10" t="str">
        <f>"PFES1162629534_0001"</f>
        <v>PFES1162629534_0001</v>
      </c>
      <c r="L726" s="10">
        <v>1</v>
      </c>
      <c r="M726" s="10">
        <v>1</v>
      </c>
    </row>
    <row r="727" spans="1:13">
      <c r="A727" s="8">
        <v>43265</v>
      </c>
      <c r="B727" s="9">
        <v>0.57638888888888895</v>
      </c>
      <c r="C727" s="10" t="str">
        <f>"FES1162629535"</f>
        <v>FES1162629535</v>
      </c>
      <c r="D727" s="10" t="s">
        <v>19</v>
      </c>
      <c r="E727" s="10" t="s">
        <v>67</v>
      </c>
      <c r="F727" s="10" t="str">
        <f>"2170636584 "</f>
        <v xml:space="preserve">2170636584 </v>
      </c>
      <c r="G727" s="10" t="str">
        <f t="shared" si="22"/>
        <v>ON1</v>
      </c>
      <c r="H727" s="10" t="s">
        <v>21</v>
      </c>
      <c r="I727" s="10" t="s">
        <v>397</v>
      </c>
      <c r="J727" s="10" t="str">
        <f>""</f>
        <v/>
      </c>
      <c r="K727" s="10" t="str">
        <f>"PFES1162629535_0001"</f>
        <v>PFES1162629535_0001</v>
      </c>
      <c r="L727" s="10">
        <v>1</v>
      </c>
      <c r="M727" s="10">
        <v>1</v>
      </c>
    </row>
    <row r="728" spans="1:13">
      <c r="A728" s="8">
        <v>43265</v>
      </c>
      <c r="B728" s="9">
        <v>0.5756944444444444</v>
      </c>
      <c r="C728" s="10" t="str">
        <f>"FES1162629522"</f>
        <v>FES1162629522</v>
      </c>
      <c r="D728" s="10" t="s">
        <v>19</v>
      </c>
      <c r="E728" s="10" t="s">
        <v>588</v>
      </c>
      <c r="F728" s="10" t="str">
        <f>"2170636574 "</f>
        <v xml:space="preserve">2170636574 </v>
      </c>
      <c r="G728" s="10" t="str">
        <f t="shared" si="22"/>
        <v>ON1</v>
      </c>
      <c r="H728" s="10" t="s">
        <v>21</v>
      </c>
      <c r="I728" s="10" t="s">
        <v>589</v>
      </c>
      <c r="J728" s="10" t="str">
        <f>""</f>
        <v/>
      </c>
      <c r="K728" s="10" t="str">
        <f>"PFES1162629522_0001"</f>
        <v>PFES1162629522_0001</v>
      </c>
      <c r="L728" s="10">
        <v>1</v>
      </c>
      <c r="M728" s="10">
        <v>1</v>
      </c>
    </row>
    <row r="729" spans="1:13">
      <c r="A729" s="8">
        <v>43265</v>
      </c>
      <c r="B729" s="9">
        <v>0.5756944444444444</v>
      </c>
      <c r="C729" s="10" t="str">
        <f>"FES1162629576"</f>
        <v>FES1162629576</v>
      </c>
      <c r="D729" s="10" t="s">
        <v>19</v>
      </c>
      <c r="E729" s="10" t="s">
        <v>410</v>
      </c>
      <c r="F729" s="10" t="str">
        <f>"2170632536 "</f>
        <v xml:space="preserve">2170632536 </v>
      </c>
      <c r="G729" s="10" t="str">
        <f t="shared" si="22"/>
        <v>ON1</v>
      </c>
      <c r="H729" s="10" t="s">
        <v>21</v>
      </c>
      <c r="I729" s="10" t="s">
        <v>42</v>
      </c>
      <c r="J729" s="10" t="str">
        <f>""</f>
        <v/>
      </c>
      <c r="K729" s="10" t="str">
        <f>"PFES1162629576_0001"</f>
        <v>PFES1162629576_0001</v>
      </c>
      <c r="L729" s="10">
        <v>1</v>
      </c>
      <c r="M729" s="10">
        <v>1</v>
      </c>
    </row>
    <row r="730" spans="1:13">
      <c r="A730" s="8">
        <v>43265</v>
      </c>
      <c r="B730" s="9">
        <v>0.57500000000000007</v>
      </c>
      <c r="C730" s="10" t="str">
        <f>"FES1162629552"</f>
        <v>FES1162629552</v>
      </c>
      <c r="D730" s="10" t="s">
        <v>19</v>
      </c>
      <c r="E730" s="10" t="s">
        <v>193</v>
      </c>
      <c r="F730" s="10" t="str">
        <f>"2170634672 "</f>
        <v xml:space="preserve">2170634672 </v>
      </c>
      <c r="G730" s="10" t="str">
        <f t="shared" si="22"/>
        <v>ON1</v>
      </c>
      <c r="H730" s="10" t="s">
        <v>21</v>
      </c>
      <c r="I730" s="10" t="s">
        <v>30</v>
      </c>
      <c r="J730" s="10" t="str">
        <f>""</f>
        <v/>
      </c>
      <c r="K730" s="10" t="str">
        <f>"PFES1162629552_0001"</f>
        <v>PFES1162629552_0001</v>
      </c>
      <c r="L730" s="10">
        <v>1</v>
      </c>
      <c r="M730" s="10">
        <v>1</v>
      </c>
    </row>
    <row r="731" spans="1:13">
      <c r="A731" s="8">
        <v>43265</v>
      </c>
      <c r="B731" s="9">
        <v>0.57500000000000007</v>
      </c>
      <c r="C731" s="10" t="str">
        <f>"FES1162629642"</f>
        <v>FES1162629642</v>
      </c>
      <c r="D731" s="10" t="s">
        <v>19</v>
      </c>
      <c r="E731" s="10" t="s">
        <v>590</v>
      </c>
      <c r="F731" s="10" t="str">
        <f>"2170636655 "</f>
        <v xml:space="preserve">2170636655 </v>
      </c>
      <c r="G731" s="10" t="str">
        <f t="shared" si="22"/>
        <v>ON1</v>
      </c>
      <c r="H731" s="10" t="s">
        <v>21</v>
      </c>
      <c r="I731" s="10" t="s">
        <v>66</v>
      </c>
      <c r="J731" s="10" t="str">
        <f>""</f>
        <v/>
      </c>
      <c r="K731" s="10" t="str">
        <f>"PFES1162629642_0001"</f>
        <v>PFES1162629642_0001</v>
      </c>
      <c r="L731" s="10">
        <v>1</v>
      </c>
      <c r="M731" s="10">
        <v>1</v>
      </c>
    </row>
    <row r="732" spans="1:13">
      <c r="A732" s="8">
        <v>43265</v>
      </c>
      <c r="B732" s="9">
        <v>0.57430555555555551</v>
      </c>
      <c r="C732" s="10" t="str">
        <f>"FES1162629533"</f>
        <v>FES1162629533</v>
      </c>
      <c r="D732" s="10" t="s">
        <v>19</v>
      </c>
      <c r="E732" s="10" t="s">
        <v>587</v>
      </c>
      <c r="F732" s="10" t="str">
        <f>"2170636582 "</f>
        <v xml:space="preserve">2170636582 </v>
      </c>
      <c r="G732" s="10" t="str">
        <f t="shared" si="22"/>
        <v>ON1</v>
      </c>
      <c r="H732" s="10" t="s">
        <v>21</v>
      </c>
      <c r="I732" s="10" t="s">
        <v>397</v>
      </c>
      <c r="J732" s="10" t="str">
        <f>""</f>
        <v/>
      </c>
      <c r="K732" s="10" t="str">
        <f>"PFES1162629533_0001"</f>
        <v>PFES1162629533_0001</v>
      </c>
      <c r="L732" s="10">
        <v>1</v>
      </c>
      <c r="M732" s="10">
        <v>1</v>
      </c>
    </row>
    <row r="733" spans="1:13">
      <c r="A733" s="8">
        <v>43265</v>
      </c>
      <c r="B733" s="9">
        <v>0.57291666666666663</v>
      </c>
      <c r="C733" s="10" t="str">
        <f>"FES1162629570"</f>
        <v>FES1162629570</v>
      </c>
      <c r="D733" s="10" t="s">
        <v>19</v>
      </c>
      <c r="E733" s="10" t="s">
        <v>60</v>
      </c>
      <c r="F733" s="10" t="str">
        <f>"2170636610 "</f>
        <v xml:space="preserve">2170636610 </v>
      </c>
      <c r="G733" s="10" t="str">
        <f t="shared" si="22"/>
        <v>ON1</v>
      </c>
      <c r="H733" s="10" t="s">
        <v>21</v>
      </c>
      <c r="I733" s="10" t="s">
        <v>61</v>
      </c>
      <c r="J733" s="10" t="str">
        <f>""</f>
        <v/>
      </c>
      <c r="K733" s="10" t="str">
        <f>"PFES1162629570_0001"</f>
        <v>PFES1162629570_0001</v>
      </c>
      <c r="L733" s="10">
        <v>1</v>
      </c>
      <c r="M733" s="10">
        <v>4</v>
      </c>
    </row>
    <row r="734" spans="1:13">
      <c r="A734" s="8">
        <v>43265</v>
      </c>
      <c r="B734" s="9">
        <v>0.57152777777777775</v>
      </c>
      <c r="C734" s="10" t="str">
        <f>"009935791817"</f>
        <v>009935791817</v>
      </c>
      <c r="D734" s="10" t="s">
        <v>19</v>
      </c>
      <c r="E734" s="10" t="s">
        <v>591</v>
      </c>
      <c r="F734" s="10" t="str">
        <f>"2170635171 "</f>
        <v xml:space="preserve">2170635171 </v>
      </c>
      <c r="G734" s="10" t="str">
        <f t="shared" si="22"/>
        <v>ON1</v>
      </c>
      <c r="H734" s="10" t="s">
        <v>21</v>
      </c>
      <c r="I734" s="10" t="s">
        <v>305</v>
      </c>
      <c r="J734" s="10" t="str">
        <f>"RE SEND TO CLIENT"</f>
        <v>RE SEND TO CLIENT</v>
      </c>
      <c r="K734" s="10" t="str">
        <f>"P009935791817_0001"</f>
        <v>P009935791817_0001</v>
      </c>
      <c r="L734" s="10">
        <v>1</v>
      </c>
      <c r="M734" s="10">
        <v>3</v>
      </c>
    </row>
    <row r="735" spans="1:13">
      <c r="A735" s="8">
        <v>43265</v>
      </c>
      <c r="B735" s="9">
        <v>0.56180555555555556</v>
      </c>
      <c r="C735" s="10" t="str">
        <f>"FES1162629499"</f>
        <v>FES1162629499</v>
      </c>
      <c r="D735" s="10" t="s">
        <v>19</v>
      </c>
      <c r="E735" s="10" t="s">
        <v>50</v>
      </c>
      <c r="F735" s="10" t="str">
        <f>"2170635705 "</f>
        <v xml:space="preserve">2170635705 </v>
      </c>
      <c r="G735" s="10" t="str">
        <f>"ON2"</f>
        <v>ON2</v>
      </c>
      <c r="H735" s="10" t="s">
        <v>21</v>
      </c>
      <c r="I735" s="10" t="s">
        <v>51</v>
      </c>
      <c r="J735" s="10" t="str">
        <f>"FRAGILE OIL"</f>
        <v>FRAGILE OIL</v>
      </c>
      <c r="K735" s="10" t="str">
        <f>"PFES1162629499_0001"</f>
        <v>PFES1162629499_0001</v>
      </c>
      <c r="L735" s="10">
        <v>1</v>
      </c>
      <c r="M735" s="10">
        <v>2</v>
      </c>
    </row>
    <row r="736" spans="1:13">
      <c r="A736" s="8">
        <v>43265</v>
      </c>
      <c r="B736" s="9">
        <v>0.55138888888888882</v>
      </c>
      <c r="C736" s="10" t="str">
        <f>"FES1162629673"</f>
        <v>FES1162629673</v>
      </c>
      <c r="D736" s="10" t="s">
        <v>19</v>
      </c>
      <c r="E736" s="10" t="s">
        <v>103</v>
      </c>
      <c r="F736" s="10" t="str">
        <f>"2170635943 "</f>
        <v xml:space="preserve">2170635943 </v>
      </c>
      <c r="G736" s="10" t="str">
        <f>"DBC"</f>
        <v>DBC</v>
      </c>
      <c r="H736" s="10" t="s">
        <v>21</v>
      </c>
      <c r="I736" s="10" t="s">
        <v>104</v>
      </c>
      <c r="J736" s="10" t="str">
        <f>""</f>
        <v/>
      </c>
      <c r="K736" s="10" t="str">
        <f>"PFES1162629673_0001"</f>
        <v>PFES1162629673_0001</v>
      </c>
      <c r="L736" s="10">
        <v>2</v>
      </c>
      <c r="M736" s="10">
        <v>23</v>
      </c>
    </row>
    <row r="737" spans="1:13">
      <c r="A737" s="8">
        <v>43265</v>
      </c>
      <c r="B737" s="9">
        <v>0.54999999999999993</v>
      </c>
      <c r="C737" s="10" t="str">
        <f>"FES1162629596"</f>
        <v>FES1162629596</v>
      </c>
      <c r="D737" s="10" t="s">
        <v>19</v>
      </c>
      <c r="E737" s="10" t="s">
        <v>592</v>
      </c>
      <c r="F737" s="10" t="str">
        <f>"2170634775 "</f>
        <v xml:space="preserve">2170634775 </v>
      </c>
      <c r="G737" s="10" t="str">
        <f>"ON1"</f>
        <v>ON1</v>
      </c>
      <c r="H737" s="10" t="s">
        <v>21</v>
      </c>
      <c r="I737" s="10" t="s">
        <v>267</v>
      </c>
      <c r="J737" s="10" t="str">
        <f>""</f>
        <v/>
      </c>
      <c r="K737" s="10" t="str">
        <f>"PFES1162629596_0001"</f>
        <v>PFES1162629596_0001</v>
      </c>
      <c r="L737" s="10">
        <v>1</v>
      </c>
      <c r="M737" s="10">
        <v>2</v>
      </c>
    </row>
    <row r="738" spans="1:13">
      <c r="A738" s="8">
        <v>43265</v>
      </c>
      <c r="B738" s="9">
        <v>0.5493055555555556</v>
      </c>
      <c r="C738" s="10" t="str">
        <f>"FES1162629594"</f>
        <v>FES1162629594</v>
      </c>
      <c r="D738" s="10" t="s">
        <v>19</v>
      </c>
      <c r="E738" s="10" t="s">
        <v>178</v>
      </c>
      <c r="F738" s="10" t="str">
        <f>"2170634572 "</f>
        <v xml:space="preserve">2170634572 </v>
      </c>
      <c r="G738" s="10" t="str">
        <f>"ON1"</f>
        <v>ON1</v>
      </c>
      <c r="H738" s="10" t="s">
        <v>21</v>
      </c>
      <c r="I738" s="10" t="s">
        <v>93</v>
      </c>
      <c r="J738" s="10" t="str">
        <f>""</f>
        <v/>
      </c>
      <c r="K738" s="10" t="str">
        <f>"PFES1162629594_0001"</f>
        <v>PFES1162629594_0001</v>
      </c>
      <c r="L738" s="10">
        <v>1</v>
      </c>
      <c r="M738" s="10">
        <v>5</v>
      </c>
    </row>
    <row r="739" spans="1:13">
      <c r="A739" s="8">
        <v>43265</v>
      </c>
      <c r="B739" s="9">
        <v>0.54791666666666672</v>
      </c>
      <c r="C739" s="10" t="str">
        <f>"FES1162629677"</f>
        <v>FES1162629677</v>
      </c>
      <c r="D739" s="10" t="s">
        <v>19</v>
      </c>
      <c r="E739" s="10" t="s">
        <v>535</v>
      </c>
      <c r="F739" s="10" t="str">
        <f>"2170636198 "</f>
        <v xml:space="preserve">2170636198 </v>
      </c>
      <c r="G739" s="10" t="str">
        <f>"ON1"</f>
        <v>ON1</v>
      </c>
      <c r="H739" s="10" t="s">
        <v>21</v>
      </c>
      <c r="I739" s="10" t="s">
        <v>146</v>
      </c>
      <c r="J739" s="10" t="str">
        <f>""</f>
        <v/>
      </c>
      <c r="K739" s="10" t="str">
        <f>"PFES1162629677_0001"</f>
        <v>PFES1162629677_0001</v>
      </c>
      <c r="L739" s="10">
        <v>1</v>
      </c>
      <c r="M739" s="10">
        <v>6</v>
      </c>
    </row>
    <row r="740" spans="1:13">
      <c r="A740" s="8">
        <v>43265</v>
      </c>
      <c r="B740" s="9">
        <v>0.54722222222222217</v>
      </c>
      <c r="C740" s="10" t="str">
        <f>"FES1162629579"</f>
        <v>FES1162629579</v>
      </c>
      <c r="D740" s="10" t="s">
        <v>19</v>
      </c>
      <c r="E740" s="10" t="s">
        <v>188</v>
      </c>
      <c r="F740" s="10" t="str">
        <f>"2170633487 "</f>
        <v xml:space="preserve">2170633487 </v>
      </c>
      <c r="G740" s="10" t="str">
        <f>"ON1"</f>
        <v>ON1</v>
      </c>
      <c r="H740" s="10" t="s">
        <v>21</v>
      </c>
      <c r="I740" s="10" t="s">
        <v>189</v>
      </c>
      <c r="J740" s="10" t="str">
        <f>""</f>
        <v/>
      </c>
      <c r="K740" s="10" t="str">
        <f>"PFES1162629579_0001"</f>
        <v>PFES1162629579_0001</v>
      </c>
      <c r="L740" s="10">
        <v>1</v>
      </c>
      <c r="M740" s="10">
        <v>6</v>
      </c>
    </row>
    <row r="741" spans="1:13">
      <c r="A741" s="8">
        <v>43265</v>
      </c>
      <c r="B741" s="9">
        <v>0.54583333333333328</v>
      </c>
      <c r="C741" s="10" t="str">
        <f>"FES1162629571"</f>
        <v>FES1162629571</v>
      </c>
      <c r="D741" s="10" t="s">
        <v>19</v>
      </c>
      <c r="E741" s="10" t="s">
        <v>462</v>
      </c>
      <c r="F741" s="10" t="str">
        <f>"2170636612 "</f>
        <v xml:space="preserve">2170636612 </v>
      </c>
      <c r="G741" s="10" t="str">
        <f>"ON1"</f>
        <v>ON1</v>
      </c>
      <c r="H741" s="10" t="s">
        <v>21</v>
      </c>
      <c r="I741" s="10" t="s">
        <v>36</v>
      </c>
      <c r="J741" s="10" t="str">
        <f>""</f>
        <v/>
      </c>
      <c r="K741" s="10" t="str">
        <f>"PFES1162629571_0001"</f>
        <v>PFES1162629571_0001</v>
      </c>
      <c r="L741" s="10">
        <v>1</v>
      </c>
      <c r="M741" s="10">
        <v>8</v>
      </c>
    </row>
    <row r="742" spans="1:13">
      <c r="A742" s="8">
        <v>43265</v>
      </c>
      <c r="B742" s="9">
        <v>0.5444444444444444</v>
      </c>
      <c r="C742" s="10" t="str">
        <f>"FES1162629563"</f>
        <v>FES1162629563</v>
      </c>
      <c r="D742" s="10" t="s">
        <v>19</v>
      </c>
      <c r="E742" s="10" t="s">
        <v>74</v>
      </c>
      <c r="F742" s="10" t="str">
        <f>"2170636600 "</f>
        <v xml:space="preserve">2170636600 </v>
      </c>
      <c r="G742" s="10" t="str">
        <f>"DBC"</f>
        <v>DBC</v>
      </c>
      <c r="H742" s="10" t="s">
        <v>21</v>
      </c>
      <c r="I742" s="10" t="s">
        <v>75</v>
      </c>
      <c r="J742" s="10" t="str">
        <f>""</f>
        <v/>
      </c>
      <c r="K742" s="10" t="str">
        <f>"PFES1162629563_0001"</f>
        <v>PFES1162629563_0001</v>
      </c>
      <c r="L742" s="10">
        <v>3</v>
      </c>
      <c r="M742" s="10">
        <v>48</v>
      </c>
    </row>
    <row r="743" spans="1:13">
      <c r="A743" s="8">
        <v>43265</v>
      </c>
      <c r="B743" s="9">
        <v>0.54375000000000007</v>
      </c>
      <c r="C743" s="10" t="str">
        <f>"FES1162629573"</f>
        <v>FES1162629573</v>
      </c>
      <c r="D743" s="10" t="s">
        <v>19</v>
      </c>
      <c r="E743" s="10" t="s">
        <v>525</v>
      </c>
      <c r="F743" s="10" t="str">
        <f>"2170636614 "</f>
        <v xml:space="preserve">2170636614 </v>
      </c>
      <c r="G743" s="10" t="str">
        <f t="shared" ref="G743:G749" si="23">"ON1"</f>
        <v>ON1</v>
      </c>
      <c r="H743" s="10" t="s">
        <v>21</v>
      </c>
      <c r="I743" s="10" t="s">
        <v>237</v>
      </c>
      <c r="J743" s="10" t="str">
        <f>""</f>
        <v/>
      </c>
      <c r="K743" s="10" t="str">
        <f>"PFES1162629573_0001"</f>
        <v>PFES1162629573_0001</v>
      </c>
      <c r="L743" s="10">
        <v>1</v>
      </c>
      <c r="M743" s="10">
        <v>1</v>
      </c>
    </row>
    <row r="744" spans="1:13">
      <c r="A744" s="8">
        <v>43265</v>
      </c>
      <c r="B744" s="9">
        <v>0.54375000000000007</v>
      </c>
      <c r="C744" s="10" t="str">
        <f>"FES1162629527"</f>
        <v>FES1162629527</v>
      </c>
      <c r="D744" s="10" t="s">
        <v>19</v>
      </c>
      <c r="E744" s="10" t="s">
        <v>593</v>
      </c>
      <c r="F744" s="10" t="str">
        <f>"2170634780 "</f>
        <v xml:space="preserve">2170634780 </v>
      </c>
      <c r="G744" s="10" t="str">
        <f t="shared" si="23"/>
        <v>ON1</v>
      </c>
      <c r="H744" s="10" t="s">
        <v>21</v>
      </c>
      <c r="I744" s="10" t="s">
        <v>594</v>
      </c>
      <c r="J744" s="10" t="str">
        <f>""</f>
        <v/>
      </c>
      <c r="K744" s="10" t="str">
        <f>"PFES1162629527_0001"</f>
        <v>PFES1162629527_0001</v>
      </c>
      <c r="L744" s="10">
        <v>1</v>
      </c>
      <c r="M744" s="10">
        <v>6</v>
      </c>
    </row>
    <row r="745" spans="1:13">
      <c r="A745" s="8">
        <v>43265</v>
      </c>
      <c r="B745" s="9">
        <v>0.54375000000000007</v>
      </c>
      <c r="C745" s="10" t="str">
        <f>"FES1162629554"</f>
        <v>FES1162629554</v>
      </c>
      <c r="D745" s="10" t="s">
        <v>19</v>
      </c>
      <c r="E745" s="10" t="s">
        <v>399</v>
      </c>
      <c r="F745" s="10" t="str">
        <f>"2170634730 "</f>
        <v xml:space="preserve">2170634730 </v>
      </c>
      <c r="G745" s="10" t="str">
        <f t="shared" si="23"/>
        <v>ON1</v>
      </c>
      <c r="H745" s="10" t="s">
        <v>21</v>
      </c>
      <c r="I745" s="10" t="s">
        <v>400</v>
      </c>
      <c r="J745" s="10" t="str">
        <f>""</f>
        <v/>
      </c>
      <c r="K745" s="10" t="str">
        <f>"PFES1162629554_0001"</f>
        <v>PFES1162629554_0001</v>
      </c>
      <c r="L745" s="10">
        <v>1</v>
      </c>
      <c r="M745" s="10">
        <v>1</v>
      </c>
    </row>
    <row r="746" spans="1:13">
      <c r="A746" s="8">
        <v>43265</v>
      </c>
      <c r="B746" s="9">
        <v>0.54375000000000007</v>
      </c>
      <c r="C746" s="10" t="str">
        <f>"FES1162629553"</f>
        <v>FES1162629553</v>
      </c>
      <c r="D746" s="10" t="s">
        <v>19</v>
      </c>
      <c r="E746" s="10" t="s">
        <v>120</v>
      </c>
      <c r="F746" s="10" t="str">
        <f>"2170634680 "</f>
        <v xml:space="preserve">2170634680 </v>
      </c>
      <c r="G746" s="10" t="str">
        <f t="shared" si="23"/>
        <v>ON1</v>
      </c>
      <c r="H746" s="10" t="s">
        <v>21</v>
      </c>
      <c r="I746" s="10" t="s">
        <v>38</v>
      </c>
      <c r="J746" s="10" t="str">
        <f>""</f>
        <v/>
      </c>
      <c r="K746" s="10" t="str">
        <f>"PFES1162629553_0001"</f>
        <v>PFES1162629553_0001</v>
      </c>
      <c r="L746" s="10">
        <v>1</v>
      </c>
      <c r="M746" s="10">
        <v>1</v>
      </c>
    </row>
    <row r="747" spans="1:13">
      <c r="A747" s="8">
        <v>43265</v>
      </c>
      <c r="B747" s="9">
        <v>0.54305555555555551</v>
      </c>
      <c r="C747" s="10" t="str">
        <f>"FES1162629496"</f>
        <v>FES1162629496</v>
      </c>
      <c r="D747" s="10" t="s">
        <v>19</v>
      </c>
      <c r="E747" s="10" t="s">
        <v>595</v>
      </c>
      <c r="F747" s="10" t="str">
        <f>"2170635368 "</f>
        <v xml:space="preserve">2170635368 </v>
      </c>
      <c r="G747" s="10" t="str">
        <f t="shared" si="23"/>
        <v>ON1</v>
      </c>
      <c r="H747" s="10" t="s">
        <v>21</v>
      </c>
      <c r="I747" s="10" t="s">
        <v>77</v>
      </c>
      <c r="J747" s="10" t="str">
        <f>""</f>
        <v/>
      </c>
      <c r="K747" s="10" t="str">
        <f>"PFES1162629496_0001"</f>
        <v>PFES1162629496_0001</v>
      </c>
      <c r="L747" s="10">
        <v>1</v>
      </c>
      <c r="M747" s="10">
        <v>1</v>
      </c>
    </row>
    <row r="748" spans="1:13">
      <c r="A748" s="8">
        <v>43265</v>
      </c>
      <c r="B748" s="9">
        <v>0.54305555555555551</v>
      </c>
      <c r="C748" s="10" t="str">
        <f>"FES1162629598"</f>
        <v>FES1162629598</v>
      </c>
      <c r="D748" s="10" t="s">
        <v>19</v>
      </c>
      <c r="E748" s="10" t="s">
        <v>37</v>
      </c>
      <c r="F748" s="10" t="str">
        <f>"2170634839 "</f>
        <v xml:space="preserve">2170634839 </v>
      </c>
      <c r="G748" s="10" t="str">
        <f t="shared" si="23"/>
        <v>ON1</v>
      </c>
      <c r="H748" s="10" t="s">
        <v>21</v>
      </c>
      <c r="I748" s="10" t="s">
        <v>38</v>
      </c>
      <c r="J748" s="10" t="str">
        <f>""</f>
        <v/>
      </c>
      <c r="K748" s="10" t="str">
        <f>"PFES1162629598_0001"</f>
        <v>PFES1162629598_0001</v>
      </c>
      <c r="L748" s="10">
        <v>1</v>
      </c>
      <c r="M748" s="10">
        <v>1</v>
      </c>
    </row>
    <row r="749" spans="1:13">
      <c r="A749" s="8">
        <v>43265</v>
      </c>
      <c r="B749" s="9">
        <v>0.54236111111111118</v>
      </c>
      <c r="C749" s="10" t="str">
        <f>"FES1162629650"</f>
        <v>FES1162629650</v>
      </c>
      <c r="D749" s="10" t="s">
        <v>19</v>
      </c>
      <c r="E749" s="10" t="s">
        <v>371</v>
      </c>
      <c r="F749" s="10" t="str">
        <f>"2170636666 "</f>
        <v xml:space="preserve">2170636666 </v>
      </c>
      <c r="G749" s="10" t="str">
        <f t="shared" si="23"/>
        <v>ON1</v>
      </c>
      <c r="H749" s="10" t="s">
        <v>21</v>
      </c>
      <c r="I749" s="10" t="s">
        <v>106</v>
      </c>
      <c r="J749" s="10" t="str">
        <f>""</f>
        <v/>
      </c>
      <c r="K749" s="10" t="str">
        <f>"PFES1162629650_0001"</f>
        <v>PFES1162629650_0001</v>
      </c>
      <c r="L749" s="10">
        <v>1</v>
      </c>
      <c r="M749" s="10">
        <v>1</v>
      </c>
    </row>
    <row r="750" spans="1:13">
      <c r="A750" s="8">
        <v>43265</v>
      </c>
      <c r="B750" s="9">
        <v>0.54236111111111118</v>
      </c>
      <c r="C750" s="10" t="str">
        <f>"FES1162629528"</f>
        <v>FES1162629528</v>
      </c>
      <c r="D750" s="10" t="s">
        <v>19</v>
      </c>
      <c r="E750" s="10" t="s">
        <v>593</v>
      </c>
      <c r="F750" s="10" t="str">
        <f>"2170634989 "</f>
        <v xml:space="preserve">2170634989 </v>
      </c>
      <c r="G750" s="10" t="str">
        <f>"DBC"</f>
        <v>DBC</v>
      </c>
      <c r="H750" s="10" t="s">
        <v>21</v>
      </c>
      <c r="I750" s="10" t="s">
        <v>594</v>
      </c>
      <c r="J750" s="10" t="str">
        <f>""</f>
        <v/>
      </c>
      <c r="K750" s="10" t="str">
        <f>"PFES1162629528_0001"</f>
        <v>PFES1162629528_0001</v>
      </c>
      <c r="L750" s="10">
        <v>2</v>
      </c>
      <c r="M750" s="10">
        <v>24</v>
      </c>
    </row>
    <row r="751" spans="1:13">
      <c r="A751" s="8">
        <v>43265</v>
      </c>
      <c r="B751" s="9">
        <v>0.54236111111111118</v>
      </c>
      <c r="C751" s="10" t="str">
        <f>"FES1162629611"</f>
        <v>FES1162629611</v>
      </c>
      <c r="D751" s="10" t="s">
        <v>19</v>
      </c>
      <c r="E751" s="10" t="s">
        <v>64</v>
      </c>
      <c r="F751" s="10" t="str">
        <f>"21706319546 "</f>
        <v xml:space="preserve">21706319546 </v>
      </c>
      <c r="G751" s="10" t="str">
        <f t="shared" ref="G751:G767" si="24">"ON1"</f>
        <v>ON1</v>
      </c>
      <c r="H751" s="10" t="s">
        <v>21</v>
      </c>
      <c r="I751" s="10" t="s">
        <v>40</v>
      </c>
      <c r="J751" s="10" t="str">
        <f>""</f>
        <v/>
      </c>
      <c r="K751" s="10" t="str">
        <f>"PFES1162629611_0001"</f>
        <v>PFES1162629611_0001</v>
      </c>
      <c r="L751" s="10">
        <v>1</v>
      </c>
      <c r="M751" s="10">
        <v>1</v>
      </c>
    </row>
    <row r="752" spans="1:13">
      <c r="A752" s="8">
        <v>43265</v>
      </c>
      <c r="B752" s="9">
        <v>0.54236111111111118</v>
      </c>
      <c r="C752" s="10" t="str">
        <f>"FES1162629511"</f>
        <v>FES1162629511</v>
      </c>
      <c r="D752" s="10" t="s">
        <v>19</v>
      </c>
      <c r="E752" s="10" t="s">
        <v>169</v>
      </c>
      <c r="F752" s="10" t="str">
        <f>"2170635636 3"</f>
        <v>2170635636 3</v>
      </c>
      <c r="G752" s="10" t="str">
        <f t="shared" si="24"/>
        <v>ON1</v>
      </c>
      <c r="H752" s="10" t="s">
        <v>21</v>
      </c>
      <c r="I752" s="10" t="s">
        <v>170</v>
      </c>
      <c r="J752" s="10" t="str">
        <f>""</f>
        <v/>
      </c>
      <c r="K752" s="10" t="str">
        <f>"PFES1162629511_0001"</f>
        <v>PFES1162629511_0001</v>
      </c>
      <c r="L752" s="10">
        <v>1</v>
      </c>
      <c r="M752" s="10">
        <v>1</v>
      </c>
    </row>
    <row r="753" spans="1:13">
      <c r="A753" s="8">
        <v>43265</v>
      </c>
      <c r="B753" s="9">
        <v>0.54166666666666663</v>
      </c>
      <c r="C753" s="10" t="str">
        <f>"FES1162629612"</f>
        <v>FES1162629612</v>
      </c>
      <c r="D753" s="10" t="s">
        <v>19</v>
      </c>
      <c r="E753" s="10" t="s">
        <v>64</v>
      </c>
      <c r="F753" s="10" t="str">
        <f>"21706320033 "</f>
        <v xml:space="preserve">21706320033 </v>
      </c>
      <c r="G753" s="10" t="str">
        <f t="shared" si="24"/>
        <v>ON1</v>
      </c>
      <c r="H753" s="10" t="s">
        <v>21</v>
      </c>
      <c r="I753" s="10" t="s">
        <v>40</v>
      </c>
      <c r="J753" s="10" t="str">
        <f>""</f>
        <v/>
      </c>
      <c r="K753" s="10" t="str">
        <f>"PFES1162629612_0001"</f>
        <v>PFES1162629612_0001</v>
      </c>
      <c r="L753" s="10">
        <v>1</v>
      </c>
      <c r="M753" s="10">
        <v>1</v>
      </c>
    </row>
    <row r="754" spans="1:13">
      <c r="A754" s="8">
        <v>43265</v>
      </c>
      <c r="B754" s="9">
        <v>0.54166666666666663</v>
      </c>
      <c r="C754" s="10" t="str">
        <f>"FES1162629615"</f>
        <v>FES1162629615</v>
      </c>
      <c r="D754" s="10" t="s">
        <v>19</v>
      </c>
      <c r="E754" s="10" t="s">
        <v>410</v>
      </c>
      <c r="F754" s="10" t="str">
        <f>"2170634152 "</f>
        <v xml:space="preserve">2170634152 </v>
      </c>
      <c r="G754" s="10" t="str">
        <f t="shared" si="24"/>
        <v>ON1</v>
      </c>
      <c r="H754" s="10" t="s">
        <v>21</v>
      </c>
      <c r="I754" s="10" t="s">
        <v>42</v>
      </c>
      <c r="J754" s="10" t="str">
        <f>""</f>
        <v/>
      </c>
      <c r="K754" s="10" t="str">
        <f>"PFES1162629615_0001"</f>
        <v>PFES1162629615_0001</v>
      </c>
      <c r="L754" s="10">
        <v>1</v>
      </c>
      <c r="M754" s="10">
        <v>1</v>
      </c>
    </row>
    <row r="755" spans="1:13">
      <c r="A755" s="8">
        <v>43265</v>
      </c>
      <c r="B755" s="9">
        <v>0.54097222222222219</v>
      </c>
      <c r="C755" s="10" t="str">
        <f>"FES1162629614"</f>
        <v>FES1162629614</v>
      </c>
      <c r="D755" s="10" t="s">
        <v>19</v>
      </c>
      <c r="E755" s="10" t="s">
        <v>64</v>
      </c>
      <c r="F755" s="10" t="str">
        <f>"2170632876 "</f>
        <v xml:space="preserve">2170632876 </v>
      </c>
      <c r="G755" s="10" t="str">
        <f t="shared" si="24"/>
        <v>ON1</v>
      </c>
      <c r="H755" s="10" t="s">
        <v>21</v>
      </c>
      <c r="I755" s="10" t="s">
        <v>40</v>
      </c>
      <c r="J755" s="10" t="str">
        <f>""</f>
        <v/>
      </c>
      <c r="K755" s="10" t="str">
        <f>"PFES1162629614_0001"</f>
        <v>PFES1162629614_0001</v>
      </c>
      <c r="L755" s="10">
        <v>1</v>
      </c>
      <c r="M755" s="10">
        <v>1</v>
      </c>
    </row>
    <row r="756" spans="1:13">
      <c r="A756" s="8">
        <v>43265</v>
      </c>
      <c r="B756" s="9">
        <v>0.54097222222222219</v>
      </c>
      <c r="C756" s="10" t="str">
        <f>"FES1162629572"</f>
        <v>FES1162629572</v>
      </c>
      <c r="D756" s="10" t="s">
        <v>19</v>
      </c>
      <c r="E756" s="10" t="s">
        <v>402</v>
      </c>
      <c r="F756" s="10" t="str">
        <f>"2170636613 "</f>
        <v xml:space="preserve">2170636613 </v>
      </c>
      <c r="G756" s="10" t="str">
        <f t="shared" si="24"/>
        <v>ON1</v>
      </c>
      <c r="H756" s="10" t="s">
        <v>21</v>
      </c>
      <c r="I756" s="10" t="s">
        <v>389</v>
      </c>
      <c r="J756" s="10" t="str">
        <f>""</f>
        <v/>
      </c>
      <c r="K756" s="10" t="str">
        <f>"PFES1162629572_0001"</f>
        <v>PFES1162629572_0001</v>
      </c>
      <c r="L756" s="10">
        <v>1</v>
      </c>
      <c r="M756" s="10">
        <v>1</v>
      </c>
    </row>
    <row r="757" spans="1:13">
      <c r="A757" s="8">
        <v>43265</v>
      </c>
      <c r="B757" s="9">
        <v>0.54097222222222219</v>
      </c>
      <c r="C757" s="10" t="str">
        <f>"FES1162629678"</f>
        <v>FES1162629678</v>
      </c>
      <c r="D757" s="10" t="s">
        <v>19</v>
      </c>
      <c r="E757" s="10" t="s">
        <v>60</v>
      </c>
      <c r="F757" s="10" t="str">
        <f>"2170636321 "</f>
        <v xml:space="preserve">2170636321 </v>
      </c>
      <c r="G757" s="10" t="str">
        <f t="shared" si="24"/>
        <v>ON1</v>
      </c>
      <c r="H757" s="10" t="s">
        <v>21</v>
      </c>
      <c r="I757" s="10" t="s">
        <v>61</v>
      </c>
      <c r="J757" s="10" t="str">
        <f>""</f>
        <v/>
      </c>
      <c r="K757" s="10" t="str">
        <f>"PFES1162629678_0001"</f>
        <v>PFES1162629678_0001</v>
      </c>
      <c r="L757" s="10">
        <v>1</v>
      </c>
      <c r="M757" s="10">
        <v>3</v>
      </c>
    </row>
    <row r="758" spans="1:13">
      <c r="A758" s="8">
        <v>43265</v>
      </c>
      <c r="B758" s="9">
        <v>0.54027777777777775</v>
      </c>
      <c r="C758" s="10" t="str">
        <f>"FES1162629518"</f>
        <v>FES1162629518</v>
      </c>
      <c r="D758" s="10" t="s">
        <v>19</v>
      </c>
      <c r="E758" s="10" t="s">
        <v>169</v>
      </c>
      <c r="F758" s="10" t="str">
        <f>"2170636571 "</f>
        <v xml:space="preserve">2170636571 </v>
      </c>
      <c r="G758" s="10" t="str">
        <f t="shared" si="24"/>
        <v>ON1</v>
      </c>
      <c r="H758" s="10" t="s">
        <v>21</v>
      </c>
      <c r="I758" s="10" t="s">
        <v>170</v>
      </c>
      <c r="J758" s="10" t="str">
        <f>""</f>
        <v/>
      </c>
      <c r="K758" s="10" t="str">
        <f>"PFES1162629518_0001"</f>
        <v>PFES1162629518_0001</v>
      </c>
      <c r="L758" s="10">
        <v>1</v>
      </c>
      <c r="M758" s="10">
        <v>1</v>
      </c>
    </row>
    <row r="759" spans="1:13">
      <c r="A759" s="8">
        <v>43265</v>
      </c>
      <c r="B759" s="9">
        <v>0.54027777777777775</v>
      </c>
      <c r="C759" s="10" t="str">
        <f>"FES1162629607"</f>
        <v>FES1162629607</v>
      </c>
      <c r="D759" s="10" t="s">
        <v>19</v>
      </c>
      <c r="E759" s="10" t="s">
        <v>445</v>
      </c>
      <c r="F759" s="10" t="str">
        <f>"2170636621 "</f>
        <v xml:space="preserve">2170636621 </v>
      </c>
      <c r="G759" s="10" t="str">
        <f t="shared" si="24"/>
        <v>ON1</v>
      </c>
      <c r="H759" s="10" t="s">
        <v>21</v>
      </c>
      <c r="I759" s="10" t="s">
        <v>446</v>
      </c>
      <c r="J759" s="10" t="str">
        <f>""</f>
        <v/>
      </c>
      <c r="K759" s="10" t="str">
        <f>"PFES1162629607_0001"</f>
        <v>PFES1162629607_0001</v>
      </c>
      <c r="L759" s="10">
        <v>1</v>
      </c>
      <c r="M759" s="10">
        <v>1</v>
      </c>
    </row>
    <row r="760" spans="1:13">
      <c r="A760" s="8">
        <v>43265</v>
      </c>
      <c r="B760" s="9">
        <v>0.54027777777777775</v>
      </c>
      <c r="C760" s="10" t="str">
        <f>"FES1162629603"</f>
        <v>FES1162629603</v>
      </c>
      <c r="D760" s="10" t="s">
        <v>19</v>
      </c>
      <c r="E760" s="10" t="s">
        <v>596</v>
      </c>
      <c r="F760" s="10" t="str">
        <f>"2170634966 "</f>
        <v xml:space="preserve">2170634966 </v>
      </c>
      <c r="G760" s="10" t="str">
        <f t="shared" si="24"/>
        <v>ON1</v>
      </c>
      <c r="H760" s="10" t="s">
        <v>21</v>
      </c>
      <c r="I760" s="10" t="s">
        <v>83</v>
      </c>
      <c r="J760" s="10" t="str">
        <f>""</f>
        <v/>
      </c>
      <c r="K760" s="10" t="str">
        <f>"PFES1162629603_0001"</f>
        <v>PFES1162629603_0001</v>
      </c>
      <c r="L760" s="10">
        <v>1</v>
      </c>
      <c r="M760" s="10">
        <v>1</v>
      </c>
    </row>
    <row r="761" spans="1:13">
      <c r="A761" s="8">
        <v>43265</v>
      </c>
      <c r="B761" s="9">
        <v>0.5395833333333333</v>
      </c>
      <c r="C761" s="10" t="str">
        <f>"FES1162629604"</f>
        <v>FES1162629604</v>
      </c>
      <c r="D761" s="10" t="s">
        <v>19</v>
      </c>
      <c r="E761" s="10" t="s">
        <v>509</v>
      </c>
      <c r="F761" s="10" t="str">
        <f>"2170634985 "</f>
        <v xml:space="preserve">2170634985 </v>
      </c>
      <c r="G761" s="10" t="str">
        <f t="shared" si="24"/>
        <v>ON1</v>
      </c>
      <c r="H761" s="10" t="s">
        <v>21</v>
      </c>
      <c r="I761" s="10" t="s">
        <v>53</v>
      </c>
      <c r="J761" s="10" t="str">
        <f>""</f>
        <v/>
      </c>
      <c r="K761" s="10" t="str">
        <f>"PFES1162629604_0001"</f>
        <v>PFES1162629604_0001</v>
      </c>
      <c r="L761" s="10">
        <v>1</v>
      </c>
      <c r="M761" s="10">
        <v>1</v>
      </c>
    </row>
    <row r="762" spans="1:13">
      <c r="A762" s="8">
        <v>43265</v>
      </c>
      <c r="B762" s="9">
        <v>0.5395833333333333</v>
      </c>
      <c r="C762" s="10" t="str">
        <f>"FES1162629602"</f>
        <v>FES1162629602</v>
      </c>
      <c r="D762" s="10" t="s">
        <v>19</v>
      </c>
      <c r="E762" s="10" t="s">
        <v>65</v>
      </c>
      <c r="F762" s="10" t="str">
        <f>"2170634929 "</f>
        <v xml:space="preserve">2170634929 </v>
      </c>
      <c r="G762" s="10" t="str">
        <f t="shared" si="24"/>
        <v>ON1</v>
      </c>
      <c r="H762" s="10" t="s">
        <v>21</v>
      </c>
      <c r="I762" s="10" t="s">
        <v>131</v>
      </c>
      <c r="J762" s="10" t="str">
        <f>""</f>
        <v/>
      </c>
      <c r="K762" s="10" t="str">
        <f>"PFES1162629602_0001"</f>
        <v>PFES1162629602_0001</v>
      </c>
      <c r="L762" s="10">
        <v>1</v>
      </c>
      <c r="M762" s="10">
        <v>1</v>
      </c>
    </row>
    <row r="763" spans="1:13">
      <c r="A763" s="8">
        <v>43265</v>
      </c>
      <c r="B763" s="9">
        <v>0.53888888888888886</v>
      </c>
      <c r="C763" s="10" t="str">
        <f>"FES1162629505"</f>
        <v>FES1162629505</v>
      </c>
      <c r="D763" s="10" t="s">
        <v>19</v>
      </c>
      <c r="E763" s="10" t="s">
        <v>328</v>
      </c>
      <c r="F763" s="10" t="str">
        <f>"2170636541 "</f>
        <v xml:space="preserve">2170636541 </v>
      </c>
      <c r="G763" s="10" t="str">
        <f t="shared" si="24"/>
        <v>ON1</v>
      </c>
      <c r="H763" s="10" t="s">
        <v>21</v>
      </c>
      <c r="I763" s="10" t="s">
        <v>329</v>
      </c>
      <c r="J763" s="10" t="str">
        <f>""</f>
        <v/>
      </c>
      <c r="K763" s="10" t="str">
        <f>"PFES1162629505_0001"</f>
        <v>PFES1162629505_0001</v>
      </c>
      <c r="L763" s="10">
        <v>1</v>
      </c>
      <c r="M763" s="10">
        <v>1</v>
      </c>
    </row>
    <row r="764" spans="1:13">
      <c r="A764" s="8">
        <v>43265</v>
      </c>
      <c r="B764" s="9">
        <v>0.53888888888888886</v>
      </c>
      <c r="C764" s="10" t="str">
        <f>"FES1162629547"</f>
        <v>FES1162629547</v>
      </c>
      <c r="D764" s="10" t="s">
        <v>19</v>
      </c>
      <c r="E764" s="10" t="s">
        <v>99</v>
      </c>
      <c r="F764" s="10" t="str">
        <f>"2170634488 "</f>
        <v xml:space="preserve">2170634488 </v>
      </c>
      <c r="G764" s="10" t="str">
        <f t="shared" si="24"/>
        <v>ON1</v>
      </c>
      <c r="H764" s="10" t="s">
        <v>21</v>
      </c>
      <c r="I764" s="10" t="s">
        <v>100</v>
      </c>
      <c r="J764" s="10" t="str">
        <f>""</f>
        <v/>
      </c>
      <c r="K764" s="10" t="str">
        <f>"PFES1162629547_0001"</f>
        <v>PFES1162629547_0001</v>
      </c>
      <c r="L764" s="10">
        <v>1</v>
      </c>
      <c r="M764" s="10">
        <v>1</v>
      </c>
    </row>
    <row r="765" spans="1:13">
      <c r="A765" s="8">
        <v>43265</v>
      </c>
      <c r="B765" s="9">
        <v>0.53819444444444442</v>
      </c>
      <c r="C765" s="10" t="str">
        <f>"FES1162629591"</f>
        <v>FES1162629591</v>
      </c>
      <c r="D765" s="10" t="s">
        <v>19</v>
      </c>
      <c r="E765" s="10" t="s">
        <v>49</v>
      </c>
      <c r="F765" s="10" t="str">
        <f>"21706343435 "</f>
        <v xml:space="preserve">21706343435 </v>
      </c>
      <c r="G765" s="10" t="str">
        <f t="shared" si="24"/>
        <v>ON1</v>
      </c>
      <c r="H765" s="10" t="s">
        <v>21</v>
      </c>
      <c r="I765" s="10" t="s">
        <v>32</v>
      </c>
      <c r="J765" s="10" t="str">
        <f>""</f>
        <v/>
      </c>
      <c r="K765" s="10" t="str">
        <f>"PFES1162629591_0001"</f>
        <v>PFES1162629591_0001</v>
      </c>
      <c r="L765" s="10">
        <v>1</v>
      </c>
      <c r="M765" s="10">
        <v>1</v>
      </c>
    </row>
    <row r="766" spans="1:13">
      <c r="A766" s="8">
        <v>43265</v>
      </c>
      <c r="B766" s="9">
        <v>0.53819444444444442</v>
      </c>
      <c r="C766" s="10" t="str">
        <f>"FES1162629531"</f>
        <v>FES1162629531</v>
      </c>
      <c r="D766" s="10" t="s">
        <v>19</v>
      </c>
      <c r="E766" s="10" t="s">
        <v>587</v>
      </c>
      <c r="F766" s="10" t="str">
        <f>"217636580 "</f>
        <v xml:space="preserve">217636580 </v>
      </c>
      <c r="G766" s="10" t="str">
        <f t="shared" si="24"/>
        <v>ON1</v>
      </c>
      <c r="H766" s="10" t="s">
        <v>21</v>
      </c>
      <c r="I766" s="10" t="s">
        <v>397</v>
      </c>
      <c r="J766" s="10" t="str">
        <f>""</f>
        <v/>
      </c>
      <c r="K766" s="10" t="str">
        <f>"PFES1162629531_0001"</f>
        <v>PFES1162629531_0001</v>
      </c>
      <c r="L766" s="10">
        <v>1</v>
      </c>
      <c r="M766" s="10">
        <v>1</v>
      </c>
    </row>
    <row r="767" spans="1:13">
      <c r="A767" s="8">
        <v>43265</v>
      </c>
      <c r="B767" s="9">
        <v>0.53749999999999998</v>
      </c>
      <c r="C767" s="10" t="str">
        <f>"FES1162629577"</f>
        <v>FES1162629577</v>
      </c>
      <c r="D767" s="10" t="s">
        <v>19</v>
      </c>
      <c r="E767" s="10" t="s">
        <v>188</v>
      </c>
      <c r="F767" s="10" t="str">
        <f>"2170633042 "</f>
        <v xml:space="preserve">2170633042 </v>
      </c>
      <c r="G767" s="10" t="str">
        <f t="shared" si="24"/>
        <v>ON1</v>
      </c>
      <c r="H767" s="10" t="s">
        <v>21</v>
      </c>
      <c r="I767" s="10" t="s">
        <v>189</v>
      </c>
      <c r="J767" s="10" t="str">
        <f>""</f>
        <v/>
      </c>
      <c r="K767" s="10" t="str">
        <f>"PFES1162629577_0001"</f>
        <v>PFES1162629577_0001</v>
      </c>
      <c r="L767" s="10">
        <v>1</v>
      </c>
      <c r="M767" s="10">
        <v>1</v>
      </c>
    </row>
    <row r="768" spans="1:13">
      <c r="A768" s="8">
        <v>43265</v>
      </c>
      <c r="B768" s="9">
        <v>0.53749999999999998</v>
      </c>
      <c r="C768" s="10" t="str">
        <f>"FES1162629629"</f>
        <v>FES1162629629</v>
      </c>
      <c r="D768" s="10" t="s">
        <v>19</v>
      </c>
      <c r="E768" s="10" t="s">
        <v>327</v>
      </c>
      <c r="F768" s="10" t="str">
        <f>"2170636639 "</f>
        <v xml:space="preserve">2170636639 </v>
      </c>
      <c r="G768" s="10" t="str">
        <f>"DBC"</f>
        <v>DBC</v>
      </c>
      <c r="H768" s="10" t="s">
        <v>21</v>
      </c>
      <c r="I768" s="10" t="s">
        <v>69</v>
      </c>
      <c r="J768" s="10" t="str">
        <f>""</f>
        <v/>
      </c>
      <c r="K768" s="10" t="str">
        <f>"PFES1162629629_0001"</f>
        <v>PFES1162629629_0001</v>
      </c>
      <c r="L768" s="10">
        <v>1</v>
      </c>
      <c r="M768" s="10">
        <v>1</v>
      </c>
    </row>
    <row r="769" spans="1:13">
      <c r="A769" s="8">
        <v>43265</v>
      </c>
      <c r="B769" s="9">
        <v>0.53680555555555554</v>
      </c>
      <c r="C769" s="10" t="str">
        <f>"FES1162629580"</f>
        <v>FES1162629580</v>
      </c>
      <c r="D769" s="10" t="s">
        <v>19</v>
      </c>
      <c r="E769" s="10" t="s">
        <v>188</v>
      </c>
      <c r="F769" s="10" t="str">
        <f>"2170633491 "</f>
        <v xml:space="preserve">2170633491 </v>
      </c>
      <c r="G769" s="10" t="str">
        <f>"ON1"</f>
        <v>ON1</v>
      </c>
      <c r="H769" s="10" t="s">
        <v>21</v>
      </c>
      <c r="I769" s="10" t="s">
        <v>189</v>
      </c>
      <c r="J769" s="10" t="str">
        <f>""</f>
        <v/>
      </c>
      <c r="K769" s="10" t="str">
        <f>"PFES1162629580_0001"</f>
        <v>PFES1162629580_0001</v>
      </c>
      <c r="L769" s="10">
        <v>1</v>
      </c>
      <c r="M769" s="10">
        <v>1</v>
      </c>
    </row>
    <row r="770" spans="1:13">
      <c r="A770" s="8">
        <v>43265</v>
      </c>
      <c r="B770" s="9">
        <v>0.53680555555555554</v>
      </c>
      <c r="C770" s="10" t="str">
        <f>"FES1162629558"</f>
        <v>FES1162629558</v>
      </c>
      <c r="D770" s="10" t="s">
        <v>19</v>
      </c>
      <c r="E770" s="10" t="s">
        <v>597</v>
      </c>
      <c r="F770" s="10" t="str">
        <f>"2170636593 "</f>
        <v xml:space="preserve">2170636593 </v>
      </c>
      <c r="G770" s="10" t="str">
        <f>"ON1"</f>
        <v>ON1</v>
      </c>
      <c r="H770" s="10" t="s">
        <v>21</v>
      </c>
      <c r="I770" s="10" t="s">
        <v>290</v>
      </c>
      <c r="J770" s="10" t="str">
        <f>""</f>
        <v/>
      </c>
      <c r="K770" s="10" t="str">
        <f>"PFES1162629558_0001"</f>
        <v>PFES1162629558_0001</v>
      </c>
      <c r="L770" s="10">
        <v>1</v>
      </c>
      <c r="M770" s="10">
        <v>1</v>
      </c>
    </row>
    <row r="771" spans="1:13">
      <c r="A771" s="8">
        <v>43265</v>
      </c>
      <c r="B771" s="9">
        <v>0.53611111111111109</v>
      </c>
      <c r="C771" s="10" t="str">
        <f>"FES1162629608"</f>
        <v>FES1162629608</v>
      </c>
      <c r="D771" s="10" t="s">
        <v>19</v>
      </c>
      <c r="E771" s="10" t="s">
        <v>598</v>
      </c>
      <c r="F771" s="10" t="str">
        <f>"2170636623 "</f>
        <v xml:space="preserve">2170636623 </v>
      </c>
      <c r="G771" s="10" t="str">
        <f>"DBC"</f>
        <v>DBC</v>
      </c>
      <c r="H771" s="10" t="s">
        <v>21</v>
      </c>
      <c r="I771" s="10" t="s">
        <v>260</v>
      </c>
      <c r="J771" s="10" t="str">
        <f>""</f>
        <v/>
      </c>
      <c r="K771" s="10" t="str">
        <f>"PFES1162629608_0001"</f>
        <v>PFES1162629608_0001</v>
      </c>
      <c r="L771" s="10">
        <v>1</v>
      </c>
      <c r="M771" s="10">
        <v>19</v>
      </c>
    </row>
    <row r="772" spans="1:13">
      <c r="A772" s="8">
        <v>43265</v>
      </c>
      <c r="B772" s="9">
        <v>0.53402777777777777</v>
      </c>
      <c r="C772" s="10" t="str">
        <f>"FES1162629568"</f>
        <v>FES1162629568</v>
      </c>
      <c r="D772" s="10" t="s">
        <v>19</v>
      </c>
      <c r="E772" s="10" t="s">
        <v>60</v>
      </c>
      <c r="F772" s="10" t="str">
        <f>"2170636606 "</f>
        <v xml:space="preserve">2170636606 </v>
      </c>
      <c r="G772" s="10" t="str">
        <f t="shared" ref="G772:G827" si="25">"ON1"</f>
        <v>ON1</v>
      </c>
      <c r="H772" s="10" t="s">
        <v>21</v>
      </c>
      <c r="I772" s="10" t="s">
        <v>61</v>
      </c>
      <c r="J772" s="10" t="str">
        <f>""</f>
        <v/>
      </c>
      <c r="K772" s="10" t="str">
        <f>"PFES1162629568_0001"</f>
        <v>PFES1162629568_0001</v>
      </c>
      <c r="L772" s="10">
        <v>1</v>
      </c>
      <c r="M772" s="10">
        <v>2</v>
      </c>
    </row>
    <row r="773" spans="1:13">
      <c r="A773" s="8">
        <v>43265</v>
      </c>
      <c r="B773" s="9">
        <v>0.53263888888888888</v>
      </c>
      <c r="C773" s="10" t="str">
        <f>"FES1162629593"</f>
        <v>FES1162629593</v>
      </c>
      <c r="D773" s="10" t="s">
        <v>19</v>
      </c>
      <c r="E773" s="10" t="s">
        <v>105</v>
      </c>
      <c r="F773" s="10" t="str">
        <f>"2170634505 "</f>
        <v xml:space="preserve">2170634505 </v>
      </c>
      <c r="G773" s="10" t="str">
        <f t="shared" si="25"/>
        <v>ON1</v>
      </c>
      <c r="H773" s="10" t="s">
        <v>21</v>
      </c>
      <c r="I773" s="10" t="s">
        <v>106</v>
      </c>
      <c r="J773" s="10" t="str">
        <f>""</f>
        <v/>
      </c>
      <c r="K773" s="10" t="str">
        <f>"PFES1162629593_0001"</f>
        <v>PFES1162629593_0001</v>
      </c>
      <c r="L773" s="10">
        <v>1</v>
      </c>
      <c r="M773" s="10">
        <v>4</v>
      </c>
    </row>
    <row r="774" spans="1:13">
      <c r="A774" s="8">
        <v>43265</v>
      </c>
      <c r="B774" s="9">
        <v>0.53125</v>
      </c>
      <c r="C774" s="10" t="str">
        <f>"FES1162629523"</f>
        <v>FES1162629523</v>
      </c>
      <c r="D774" s="10" t="s">
        <v>19</v>
      </c>
      <c r="E774" s="10" t="s">
        <v>60</v>
      </c>
      <c r="F774" s="10" t="str">
        <f>"2170636576 "</f>
        <v xml:space="preserve">2170636576 </v>
      </c>
      <c r="G774" s="10" t="str">
        <f t="shared" si="25"/>
        <v>ON1</v>
      </c>
      <c r="H774" s="10" t="s">
        <v>21</v>
      </c>
      <c r="I774" s="10" t="s">
        <v>61</v>
      </c>
      <c r="J774" s="10" t="str">
        <f>""</f>
        <v/>
      </c>
      <c r="K774" s="10" t="str">
        <f>"PFES1162629523_0001"</f>
        <v>PFES1162629523_0001</v>
      </c>
      <c r="L774" s="10">
        <v>1</v>
      </c>
      <c r="M774" s="10">
        <v>4</v>
      </c>
    </row>
    <row r="775" spans="1:13">
      <c r="A775" s="8">
        <v>43265</v>
      </c>
      <c r="B775" s="9">
        <v>0.53055555555555556</v>
      </c>
      <c r="C775" s="10" t="str">
        <f>"FES1162629578"</f>
        <v>FES1162629578</v>
      </c>
      <c r="D775" s="10" t="s">
        <v>19</v>
      </c>
      <c r="E775" s="10" t="s">
        <v>149</v>
      </c>
      <c r="F775" s="10" t="str">
        <f>"2170633086 "</f>
        <v xml:space="preserve">2170633086 </v>
      </c>
      <c r="G775" s="10" t="str">
        <f t="shared" si="25"/>
        <v>ON1</v>
      </c>
      <c r="H775" s="10" t="s">
        <v>21</v>
      </c>
      <c r="I775" s="10" t="s">
        <v>96</v>
      </c>
      <c r="J775" s="10" t="str">
        <f>""</f>
        <v/>
      </c>
      <c r="K775" s="10" t="str">
        <f>"PFES1162629578_0001"</f>
        <v>PFES1162629578_0001</v>
      </c>
      <c r="L775" s="10">
        <v>1</v>
      </c>
      <c r="M775" s="10">
        <v>6</v>
      </c>
    </row>
    <row r="776" spans="1:13">
      <c r="A776" s="8">
        <v>43265</v>
      </c>
      <c r="B776" s="9">
        <v>0.52986111111111112</v>
      </c>
      <c r="C776" s="10" t="str">
        <f>"FES1162629543"</f>
        <v>FES1162629543</v>
      </c>
      <c r="D776" s="10" t="s">
        <v>19</v>
      </c>
      <c r="E776" s="10" t="s">
        <v>143</v>
      </c>
      <c r="F776" s="10" t="str">
        <f>"2170634021 "</f>
        <v xml:space="preserve">2170634021 </v>
      </c>
      <c r="G776" s="10" t="str">
        <f t="shared" si="25"/>
        <v>ON1</v>
      </c>
      <c r="H776" s="10" t="s">
        <v>21</v>
      </c>
      <c r="I776" s="10" t="s">
        <v>144</v>
      </c>
      <c r="J776" s="10" t="str">
        <f>""</f>
        <v/>
      </c>
      <c r="K776" s="10" t="str">
        <f>"PFES1162629543_0001"</f>
        <v>PFES1162629543_0001</v>
      </c>
      <c r="L776" s="10">
        <v>1</v>
      </c>
      <c r="M776" s="10">
        <v>2</v>
      </c>
    </row>
    <row r="777" spans="1:13">
      <c r="A777" s="8">
        <v>43265</v>
      </c>
      <c r="B777" s="9">
        <v>0.52708333333333335</v>
      </c>
      <c r="C777" s="10" t="str">
        <f>"FES1162629619"</f>
        <v>FES1162629619</v>
      </c>
      <c r="D777" s="10" t="s">
        <v>19</v>
      </c>
      <c r="E777" s="10" t="s">
        <v>599</v>
      </c>
      <c r="F777" s="10" t="str">
        <f>"2170636596 "</f>
        <v xml:space="preserve">2170636596 </v>
      </c>
      <c r="G777" s="10" t="str">
        <f t="shared" si="25"/>
        <v>ON1</v>
      </c>
      <c r="H777" s="10" t="s">
        <v>21</v>
      </c>
      <c r="I777" s="10" t="s">
        <v>279</v>
      </c>
      <c r="J777" s="10" t="str">
        <f>""</f>
        <v/>
      </c>
      <c r="K777" s="10" t="str">
        <f>"PFES1162629619_0001"</f>
        <v>PFES1162629619_0001</v>
      </c>
      <c r="L777" s="10">
        <v>1</v>
      </c>
      <c r="M777" s="10">
        <v>9</v>
      </c>
    </row>
    <row r="778" spans="1:13">
      <c r="A778" s="8">
        <v>43265</v>
      </c>
      <c r="B778" s="9">
        <v>0.52638888888888891</v>
      </c>
      <c r="C778" s="10" t="str">
        <f>"FES1162629566"</f>
        <v>FES1162629566</v>
      </c>
      <c r="D778" s="10" t="s">
        <v>19</v>
      </c>
      <c r="E778" s="10" t="s">
        <v>117</v>
      </c>
      <c r="F778" s="10" t="str">
        <f>"2170636603 "</f>
        <v xml:space="preserve">2170636603 </v>
      </c>
      <c r="G778" s="10" t="str">
        <f t="shared" si="25"/>
        <v>ON1</v>
      </c>
      <c r="H778" s="10" t="s">
        <v>21</v>
      </c>
      <c r="I778" s="10" t="s">
        <v>118</v>
      </c>
      <c r="J778" s="10" t="str">
        <f>""</f>
        <v/>
      </c>
      <c r="K778" s="10" t="str">
        <f>"PFES1162629566_0001"</f>
        <v>PFES1162629566_0001</v>
      </c>
      <c r="L778" s="10">
        <v>1</v>
      </c>
      <c r="M778" s="10">
        <v>2</v>
      </c>
    </row>
    <row r="779" spans="1:13">
      <c r="A779" s="8">
        <v>43265</v>
      </c>
      <c r="B779" s="9">
        <v>0.52638888888888891</v>
      </c>
      <c r="C779" s="10" t="str">
        <f>"FES1162629491"</f>
        <v>FES1162629491</v>
      </c>
      <c r="D779" s="10" t="s">
        <v>19</v>
      </c>
      <c r="E779" s="10" t="s">
        <v>600</v>
      </c>
      <c r="F779" s="10" t="str">
        <f>"2170634240 "</f>
        <v xml:space="preserve">2170634240 </v>
      </c>
      <c r="G779" s="10" t="str">
        <f t="shared" si="25"/>
        <v>ON1</v>
      </c>
      <c r="H779" s="10" t="s">
        <v>21</v>
      </c>
      <c r="I779" s="10" t="s">
        <v>601</v>
      </c>
      <c r="J779" s="10" t="str">
        <f>""</f>
        <v/>
      </c>
      <c r="K779" s="10" t="str">
        <f>"PFES1162629491_0001"</f>
        <v>PFES1162629491_0001</v>
      </c>
      <c r="L779" s="10">
        <v>1</v>
      </c>
      <c r="M779" s="10">
        <v>1</v>
      </c>
    </row>
    <row r="780" spans="1:13">
      <c r="A780" s="8">
        <v>43265</v>
      </c>
      <c r="B780" s="9">
        <v>0.52638888888888891</v>
      </c>
      <c r="C780" s="10" t="str">
        <f>"FES1162629502"</f>
        <v>FES1162629502</v>
      </c>
      <c r="D780" s="10" t="s">
        <v>19</v>
      </c>
      <c r="E780" s="10" t="s">
        <v>319</v>
      </c>
      <c r="F780" s="10" t="str">
        <f>"2170636257 "</f>
        <v xml:space="preserve">2170636257 </v>
      </c>
      <c r="G780" s="10" t="str">
        <f t="shared" si="25"/>
        <v>ON1</v>
      </c>
      <c r="H780" s="10" t="s">
        <v>21</v>
      </c>
      <c r="I780" s="10" t="s">
        <v>106</v>
      </c>
      <c r="J780" s="10" t="str">
        <f>""</f>
        <v/>
      </c>
      <c r="K780" s="10" t="str">
        <f>"PFES1162629502_0001"</f>
        <v>PFES1162629502_0001</v>
      </c>
      <c r="L780" s="10">
        <v>1</v>
      </c>
      <c r="M780" s="10">
        <v>1</v>
      </c>
    </row>
    <row r="781" spans="1:13">
      <c r="A781" s="8">
        <v>43265</v>
      </c>
      <c r="B781" s="9">
        <v>0.52569444444444446</v>
      </c>
      <c r="C781" s="10" t="str">
        <f>"FES1162629600"</f>
        <v>FES1162629600</v>
      </c>
      <c r="D781" s="10" t="s">
        <v>19</v>
      </c>
      <c r="E781" s="10" t="s">
        <v>145</v>
      </c>
      <c r="F781" s="10" t="str">
        <f>"2170634920 "</f>
        <v xml:space="preserve">2170634920 </v>
      </c>
      <c r="G781" s="10" t="str">
        <f t="shared" si="25"/>
        <v>ON1</v>
      </c>
      <c r="H781" s="10" t="s">
        <v>21</v>
      </c>
      <c r="I781" s="10" t="s">
        <v>146</v>
      </c>
      <c r="J781" s="10" t="str">
        <f>""</f>
        <v/>
      </c>
      <c r="K781" s="10" t="str">
        <f>"PFES1162629600_0001"</f>
        <v>PFES1162629600_0001</v>
      </c>
      <c r="L781" s="10">
        <v>1</v>
      </c>
      <c r="M781" s="10">
        <v>1</v>
      </c>
    </row>
    <row r="782" spans="1:13">
      <c r="A782" s="8">
        <v>43265</v>
      </c>
      <c r="B782" s="9">
        <v>0.52569444444444446</v>
      </c>
      <c r="C782" s="10" t="str">
        <f>"FES1162629651"</f>
        <v>FES1162629651</v>
      </c>
      <c r="D782" s="10" t="s">
        <v>19</v>
      </c>
      <c r="E782" s="10" t="s">
        <v>60</v>
      </c>
      <c r="F782" s="10" t="str">
        <f>"21706366667 "</f>
        <v xml:space="preserve">21706366667 </v>
      </c>
      <c r="G782" s="10" t="str">
        <f t="shared" si="25"/>
        <v>ON1</v>
      </c>
      <c r="H782" s="10" t="s">
        <v>21</v>
      </c>
      <c r="I782" s="10" t="s">
        <v>61</v>
      </c>
      <c r="J782" s="10" t="str">
        <f>""</f>
        <v/>
      </c>
      <c r="K782" s="10" t="str">
        <f>"PFES1162629651_0001"</f>
        <v>PFES1162629651_0001</v>
      </c>
      <c r="L782" s="10">
        <v>1</v>
      </c>
      <c r="M782" s="10">
        <v>1</v>
      </c>
    </row>
    <row r="783" spans="1:13">
      <c r="A783" s="8">
        <v>43265</v>
      </c>
      <c r="B783" s="9">
        <v>0.52569444444444446</v>
      </c>
      <c r="C783" s="10" t="str">
        <f>"FES1162629506"</f>
        <v>FES1162629506</v>
      </c>
      <c r="D783" s="10" t="s">
        <v>19</v>
      </c>
      <c r="E783" s="10" t="s">
        <v>602</v>
      </c>
      <c r="F783" s="10" t="str">
        <f>"2170636543 "</f>
        <v xml:space="preserve">2170636543 </v>
      </c>
      <c r="G783" s="10" t="str">
        <f t="shared" si="25"/>
        <v>ON1</v>
      </c>
      <c r="H783" s="10" t="s">
        <v>21</v>
      </c>
      <c r="I783" s="10" t="s">
        <v>108</v>
      </c>
      <c r="J783" s="10" t="str">
        <f>""</f>
        <v/>
      </c>
      <c r="K783" s="10" t="str">
        <f>"PFES1162629506_0001"</f>
        <v>PFES1162629506_0001</v>
      </c>
      <c r="L783" s="10">
        <v>1</v>
      </c>
      <c r="M783" s="10">
        <v>6</v>
      </c>
    </row>
    <row r="784" spans="1:13">
      <c r="A784" s="8">
        <v>43265</v>
      </c>
      <c r="B784" s="9">
        <v>0.52569444444444446</v>
      </c>
      <c r="C784" s="10" t="str">
        <f>"FES1162629601"</f>
        <v>FES1162629601</v>
      </c>
      <c r="D784" s="10" t="s">
        <v>19</v>
      </c>
      <c r="E784" s="10" t="s">
        <v>540</v>
      </c>
      <c r="F784" s="10" t="str">
        <f>"21706349213 "</f>
        <v xml:space="preserve">21706349213 </v>
      </c>
      <c r="G784" s="10" t="str">
        <f t="shared" si="25"/>
        <v>ON1</v>
      </c>
      <c r="H784" s="10" t="s">
        <v>21</v>
      </c>
      <c r="I784" s="10" t="s">
        <v>55</v>
      </c>
      <c r="J784" s="10" t="str">
        <f>""</f>
        <v/>
      </c>
      <c r="K784" s="10" t="str">
        <f>"PFES1162629601_0001"</f>
        <v>PFES1162629601_0001</v>
      </c>
      <c r="L784" s="10">
        <v>1</v>
      </c>
      <c r="M784" s="10">
        <v>1</v>
      </c>
    </row>
    <row r="785" spans="1:13">
      <c r="A785" s="8">
        <v>43265</v>
      </c>
      <c r="B785" s="9">
        <v>0.52500000000000002</v>
      </c>
      <c r="C785" s="10" t="str">
        <f>"FES1162629548"</f>
        <v>FES1162629548</v>
      </c>
      <c r="D785" s="10" t="s">
        <v>19</v>
      </c>
      <c r="E785" s="10" t="s">
        <v>302</v>
      </c>
      <c r="F785" s="10" t="str">
        <f>"2170634559 "</f>
        <v xml:space="preserve">2170634559 </v>
      </c>
      <c r="G785" s="10" t="str">
        <f t="shared" si="25"/>
        <v>ON1</v>
      </c>
      <c r="H785" s="10" t="s">
        <v>21</v>
      </c>
      <c r="I785" s="10" t="s">
        <v>303</v>
      </c>
      <c r="J785" s="10" t="str">
        <f>""</f>
        <v/>
      </c>
      <c r="K785" s="10" t="str">
        <f>"PFES1162629548_0001"</f>
        <v>PFES1162629548_0001</v>
      </c>
      <c r="L785" s="10">
        <v>1</v>
      </c>
      <c r="M785" s="10">
        <v>1</v>
      </c>
    </row>
    <row r="786" spans="1:13">
      <c r="A786" s="8">
        <v>43265</v>
      </c>
      <c r="B786" s="9">
        <v>0.52500000000000002</v>
      </c>
      <c r="C786" s="10" t="str">
        <f>"FES1162629520"</f>
        <v>FES1162629520</v>
      </c>
      <c r="D786" s="10" t="s">
        <v>19</v>
      </c>
      <c r="E786" s="10" t="s">
        <v>414</v>
      </c>
      <c r="F786" s="10" t="str">
        <f>"2170636572 "</f>
        <v xml:space="preserve">2170636572 </v>
      </c>
      <c r="G786" s="10" t="str">
        <f t="shared" si="25"/>
        <v>ON1</v>
      </c>
      <c r="H786" s="10" t="s">
        <v>21</v>
      </c>
      <c r="I786" s="10" t="s">
        <v>415</v>
      </c>
      <c r="J786" s="10" t="str">
        <f>""</f>
        <v/>
      </c>
      <c r="K786" s="10" t="str">
        <f>"PFES1162629520_0001"</f>
        <v>PFES1162629520_0001</v>
      </c>
      <c r="L786" s="10">
        <v>1</v>
      </c>
      <c r="M786" s="10">
        <v>3</v>
      </c>
    </row>
    <row r="787" spans="1:13">
      <c r="A787" s="8">
        <v>43265</v>
      </c>
      <c r="B787" s="9">
        <v>0.52500000000000002</v>
      </c>
      <c r="C787" s="10" t="str">
        <f>"FES1162629590"</f>
        <v>FES1162629590</v>
      </c>
      <c r="D787" s="10" t="s">
        <v>19</v>
      </c>
      <c r="E787" s="10" t="s">
        <v>319</v>
      </c>
      <c r="F787" s="10" t="str">
        <f>"2170634342 "</f>
        <v xml:space="preserve">2170634342 </v>
      </c>
      <c r="G787" s="10" t="str">
        <f t="shared" si="25"/>
        <v>ON1</v>
      </c>
      <c r="H787" s="10" t="s">
        <v>21</v>
      </c>
      <c r="I787" s="10" t="s">
        <v>106</v>
      </c>
      <c r="J787" s="10" t="str">
        <f>""</f>
        <v/>
      </c>
      <c r="K787" s="10" t="str">
        <f>"PFES1162629590_0001"</f>
        <v>PFES1162629590_0001</v>
      </c>
      <c r="L787" s="10">
        <v>1</v>
      </c>
      <c r="M787" s="10">
        <v>1</v>
      </c>
    </row>
    <row r="788" spans="1:13">
      <c r="A788" s="8">
        <v>43265</v>
      </c>
      <c r="B788" s="9">
        <v>0.52430555555555558</v>
      </c>
      <c r="C788" s="10" t="str">
        <f>"FES1162629597"</f>
        <v>FES1162629597</v>
      </c>
      <c r="D788" s="10" t="s">
        <v>19</v>
      </c>
      <c r="E788" s="10" t="s">
        <v>60</v>
      </c>
      <c r="F788" s="10" t="str">
        <f>"2170634812 "</f>
        <v xml:space="preserve">2170634812 </v>
      </c>
      <c r="G788" s="10" t="str">
        <f t="shared" si="25"/>
        <v>ON1</v>
      </c>
      <c r="H788" s="10" t="s">
        <v>21</v>
      </c>
      <c r="I788" s="10" t="s">
        <v>61</v>
      </c>
      <c r="J788" s="10" t="str">
        <f>""</f>
        <v/>
      </c>
      <c r="K788" s="10" t="str">
        <f>"PFES1162629597_0001"</f>
        <v>PFES1162629597_0001</v>
      </c>
      <c r="L788" s="10">
        <v>1</v>
      </c>
      <c r="M788" s="10">
        <v>1</v>
      </c>
    </row>
    <row r="789" spans="1:13">
      <c r="A789" s="8">
        <v>43265</v>
      </c>
      <c r="B789" s="9">
        <v>0.52430555555555558</v>
      </c>
      <c r="C789" s="10" t="str">
        <f>"FES1162629621"</f>
        <v>FES1162629621</v>
      </c>
      <c r="D789" s="10" t="s">
        <v>19</v>
      </c>
      <c r="E789" s="10" t="s">
        <v>95</v>
      </c>
      <c r="F789" s="10" t="str">
        <f>"2170636626 "</f>
        <v xml:space="preserve">2170636626 </v>
      </c>
      <c r="G789" s="10" t="str">
        <f t="shared" si="25"/>
        <v>ON1</v>
      </c>
      <c r="H789" s="10" t="s">
        <v>21</v>
      </c>
      <c r="I789" s="10" t="s">
        <v>96</v>
      </c>
      <c r="J789" s="10" t="str">
        <f>""</f>
        <v/>
      </c>
      <c r="K789" s="10" t="str">
        <f>"PFES1162629621_0001"</f>
        <v>PFES1162629621_0001</v>
      </c>
      <c r="L789" s="10">
        <v>1</v>
      </c>
      <c r="M789" s="10">
        <v>1</v>
      </c>
    </row>
    <row r="790" spans="1:13">
      <c r="A790" s="8">
        <v>43265</v>
      </c>
      <c r="B790" s="9">
        <v>0.52430555555555558</v>
      </c>
      <c r="C790" s="10" t="str">
        <f>"FES1162629653"</f>
        <v>FES1162629653</v>
      </c>
      <c r="D790" s="10" t="s">
        <v>19</v>
      </c>
      <c r="E790" s="10" t="s">
        <v>362</v>
      </c>
      <c r="F790" s="10" t="str">
        <f>"2170636671 "</f>
        <v xml:space="preserve">2170636671 </v>
      </c>
      <c r="G790" s="10" t="str">
        <f t="shared" si="25"/>
        <v>ON1</v>
      </c>
      <c r="H790" s="10" t="s">
        <v>21</v>
      </c>
      <c r="I790" s="10" t="s">
        <v>363</v>
      </c>
      <c r="J790" s="10" t="str">
        <f>""</f>
        <v/>
      </c>
      <c r="K790" s="10" t="str">
        <f>"PFES1162629653_0001"</f>
        <v>PFES1162629653_0001</v>
      </c>
      <c r="L790" s="10">
        <v>1</v>
      </c>
      <c r="M790" s="10">
        <v>1</v>
      </c>
    </row>
    <row r="791" spans="1:13">
      <c r="A791" s="8">
        <v>43265</v>
      </c>
      <c r="B791" s="9">
        <v>0.52361111111111114</v>
      </c>
      <c r="C791" s="10" t="str">
        <f>"FES1162629514"</f>
        <v>FES1162629514</v>
      </c>
      <c r="D791" s="10" t="s">
        <v>19</v>
      </c>
      <c r="E791" s="10" t="s">
        <v>216</v>
      </c>
      <c r="F791" s="10" t="str">
        <f>"2170636567 "</f>
        <v xml:space="preserve">2170636567 </v>
      </c>
      <c r="G791" s="10" t="str">
        <f t="shared" si="25"/>
        <v>ON1</v>
      </c>
      <c r="H791" s="10" t="s">
        <v>21</v>
      </c>
      <c r="I791" s="10" t="s">
        <v>110</v>
      </c>
      <c r="J791" s="10" t="str">
        <f>""</f>
        <v/>
      </c>
      <c r="K791" s="10" t="str">
        <f>"PFES1162629514_0001"</f>
        <v>PFES1162629514_0001</v>
      </c>
      <c r="L791" s="10">
        <v>1</v>
      </c>
      <c r="M791" s="10">
        <v>1</v>
      </c>
    </row>
    <row r="792" spans="1:13">
      <c r="A792" s="8">
        <v>43265</v>
      </c>
      <c r="B792" s="9">
        <v>0.52361111111111114</v>
      </c>
      <c r="C792" s="10" t="str">
        <f>"FES1162629510"</f>
        <v>FES1162629510</v>
      </c>
      <c r="D792" s="10" t="s">
        <v>19</v>
      </c>
      <c r="E792" s="10" t="s">
        <v>603</v>
      </c>
      <c r="F792" s="10" t="str">
        <f>"2170636561 "</f>
        <v xml:space="preserve">2170636561 </v>
      </c>
      <c r="G792" s="10" t="str">
        <f t="shared" si="25"/>
        <v>ON1</v>
      </c>
      <c r="H792" s="10" t="s">
        <v>21</v>
      </c>
      <c r="I792" s="10" t="s">
        <v>604</v>
      </c>
      <c r="J792" s="10" t="str">
        <f>""</f>
        <v/>
      </c>
      <c r="K792" s="10" t="str">
        <f>"PFES1162629510_0001"</f>
        <v>PFES1162629510_0001</v>
      </c>
      <c r="L792" s="10">
        <v>1</v>
      </c>
      <c r="M792" s="10">
        <v>3</v>
      </c>
    </row>
    <row r="793" spans="1:13">
      <c r="A793" s="8">
        <v>43265</v>
      </c>
      <c r="B793" s="9">
        <v>0.52361111111111114</v>
      </c>
      <c r="C793" s="10" t="str">
        <f>"FES1162629492"</f>
        <v>FES1162629492</v>
      </c>
      <c r="D793" s="10" t="s">
        <v>19</v>
      </c>
      <c r="E793" s="10" t="s">
        <v>505</v>
      </c>
      <c r="F793" s="10" t="str">
        <f>"217063771 "</f>
        <v xml:space="preserve">217063771 </v>
      </c>
      <c r="G793" s="10" t="str">
        <f t="shared" si="25"/>
        <v>ON1</v>
      </c>
      <c r="H793" s="10" t="s">
        <v>21</v>
      </c>
      <c r="I793" s="10" t="s">
        <v>480</v>
      </c>
      <c r="J793" s="10" t="str">
        <f>""</f>
        <v/>
      </c>
      <c r="K793" s="10" t="str">
        <f>"PFES1162629492_0001"</f>
        <v>PFES1162629492_0001</v>
      </c>
      <c r="L793" s="10">
        <v>1</v>
      </c>
      <c r="M793" s="10">
        <v>1</v>
      </c>
    </row>
    <row r="794" spans="1:13">
      <c r="A794" s="8">
        <v>43265</v>
      </c>
      <c r="B794" s="9">
        <v>0.5229166666666667</v>
      </c>
      <c r="C794" s="10" t="str">
        <f>"FES1162629627"</f>
        <v>FES1162629627</v>
      </c>
      <c r="D794" s="10" t="s">
        <v>19</v>
      </c>
      <c r="E794" s="10" t="s">
        <v>605</v>
      </c>
      <c r="F794" s="10" t="str">
        <f>"2170636637 "</f>
        <v xml:space="preserve">2170636637 </v>
      </c>
      <c r="G794" s="10" t="str">
        <f t="shared" si="25"/>
        <v>ON1</v>
      </c>
      <c r="H794" s="10" t="s">
        <v>21</v>
      </c>
      <c r="I794" s="10" t="s">
        <v>606</v>
      </c>
      <c r="J794" s="10" t="str">
        <f>""</f>
        <v/>
      </c>
      <c r="K794" s="10" t="str">
        <f>"PFES1162629627_0001"</f>
        <v>PFES1162629627_0001</v>
      </c>
      <c r="L794" s="10">
        <v>1</v>
      </c>
      <c r="M794" s="10">
        <v>1</v>
      </c>
    </row>
    <row r="795" spans="1:13">
      <c r="A795" s="8">
        <v>43265</v>
      </c>
      <c r="B795" s="9">
        <v>0.5229166666666667</v>
      </c>
      <c r="C795" s="10" t="str">
        <f>"FES1162629640"</f>
        <v>FES1162629640</v>
      </c>
      <c r="D795" s="10" t="s">
        <v>19</v>
      </c>
      <c r="E795" s="10" t="s">
        <v>456</v>
      </c>
      <c r="F795" s="10" t="str">
        <f>"2170636652 "</f>
        <v xml:space="preserve">2170636652 </v>
      </c>
      <c r="G795" s="10" t="str">
        <f t="shared" si="25"/>
        <v>ON1</v>
      </c>
      <c r="H795" s="10" t="s">
        <v>21</v>
      </c>
      <c r="I795" s="10" t="s">
        <v>36</v>
      </c>
      <c r="J795" s="10" t="str">
        <f>""</f>
        <v/>
      </c>
      <c r="K795" s="10" t="str">
        <f>"PFES1162629640_0001"</f>
        <v>PFES1162629640_0001</v>
      </c>
      <c r="L795" s="10">
        <v>1</v>
      </c>
      <c r="M795" s="10">
        <v>1</v>
      </c>
    </row>
    <row r="796" spans="1:13">
      <c r="A796" s="8">
        <v>43265</v>
      </c>
      <c r="B796" s="9">
        <v>0.5229166666666667</v>
      </c>
      <c r="C796" s="10" t="str">
        <f>"FES1162629504"</f>
        <v>FES1162629504</v>
      </c>
      <c r="D796" s="10" t="s">
        <v>19</v>
      </c>
      <c r="E796" s="10" t="s">
        <v>117</v>
      </c>
      <c r="F796" s="10" t="str">
        <f>"217063539 "</f>
        <v xml:space="preserve">217063539 </v>
      </c>
      <c r="G796" s="10" t="str">
        <f t="shared" si="25"/>
        <v>ON1</v>
      </c>
      <c r="H796" s="10" t="s">
        <v>21</v>
      </c>
      <c r="I796" s="10" t="s">
        <v>118</v>
      </c>
      <c r="J796" s="10" t="str">
        <f>""</f>
        <v/>
      </c>
      <c r="K796" s="10" t="str">
        <f>"PFES1162629504_0001"</f>
        <v>PFES1162629504_0001</v>
      </c>
      <c r="L796" s="10">
        <v>1</v>
      </c>
      <c r="M796" s="10">
        <v>1</v>
      </c>
    </row>
    <row r="797" spans="1:13">
      <c r="A797" s="8">
        <v>43265</v>
      </c>
      <c r="B797" s="9">
        <v>0.52222222222222225</v>
      </c>
      <c r="C797" s="10" t="str">
        <f>"FES1162629583"</f>
        <v>FES1162629583</v>
      </c>
      <c r="D797" s="10" t="s">
        <v>19</v>
      </c>
      <c r="E797" s="10" t="s">
        <v>516</v>
      </c>
      <c r="F797" s="10" t="str">
        <f>"2170634114 "</f>
        <v xml:space="preserve">2170634114 </v>
      </c>
      <c r="G797" s="10" t="str">
        <f t="shared" si="25"/>
        <v>ON1</v>
      </c>
      <c r="H797" s="10" t="s">
        <v>21</v>
      </c>
      <c r="I797" s="10" t="s">
        <v>517</v>
      </c>
      <c r="J797" s="10" t="str">
        <f>""</f>
        <v/>
      </c>
      <c r="K797" s="10" t="str">
        <f>"PFES1162629583_0001"</f>
        <v>PFES1162629583_0001</v>
      </c>
      <c r="L797" s="10">
        <v>1</v>
      </c>
      <c r="M797" s="10">
        <v>1</v>
      </c>
    </row>
    <row r="798" spans="1:13">
      <c r="A798" s="8">
        <v>43265</v>
      </c>
      <c r="B798" s="9">
        <v>0.52222222222222225</v>
      </c>
      <c r="C798" s="10" t="str">
        <f>"FES1162629540"</f>
        <v>FES1162629540</v>
      </c>
      <c r="D798" s="10" t="s">
        <v>19</v>
      </c>
      <c r="E798" s="10" t="s">
        <v>607</v>
      </c>
      <c r="F798" s="10" t="str">
        <f>"2170631065 "</f>
        <v xml:space="preserve">2170631065 </v>
      </c>
      <c r="G798" s="10" t="str">
        <f t="shared" si="25"/>
        <v>ON1</v>
      </c>
      <c r="H798" s="10" t="s">
        <v>21</v>
      </c>
      <c r="I798" s="10" t="s">
        <v>608</v>
      </c>
      <c r="J798" s="10" t="str">
        <f>""</f>
        <v/>
      </c>
      <c r="K798" s="10" t="str">
        <f>"PFES1162629540_0001"</f>
        <v>PFES1162629540_0001</v>
      </c>
      <c r="L798" s="10">
        <v>1</v>
      </c>
      <c r="M798" s="10">
        <v>1</v>
      </c>
    </row>
    <row r="799" spans="1:13">
      <c r="A799" s="8">
        <v>43265</v>
      </c>
      <c r="B799" s="9">
        <v>0.51944444444444449</v>
      </c>
      <c r="C799" s="10" t="str">
        <f>"FES1162629587"</f>
        <v>FES1162629587</v>
      </c>
      <c r="D799" s="10" t="s">
        <v>19</v>
      </c>
      <c r="E799" s="10" t="s">
        <v>609</v>
      </c>
      <c r="F799" s="10" t="str">
        <f>"2170634286 "</f>
        <v xml:space="preserve">2170634286 </v>
      </c>
      <c r="G799" s="10" t="str">
        <f t="shared" si="25"/>
        <v>ON1</v>
      </c>
      <c r="H799" s="10" t="s">
        <v>21</v>
      </c>
      <c r="I799" s="10" t="s">
        <v>610</v>
      </c>
      <c r="J799" s="10" t="str">
        <f>""</f>
        <v/>
      </c>
      <c r="K799" s="10" t="str">
        <f>"PFES1162629587_0001"</f>
        <v>PFES1162629587_0001</v>
      </c>
      <c r="L799" s="10">
        <v>1</v>
      </c>
      <c r="M799" s="10">
        <v>3</v>
      </c>
    </row>
    <row r="800" spans="1:13">
      <c r="A800" s="8">
        <v>43265</v>
      </c>
      <c r="B800" s="9">
        <v>0.51874999999999993</v>
      </c>
      <c r="C800" s="10" t="str">
        <f>"FES1162629490"</f>
        <v>FES1162629490</v>
      </c>
      <c r="D800" s="10" t="s">
        <v>19</v>
      </c>
      <c r="E800" s="10" t="s">
        <v>117</v>
      </c>
      <c r="F800" s="10" t="str">
        <f>"2170634236 "</f>
        <v xml:space="preserve">2170634236 </v>
      </c>
      <c r="G800" s="10" t="str">
        <f t="shared" si="25"/>
        <v>ON1</v>
      </c>
      <c r="H800" s="10" t="s">
        <v>21</v>
      </c>
      <c r="I800" s="10" t="s">
        <v>118</v>
      </c>
      <c r="J800" s="10" t="str">
        <f>""</f>
        <v/>
      </c>
      <c r="K800" s="10" t="str">
        <f>"PFES1162629490_0001"</f>
        <v>PFES1162629490_0001</v>
      </c>
      <c r="L800" s="10">
        <v>1</v>
      </c>
      <c r="M800" s="10">
        <v>1</v>
      </c>
    </row>
    <row r="801" spans="1:13">
      <c r="A801" s="8">
        <v>43265</v>
      </c>
      <c r="B801" s="9">
        <v>0.51874999999999993</v>
      </c>
      <c r="C801" s="10" t="str">
        <f>"FES1162629516"</f>
        <v>FES1162629516</v>
      </c>
      <c r="D801" s="10" t="s">
        <v>19</v>
      </c>
      <c r="E801" s="10" t="s">
        <v>520</v>
      </c>
      <c r="F801" s="10" t="str">
        <f>"2170636564 "</f>
        <v xml:space="preserve">2170636564 </v>
      </c>
      <c r="G801" s="10" t="str">
        <f t="shared" si="25"/>
        <v>ON1</v>
      </c>
      <c r="H801" s="10" t="s">
        <v>21</v>
      </c>
      <c r="I801" s="10" t="s">
        <v>521</v>
      </c>
      <c r="J801" s="10" t="str">
        <f>""</f>
        <v/>
      </c>
      <c r="K801" s="10" t="str">
        <f>"PFES1162629516_0001"</f>
        <v>PFES1162629516_0001</v>
      </c>
      <c r="L801" s="10">
        <v>1</v>
      </c>
      <c r="M801" s="10">
        <v>1</v>
      </c>
    </row>
    <row r="802" spans="1:13">
      <c r="A802" s="8">
        <v>43265</v>
      </c>
      <c r="B802" s="9">
        <v>0.51874999999999993</v>
      </c>
      <c r="C802" s="10" t="str">
        <f>"FES1162629513"</f>
        <v>FES1162629513</v>
      </c>
      <c r="D802" s="10" t="s">
        <v>19</v>
      </c>
      <c r="E802" s="10" t="s">
        <v>95</v>
      </c>
      <c r="F802" s="10" t="str">
        <f>"2170636566 "</f>
        <v xml:space="preserve">2170636566 </v>
      </c>
      <c r="G802" s="10" t="str">
        <f t="shared" si="25"/>
        <v>ON1</v>
      </c>
      <c r="H802" s="10" t="s">
        <v>21</v>
      </c>
      <c r="I802" s="10" t="s">
        <v>96</v>
      </c>
      <c r="J802" s="10" t="str">
        <f>""</f>
        <v/>
      </c>
      <c r="K802" s="10" t="str">
        <f>"PFES1162629513_0001"</f>
        <v>PFES1162629513_0001</v>
      </c>
      <c r="L802" s="10">
        <v>1</v>
      </c>
      <c r="M802" s="10">
        <v>8</v>
      </c>
    </row>
    <row r="803" spans="1:13">
      <c r="A803" s="8">
        <v>43265</v>
      </c>
      <c r="B803" s="9">
        <v>0.51874999999999993</v>
      </c>
      <c r="C803" s="10" t="str">
        <f>"FES1162629515"</f>
        <v>FES1162629515</v>
      </c>
      <c r="D803" s="10" t="s">
        <v>19</v>
      </c>
      <c r="E803" s="10" t="s">
        <v>611</v>
      </c>
      <c r="F803" s="10" t="str">
        <f>"2170636560 "</f>
        <v xml:space="preserve">2170636560 </v>
      </c>
      <c r="G803" s="10" t="str">
        <f t="shared" si="25"/>
        <v>ON1</v>
      </c>
      <c r="H803" s="10" t="s">
        <v>21</v>
      </c>
      <c r="I803" s="10" t="s">
        <v>594</v>
      </c>
      <c r="J803" s="10" t="str">
        <f>""</f>
        <v/>
      </c>
      <c r="K803" s="10" t="str">
        <f>"PFES1162629515_0001"</f>
        <v>PFES1162629515_0001</v>
      </c>
      <c r="L803" s="10">
        <v>1</v>
      </c>
      <c r="M803" s="10">
        <v>1</v>
      </c>
    </row>
    <row r="804" spans="1:13">
      <c r="A804" s="8">
        <v>43265</v>
      </c>
      <c r="B804" s="9">
        <v>0.5180555555555556</v>
      </c>
      <c r="C804" s="10" t="str">
        <f>"FES1162629550"</f>
        <v>FES1162629550</v>
      </c>
      <c r="D804" s="10" t="s">
        <v>19</v>
      </c>
      <c r="E804" s="10" t="s">
        <v>188</v>
      </c>
      <c r="F804" s="10" t="str">
        <f>"217063680 "</f>
        <v xml:space="preserve">217063680 </v>
      </c>
      <c r="G804" s="10" t="str">
        <f t="shared" si="25"/>
        <v>ON1</v>
      </c>
      <c r="H804" s="10" t="s">
        <v>21</v>
      </c>
      <c r="I804" s="10" t="s">
        <v>189</v>
      </c>
      <c r="J804" s="10" t="str">
        <f>""</f>
        <v/>
      </c>
      <c r="K804" s="10" t="str">
        <f>"PFES1162629550_0001"</f>
        <v>PFES1162629550_0001</v>
      </c>
      <c r="L804" s="10">
        <v>1</v>
      </c>
      <c r="M804" s="10">
        <v>1</v>
      </c>
    </row>
    <row r="805" spans="1:13">
      <c r="A805" s="8">
        <v>43265</v>
      </c>
      <c r="B805" s="9">
        <v>0.5180555555555556</v>
      </c>
      <c r="C805" s="10" t="str">
        <f>"FES1162629557"</f>
        <v>FES1162629557</v>
      </c>
      <c r="D805" s="10" t="s">
        <v>19</v>
      </c>
      <c r="E805" s="10" t="s">
        <v>395</v>
      </c>
      <c r="F805" s="10" t="str">
        <f>"2170636592 "</f>
        <v xml:space="preserve">2170636592 </v>
      </c>
      <c r="G805" s="10" t="str">
        <f t="shared" si="25"/>
        <v>ON1</v>
      </c>
      <c r="H805" s="10" t="s">
        <v>21</v>
      </c>
      <c r="I805" s="10" t="s">
        <v>396</v>
      </c>
      <c r="J805" s="10" t="str">
        <f>""</f>
        <v/>
      </c>
      <c r="K805" s="10" t="str">
        <f>"PFES1162629557_0001"</f>
        <v>PFES1162629557_0001</v>
      </c>
      <c r="L805" s="10">
        <v>1</v>
      </c>
      <c r="M805" s="10">
        <v>1</v>
      </c>
    </row>
    <row r="806" spans="1:13">
      <c r="A806" s="8">
        <v>43265</v>
      </c>
      <c r="B806" s="9">
        <v>0.51736111111111105</v>
      </c>
      <c r="C806" s="10" t="str">
        <f>"FES1162629631"</f>
        <v>FES1162629631</v>
      </c>
      <c r="D806" s="10" t="s">
        <v>19</v>
      </c>
      <c r="E806" s="10" t="s">
        <v>123</v>
      </c>
      <c r="F806" s="10" t="str">
        <f>"2170636643 "</f>
        <v xml:space="preserve">2170636643 </v>
      </c>
      <c r="G806" s="10" t="str">
        <f t="shared" si="25"/>
        <v>ON1</v>
      </c>
      <c r="H806" s="10" t="s">
        <v>21</v>
      </c>
      <c r="I806" s="10" t="s">
        <v>51</v>
      </c>
      <c r="J806" s="10" t="str">
        <f>""</f>
        <v/>
      </c>
      <c r="K806" s="10" t="str">
        <f>"PFES1162629631_0001"</f>
        <v>PFES1162629631_0001</v>
      </c>
      <c r="L806" s="10">
        <v>1</v>
      </c>
      <c r="M806" s="10">
        <v>1</v>
      </c>
    </row>
    <row r="807" spans="1:13">
      <c r="A807" s="8">
        <v>43265</v>
      </c>
      <c r="B807" s="9">
        <v>0.51736111111111105</v>
      </c>
      <c r="C807" s="10" t="str">
        <f>"FES1162629538"</f>
        <v>FES1162629538</v>
      </c>
      <c r="D807" s="10" t="s">
        <v>19</v>
      </c>
      <c r="E807" s="10" t="s">
        <v>67</v>
      </c>
      <c r="F807" s="10" t="str">
        <f>"2170636591 "</f>
        <v xml:space="preserve">2170636591 </v>
      </c>
      <c r="G807" s="10" t="str">
        <f t="shared" si="25"/>
        <v>ON1</v>
      </c>
      <c r="H807" s="10" t="s">
        <v>21</v>
      </c>
      <c r="I807" s="10" t="s">
        <v>46</v>
      </c>
      <c r="J807" s="10" t="str">
        <f>""</f>
        <v/>
      </c>
      <c r="K807" s="10" t="str">
        <f>"PFES1162629538_0001"</f>
        <v>PFES1162629538_0001</v>
      </c>
      <c r="L807" s="10">
        <v>1</v>
      </c>
      <c r="M807" s="10">
        <v>1</v>
      </c>
    </row>
    <row r="808" spans="1:13">
      <c r="A808" s="8">
        <v>43265</v>
      </c>
      <c r="B808" s="9">
        <v>0.51736111111111105</v>
      </c>
      <c r="C808" s="10" t="str">
        <f>"FES1162629617"</f>
        <v>FES1162629617</v>
      </c>
      <c r="D808" s="10" t="s">
        <v>19</v>
      </c>
      <c r="E808" s="10" t="s">
        <v>67</v>
      </c>
      <c r="F808" s="10" t="str">
        <f>"2170636587 "</f>
        <v xml:space="preserve">2170636587 </v>
      </c>
      <c r="G808" s="10" t="str">
        <f t="shared" si="25"/>
        <v>ON1</v>
      </c>
      <c r="H808" s="10" t="s">
        <v>21</v>
      </c>
      <c r="I808" s="10" t="s">
        <v>238</v>
      </c>
      <c r="J808" s="10" t="str">
        <f>""</f>
        <v/>
      </c>
      <c r="K808" s="10" t="str">
        <f>"PFES1162629617_0001"</f>
        <v>PFES1162629617_0001</v>
      </c>
      <c r="L808" s="10">
        <v>1</v>
      </c>
      <c r="M808" s="10">
        <v>1</v>
      </c>
    </row>
    <row r="809" spans="1:13">
      <c r="A809" s="8">
        <v>43265</v>
      </c>
      <c r="B809" s="9">
        <v>0.51666666666666672</v>
      </c>
      <c r="C809" s="10" t="str">
        <f>"FES1162629549"</f>
        <v>FES1162629549</v>
      </c>
      <c r="D809" s="10" t="s">
        <v>19</v>
      </c>
      <c r="E809" s="10" t="s">
        <v>565</v>
      </c>
      <c r="F809" s="10" t="str">
        <f>"2170634562 "</f>
        <v xml:space="preserve">2170634562 </v>
      </c>
      <c r="G809" s="10" t="str">
        <f t="shared" si="25"/>
        <v>ON1</v>
      </c>
      <c r="H809" s="10" t="s">
        <v>21</v>
      </c>
      <c r="I809" s="10" t="s">
        <v>26</v>
      </c>
      <c r="J809" s="10" t="str">
        <f>""</f>
        <v/>
      </c>
      <c r="K809" s="10" t="str">
        <f>"PFES1162629549_0001"</f>
        <v>PFES1162629549_0001</v>
      </c>
      <c r="L809" s="10">
        <v>1</v>
      </c>
      <c r="M809" s="10">
        <v>1</v>
      </c>
    </row>
    <row r="810" spans="1:13">
      <c r="A810" s="8">
        <v>43265</v>
      </c>
      <c r="B810" s="9">
        <v>0.51597222222222217</v>
      </c>
      <c r="C810" s="10" t="str">
        <f>"FES1162629544"</f>
        <v>FES1162629544</v>
      </c>
      <c r="D810" s="10" t="s">
        <v>19</v>
      </c>
      <c r="E810" s="10" t="s">
        <v>411</v>
      </c>
      <c r="F810" s="10" t="str">
        <f>"21706343670 "</f>
        <v xml:space="preserve">21706343670 </v>
      </c>
      <c r="G810" s="10" t="str">
        <f t="shared" si="25"/>
        <v>ON1</v>
      </c>
      <c r="H810" s="10" t="s">
        <v>21</v>
      </c>
      <c r="I810" s="10" t="s">
        <v>28</v>
      </c>
      <c r="J810" s="10" t="str">
        <f>""</f>
        <v/>
      </c>
      <c r="K810" s="10" t="str">
        <f>"PFES1162629544_0001"</f>
        <v>PFES1162629544_0001</v>
      </c>
      <c r="L810" s="10">
        <v>1</v>
      </c>
      <c r="M810" s="10">
        <v>1</v>
      </c>
    </row>
    <row r="811" spans="1:13">
      <c r="A811" s="8">
        <v>43265</v>
      </c>
      <c r="B811" s="9">
        <v>0.51597222222222217</v>
      </c>
      <c r="C811" s="10" t="str">
        <f>"FES1162629536"</f>
        <v>FES1162629536</v>
      </c>
      <c r="D811" s="10" t="s">
        <v>19</v>
      </c>
      <c r="E811" s="10" t="s">
        <v>612</v>
      </c>
      <c r="F811" s="10" t="str">
        <f>"217063585 "</f>
        <v xml:space="preserve">217063585 </v>
      </c>
      <c r="G811" s="10" t="str">
        <f t="shared" si="25"/>
        <v>ON1</v>
      </c>
      <c r="H811" s="10" t="s">
        <v>21</v>
      </c>
      <c r="I811" s="10" t="s">
        <v>112</v>
      </c>
      <c r="J811" s="10" t="str">
        <f>""</f>
        <v/>
      </c>
      <c r="K811" s="10" t="str">
        <f>"PFES1162629536_0001"</f>
        <v>PFES1162629536_0001</v>
      </c>
      <c r="L811" s="10">
        <v>1</v>
      </c>
      <c r="M811" s="10">
        <v>1</v>
      </c>
    </row>
    <row r="812" spans="1:13">
      <c r="A812" s="8">
        <v>43265</v>
      </c>
      <c r="B812" s="9">
        <v>0.51597222222222217</v>
      </c>
      <c r="C812" s="10" t="str">
        <f>"FES1162629494"</f>
        <v>FES1162629494</v>
      </c>
      <c r="D812" s="10" t="s">
        <v>19</v>
      </c>
      <c r="E812" s="10" t="s">
        <v>145</v>
      </c>
      <c r="F812" s="10" t="str">
        <f>"2170634856 "</f>
        <v xml:space="preserve">2170634856 </v>
      </c>
      <c r="G812" s="10" t="str">
        <f t="shared" si="25"/>
        <v>ON1</v>
      </c>
      <c r="H812" s="10" t="s">
        <v>21</v>
      </c>
      <c r="I812" s="10" t="s">
        <v>146</v>
      </c>
      <c r="J812" s="10" t="str">
        <f>""</f>
        <v/>
      </c>
      <c r="K812" s="10" t="str">
        <f>"PFES1162629494_0001"</f>
        <v>PFES1162629494_0001</v>
      </c>
      <c r="L812" s="10">
        <v>1</v>
      </c>
      <c r="M812" s="10">
        <v>4</v>
      </c>
    </row>
    <row r="813" spans="1:13">
      <c r="A813" s="8">
        <v>43265</v>
      </c>
      <c r="B813" s="9">
        <v>0.51597222222222217</v>
      </c>
      <c r="C813" s="10" t="str">
        <f>"FES1162629546"</f>
        <v>FES1162629546</v>
      </c>
      <c r="D813" s="10" t="s">
        <v>19</v>
      </c>
      <c r="E813" s="10" t="s">
        <v>613</v>
      </c>
      <c r="F813" s="10" t="str">
        <f>"2170634482 "</f>
        <v xml:space="preserve">2170634482 </v>
      </c>
      <c r="G813" s="10" t="str">
        <f t="shared" si="25"/>
        <v>ON1</v>
      </c>
      <c r="H813" s="10" t="s">
        <v>21</v>
      </c>
      <c r="I813" s="10" t="s">
        <v>614</v>
      </c>
      <c r="J813" s="10" t="str">
        <f>""</f>
        <v/>
      </c>
      <c r="K813" s="10" t="str">
        <f>"PFES1162629546_0001"</f>
        <v>PFES1162629546_0001</v>
      </c>
      <c r="L813" s="10">
        <v>1</v>
      </c>
      <c r="M813" s="10">
        <v>1</v>
      </c>
    </row>
    <row r="814" spans="1:13">
      <c r="A814" s="8">
        <v>43265</v>
      </c>
      <c r="B814" s="9">
        <v>0.51527777777777783</v>
      </c>
      <c r="C814" s="10" t="str">
        <f>"FES1162629508"</f>
        <v>FES1162629508</v>
      </c>
      <c r="D814" s="10" t="s">
        <v>19</v>
      </c>
      <c r="E814" s="10" t="s">
        <v>52</v>
      </c>
      <c r="F814" s="10" t="str">
        <f>"2170636550 "</f>
        <v xml:space="preserve">2170636550 </v>
      </c>
      <c r="G814" s="10" t="str">
        <f t="shared" si="25"/>
        <v>ON1</v>
      </c>
      <c r="H814" s="10" t="s">
        <v>21</v>
      </c>
      <c r="I814" s="10" t="s">
        <v>53</v>
      </c>
      <c r="J814" s="10" t="str">
        <f>""</f>
        <v/>
      </c>
      <c r="K814" s="10" t="str">
        <f>"PFES1162629508_0001"</f>
        <v>PFES1162629508_0001</v>
      </c>
      <c r="L814" s="10">
        <v>1</v>
      </c>
      <c r="M814" s="10">
        <v>1</v>
      </c>
    </row>
    <row r="815" spans="1:13">
      <c r="A815" s="8">
        <v>43265</v>
      </c>
      <c r="B815" s="9">
        <v>0.51527777777777783</v>
      </c>
      <c r="C815" s="10" t="str">
        <f>"FES1162629484"</f>
        <v>FES1162629484</v>
      </c>
      <c r="D815" s="10" t="s">
        <v>19</v>
      </c>
      <c r="E815" s="10" t="s">
        <v>615</v>
      </c>
      <c r="F815" s="10" t="str">
        <f>"2170636557 "</f>
        <v xml:space="preserve">2170636557 </v>
      </c>
      <c r="G815" s="10" t="str">
        <f t="shared" si="25"/>
        <v>ON1</v>
      </c>
      <c r="H815" s="10" t="s">
        <v>21</v>
      </c>
      <c r="I815" s="10" t="s">
        <v>616</v>
      </c>
      <c r="J815" s="10" t="str">
        <f>""</f>
        <v/>
      </c>
      <c r="K815" s="10" t="str">
        <f>"PFES1162629484_0001"</f>
        <v>PFES1162629484_0001</v>
      </c>
      <c r="L815" s="10">
        <v>1</v>
      </c>
      <c r="M815" s="10">
        <v>1</v>
      </c>
    </row>
    <row r="816" spans="1:13">
      <c r="A816" s="8">
        <v>43265</v>
      </c>
      <c r="B816" s="9">
        <v>0.51458333333333328</v>
      </c>
      <c r="C816" s="10" t="str">
        <f>"FES1162629542"</f>
        <v>FES1162629542</v>
      </c>
      <c r="D816" s="10" t="s">
        <v>19</v>
      </c>
      <c r="E816" s="10" t="s">
        <v>617</v>
      </c>
      <c r="F816" s="10" t="str">
        <f>"2170633926 "</f>
        <v xml:space="preserve">2170633926 </v>
      </c>
      <c r="G816" s="10" t="str">
        <f t="shared" si="25"/>
        <v>ON1</v>
      </c>
      <c r="H816" s="10" t="s">
        <v>21</v>
      </c>
      <c r="I816" s="10" t="s">
        <v>618</v>
      </c>
      <c r="J816" s="10" t="str">
        <f>""</f>
        <v/>
      </c>
      <c r="K816" s="10" t="str">
        <f>"PFES1162629542_0001"</f>
        <v>PFES1162629542_0001</v>
      </c>
      <c r="L816" s="10">
        <v>1</v>
      </c>
      <c r="M816" s="10">
        <v>1</v>
      </c>
    </row>
    <row r="817" spans="1:13">
      <c r="A817" s="8">
        <v>43265</v>
      </c>
      <c r="B817" s="9">
        <v>0.51458333333333328</v>
      </c>
      <c r="C817" s="10" t="str">
        <f>"FES1162629509"</f>
        <v>FES1162629509</v>
      </c>
      <c r="D817" s="10" t="s">
        <v>19</v>
      </c>
      <c r="E817" s="10" t="s">
        <v>328</v>
      </c>
      <c r="F817" s="10" t="str">
        <f>"2170636554 "</f>
        <v xml:space="preserve">2170636554 </v>
      </c>
      <c r="G817" s="10" t="str">
        <f t="shared" si="25"/>
        <v>ON1</v>
      </c>
      <c r="H817" s="10" t="s">
        <v>21</v>
      </c>
      <c r="I817" s="10" t="s">
        <v>329</v>
      </c>
      <c r="J817" s="10" t="str">
        <f>""</f>
        <v/>
      </c>
      <c r="K817" s="10" t="str">
        <f>"PFES1162629509_0001"</f>
        <v>PFES1162629509_0001</v>
      </c>
      <c r="L817" s="10">
        <v>1</v>
      </c>
      <c r="M817" s="10">
        <v>1</v>
      </c>
    </row>
    <row r="818" spans="1:13">
      <c r="A818" s="8">
        <v>43265</v>
      </c>
      <c r="B818" s="9">
        <v>0.51388888888888895</v>
      </c>
      <c r="C818" s="10" t="str">
        <f>"FES1162629487"</f>
        <v>FES1162629487</v>
      </c>
      <c r="D818" s="10" t="s">
        <v>19</v>
      </c>
      <c r="E818" s="10" t="s">
        <v>167</v>
      </c>
      <c r="F818" s="10" t="str">
        <f>"2170631472 "</f>
        <v xml:space="preserve">2170631472 </v>
      </c>
      <c r="G818" s="10" t="str">
        <f t="shared" si="25"/>
        <v>ON1</v>
      </c>
      <c r="H818" s="10" t="s">
        <v>21</v>
      </c>
      <c r="I818" s="10" t="s">
        <v>168</v>
      </c>
      <c r="J818" s="10" t="str">
        <f>""</f>
        <v/>
      </c>
      <c r="K818" s="10" t="str">
        <f>"PFES1162629487_0001"</f>
        <v>PFES1162629487_0001</v>
      </c>
      <c r="L818" s="10">
        <v>1</v>
      </c>
      <c r="M818" s="10">
        <v>1</v>
      </c>
    </row>
    <row r="819" spans="1:13">
      <c r="A819" s="8">
        <v>43265</v>
      </c>
      <c r="B819" s="9">
        <v>0.51388888888888895</v>
      </c>
      <c r="C819" s="10" t="str">
        <f>"FES1162629489"</f>
        <v>FES1162629489</v>
      </c>
      <c r="D819" s="10" t="s">
        <v>19</v>
      </c>
      <c r="E819" s="10" t="s">
        <v>339</v>
      </c>
      <c r="F819" s="10" t="str">
        <f>"2170634168 "</f>
        <v xml:space="preserve">2170634168 </v>
      </c>
      <c r="G819" s="10" t="str">
        <f t="shared" si="25"/>
        <v>ON1</v>
      </c>
      <c r="H819" s="10" t="s">
        <v>21</v>
      </c>
      <c r="I819" s="10" t="s">
        <v>230</v>
      </c>
      <c r="J819" s="10" t="str">
        <f>""</f>
        <v/>
      </c>
      <c r="K819" s="10" t="str">
        <f>"PFES1162629489_0001"</f>
        <v>PFES1162629489_0001</v>
      </c>
      <c r="L819" s="10">
        <v>1</v>
      </c>
      <c r="M819" s="10">
        <v>1</v>
      </c>
    </row>
    <row r="820" spans="1:13">
      <c r="A820" s="8">
        <v>43265</v>
      </c>
      <c r="B820" s="9">
        <v>0.5131944444444444</v>
      </c>
      <c r="C820" s="10" t="str">
        <f>"FES1162629569"</f>
        <v>FES1162629569</v>
      </c>
      <c r="D820" s="10" t="s">
        <v>19</v>
      </c>
      <c r="E820" s="10" t="s">
        <v>619</v>
      </c>
      <c r="F820" s="10" t="str">
        <f>"2170636608 "</f>
        <v xml:space="preserve">2170636608 </v>
      </c>
      <c r="G820" s="10" t="str">
        <f t="shared" si="25"/>
        <v>ON1</v>
      </c>
      <c r="H820" s="10" t="s">
        <v>21</v>
      </c>
      <c r="I820" s="10" t="s">
        <v>32</v>
      </c>
      <c r="J820" s="10" t="str">
        <f>""</f>
        <v/>
      </c>
      <c r="K820" s="10" t="str">
        <f>"PFES1162629569_0001"</f>
        <v>PFES1162629569_0001</v>
      </c>
      <c r="L820" s="10">
        <v>1</v>
      </c>
      <c r="M820" s="10">
        <v>1</v>
      </c>
    </row>
    <row r="821" spans="1:13">
      <c r="A821" s="8">
        <v>43265</v>
      </c>
      <c r="B821" s="9">
        <v>0.5131944444444444</v>
      </c>
      <c r="C821" s="10" t="str">
        <f>"FES1162629574"</f>
        <v>FES1162629574</v>
      </c>
      <c r="D821" s="10" t="s">
        <v>19</v>
      </c>
      <c r="E821" s="10" t="s">
        <v>263</v>
      </c>
      <c r="F821" s="10" t="str">
        <f>"2170636617 "</f>
        <v xml:space="preserve">2170636617 </v>
      </c>
      <c r="G821" s="10" t="str">
        <f t="shared" si="25"/>
        <v>ON1</v>
      </c>
      <c r="H821" s="10" t="s">
        <v>21</v>
      </c>
      <c r="I821" s="10" t="s">
        <v>230</v>
      </c>
      <c r="J821" s="10" t="str">
        <f>""</f>
        <v/>
      </c>
      <c r="K821" s="10" t="str">
        <f>"PFES1162629574_0001"</f>
        <v>PFES1162629574_0001</v>
      </c>
      <c r="L821" s="10">
        <v>1</v>
      </c>
      <c r="M821" s="10">
        <v>1</v>
      </c>
    </row>
    <row r="822" spans="1:13">
      <c r="A822" s="8">
        <v>43265</v>
      </c>
      <c r="B822" s="9">
        <v>0.51250000000000007</v>
      </c>
      <c r="C822" s="10" t="str">
        <f>"FES1162629530"</f>
        <v>FES1162629530</v>
      </c>
      <c r="D822" s="10" t="s">
        <v>19</v>
      </c>
      <c r="E822" s="10" t="s">
        <v>416</v>
      </c>
      <c r="F822" s="10" t="str">
        <f>"2170636575 "</f>
        <v xml:space="preserve">2170636575 </v>
      </c>
      <c r="G822" s="10" t="str">
        <f t="shared" si="25"/>
        <v>ON1</v>
      </c>
      <c r="H822" s="10" t="s">
        <v>21</v>
      </c>
      <c r="I822" s="10" t="s">
        <v>265</v>
      </c>
      <c r="J822" s="10" t="str">
        <f>""</f>
        <v/>
      </c>
      <c r="K822" s="10" t="str">
        <f>"PFES1162629530_0001"</f>
        <v>PFES1162629530_0001</v>
      </c>
      <c r="L822" s="10">
        <v>1</v>
      </c>
      <c r="M822" s="10">
        <v>1</v>
      </c>
    </row>
    <row r="823" spans="1:13">
      <c r="A823" s="8">
        <v>43265</v>
      </c>
      <c r="B823" s="9">
        <v>0.51250000000000007</v>
      </c>
      <c r="C823" s="10" t="str">
        <f>"FES1162629635"</f>
        <v>FES1162629635</v>
      </c>
      <c r="D823" s="10" t="s">
        <v>19</v>
      </c>
      <c r="E823" s="10" t="s">
        <v>204</v>
      </c>
      <c r="F823" s="10" t="str">
        <f>"2170636649 "</f>
        <v xml:space="preserve">2170636649 </v>
      </c>
      <c r="G823" s="10" t="str">
        <f t="shared" si="25"/>
        <v>ON1</v>
      </c>
      <c r="H823" s="10" t="s">
        <v>21</v>
      </c>
      <c r="I823" s="10" t="s">
        <v>205</v>
      </c>
      <c r="J823" s="10" t="str">
        <f>""</f>
        <v/>
      </c>
      <c r="K823" s="10" t="str">
        <f>"PFES1162629635_0001"</f>
        <v>PFES1162629635_0001</v>
      </c>
      <c r="L823" s="10">
        <v>1</v>
      </c>
      <c r="M823" s="10">
        <v>1</v>
      </c>
    </row>
    <row r="824" spans="1:13">
      <c r="A824" s="8">
        <v>43265</v>
      </c>
      <c r="B824" s="9">
        <v>0.51180555555555551</v>
      </c>
      <c r="C824" s="10" t="str">
        <f>"FES1162629632"</f>
        <v>FES1162629632</v>
      </c>
      <c r="D824" s="10" t="s">
        <v>19</v>
      </c>
      <c r="E824" s="10" t="s">
        <v>289</v>
      </c>
      <c r="F824" s="10" t="str">
        <f>"2170636645 "</f>
        <v xml:space="preserve">2170636645 </v>
      </c>
      <c r="G824" s="10" t="str">
        <f t="shared" si="25"/>
        <v>ON1</v>
      </c>
      <c r="H824" s="10" t="s">
        <v>21</v>
      </c>
      <c r="I824" s="10" t="s">
        <v>290</v>
      </c>
      <c r="J824" s="10" t="str">
        <f>""</f>
        <v/>
      </c>
      <c r="K824" s="10" t="str">
        <f>"PFES1162629632_0001"</f>
        <v>PFES1162629632_0001</v>
      </c>
      <c r="L824" s="10">
        <v>1</v>
      </c>
      <c r="M824" s="10">
        <v>1</v>
      </c>
    </row>
    <row r="825" spans="1:13">
      <c r="A825" s="8">
        <v>43265</v>
      </c>
      <c r="B825" s="9">
        <v>0.51180555555555551</v>
      </c>
      <c r="C825" s="10" t="str">
        <f>"FES1162629512"</f>
        <v>FES1162629512</v>
      </c>
      <c r="D825" s="10" t="s">
        <v>19</v>
      </c>
      <c r="E825" s="10" t="s">
        <v>145</v>
      </c>
      <c r="F825" s="10" t="str">
        <f>"2170636565 "</f>
        <v xml:space="preserve">2170636565 </v>
      </c>
      <c r="G825" s="10" t="str">
        <f t="shared" si="25"/>
        <v>ON1</v>
      </c>
      <c r="H825" s="10" t="s">
        <v>21</v>
      </c>
      <c r="I825" s="10" t="s">
        <v>146</v>
      </c>
      <c r="J825" s="10" t="str">
        <f>""</f>
        <v/>
      </c>
      <c r="K825" s="10" t="str">
        <f>"PFES1162629512_0001"</f>
        <v>PFES1162629512_0001</v>
      </c>
      <c r="L825" s="10">
        <v>1</v>
      </c>
      <c r="M825" s="10">
        <v>7</v>
      </c>
    </row>
    <row r="826" spans="1:13">
      <c r="A826" s="8">
        <v>43265</v>
      </c>
      <c r="B826" s="9">
        <v>0.51180555555555551</v>
      </c>
      <c r="C826" s="10" t="str">
        <f>"FES1162629551"</f>
        <v>FES1162629551</v>
      </c>
      <c r="D826" s="10" t="s">
        <v>19</v>
      </c>
      <c r="E826" s="10" t="s">
        <v>520</v>
      </c>
      <c r="F826" s="10" t="str">
        <f>"2170634617 "</f>
        <v xml:space="preserve">2170634617 </v>
      </c>
      <c r="G826" s="10" t="str">
        <f t="shared" si="25"/>
        <v>ON1</v>
      </c>
      <c r="H826" s="10" t="s">
        <v>21</v>
      </c>
      <c r="I826" s="10" t="s">
        <v>521</v>
      </c>
      <c r="J826" s="10" t="str">
        <f>""</f>
        <v/>
      </c>
      <c r="K826" s="10" t="str">
        <f>"PFES1162629551_0001"</f>
        <v>PFES1162629551_0001</v>
      </c>
      <c r="L826" s="10">
        <v>1</v>
      </c>
      <c r="M826" s="10">
        <v>1</v>
      </c>
    </row>
    <row r="827" spans="1:13">
      <c r="A827" s="8">
        <v>43265</v>
      </c>
      <c r="B827" s="9">
        <v>0.51111111111111118</v>
      </c>
      <c r="C827" s="10" t="str">
        <f>"FES1162629488"</f>
        <v>FES1162629488</v>
      </c>
      <c r="D827" s="10" t="s">
        <v>19</v>
      </c>
      <c r="E827" s="10" t="s">
        <v>221</v>
      </c>
      <c r="F827" s="10" t="str">
        <f>"2170633909 "</f>
        <v xml:space="preserve">2170633909 </v>
      </c>
      <c r="G827" s="10" t="str">
        <f t="shared" si="25"/>
        <v>ON1</v>
      </c>
      <c r="H827" s="10" t="s">
        <v>21</v>
      </c>
      <c r="I827" s="10" t="s">
        <v>222</v>
      </c>
      <c r="J827" s="10" t="str">
        <f>""</f>
        <v/>
      </c>
      <c r="K827" s="10" t="str">
        <f>"PFES1162629488_0001"</f>
        <v>PFES1162629488_0001</v>
      </c>
      <c r="L827" s="10">
        <v>1</v>
      </c>
      <c r="M827" s="10">
        <v>1</v>
      </c>
    </row>
    <row r="828" spans="1:13">
      <c r="A828" s="8">
        <v>43266</v>
      </c>
      <c r="B828" s="9">
        <v>0.62569444444444444</v>
      </c>
      <c r="C828" s="10" t="str">
        <f>"FES1162630012"</f>
        <v>FES1162630012</v>
      </c>
      <c r="D828" s="10" t="s">
        <v>19</v>
      </c>
      <c r="E828" s="10" t="s">
        <v>278</v>
      </c>
      <c r="F828" s="10" t="str">
        <f>"2170636969 "</f>
        <v xml:space="preserve">2170636969 </v>
      </c>
      <c r="G828" s="10" t="str">
        <f>"SAT"</f>
        <v>SAT</v>
      </c>
      <c r="H828" s="10" t="s">
        <v>21</v>
      </c>
      <c r="I828" s="10" t="s">
        <v>279</v>
      </c>
      <c r="J828" s="10" t="str">
        <f>""</f>
        <v/>
      </c>
      <c r="K828" s="10" t="str">
        <f>"PFES1162630012_0001"</f>
        <v>PFES1162630012_0001</v>
      </c>
      <c r="L828" s="10">
        <v>1</v>
      </c>
      <c r="M828" s="10">
        <v>3</v>
      </c>
    </row>
    <row r="829" spans="1:13">
      <c r="A829" s="8">
        <v>43266</v>
      </c>
      <c r="B829" s="9">
        <v>0.62430555555555556</v>
      </c>
      <c r="C829" s="10" t="str">
        <f>"FES1162629876"</f>
        <v>FES1162629876</v>
      </c>
      <c r="D829" s="10" t="s">
        <v>19</v>
      </c>
      <c r="E829" s="10" t="s">
        <v>620</v>
      </c>
      <c r="F829" s="10" t="str">
        <f>"2170635841 "</f>
        <v xml:space="preserve">2170635841 </v>
      </c>
      <c r="G829" s="10" t="str">
        <f>"ON1"</f>
        <v>ON1</v>
      </c>
      <c r="H829" s="10" t="s">
        <v>21</v>
      </c>
      <c r="I829" s="10" t="s">
        <v>156</v>
      </c>
      <c r="J829" s="10" t="str">
        <f>""</f>
        <v/>
      </c>
      <c r="K829" s="10" t="str">
        <f>"PFES1162629876_0001"</f>
        <v>PFES1162629876_0001</v>
      </c>
      <c r="L829" s="10">
        <v>1</v>
      </c>
      <c r="M829" s="10">
        <v>2</v>
      </c>
    </row>
    <row r="830" spans="1:13">
      <c r="A830" s="8">
        <v>43266</v>
      </c>
      <c r="B830" s="9">
        <v>0.62361111111111112</v>
      </c>
      <c r="C830" s="10" t="str">
        <f>"FES1162629854"</f>
        <v>FES1162629854</v>
      </c>
      <c r="D830" s="10" t="s">
        <v>19</v>
      </c>
      <c r="E830" s="10" t="s">
        <v>621</v>
      </c>
      <c r="F830" s="10" t="str">
        <f>"2170634523 "</f>
        <v xml:space="preserve">2170634523 </v>
      </c>
      <c r="G830" s="10" t="str">
        <f>"DBC"</f>
        <v>DBC</v>
      </c>
      <c r="H830" s="10" t="s">
        <v>21</v>
      </c>
      <c r="I830" s="10" t="s">
        <v>622</v>
      </c>
      <c r="J830" s="10" t="str">
        <f>""</f>
        <v/>
      </c>
      <c r="K830" s="10" t="str">
        <f>"PFES1162629854_0001"</f>
        <v>PFES1162629854_0001</v>
      </c>
      <c r="L830" s="10">
        <v>1</v>
      </c>
      <c r="M830" s="10">
        <v>20</v>
      </c>
    </row>
    <row r="831" spans="1:13">
      <c r="A831" s="8">
        <v>43266</v>
      </c>
      <c r="B831" s="9">
        <v>0.62291666666666667</v>
      </c>
      <c r="C831" s="10" t="str">
        <f>"FES1162629962"</f>
        <v>FES1162629962</v>
      </c>
      <c r="D831" s="10" t="s">
        <v>19</v>
      </c>
      <c r="E831" s="10" t="s">
        <v>623</v>
      </c>
      <c r="F831" s="10" t="str">
        <f>"2170636968 "</f>
        <v xml:space="preserve">2170636968 </v>
      </c>
      <c r="G831" s="10" t="str">
        <f t="shared" ref="G831:G851" si="26">"ON1"</f>
        <v>ON1</v>
      </c>
      <c r="H831" s="10" t="s">
        <v>21</v>
      </c>
      <c r="I831" s="10" t="s">
        <v>624</v>
      </c>
      <c r="J831" s="10" t="str">
        <f>""</f>
        <v/>
      </c>
      <c r="K831" s="10" t="str">
        <f>"PFES1162629962_0001"</f>
        <v>PFES1162629962_0001</v>
      </c>
      <c r="L831" s="10">
        <v>1</v>
      </c>
      <c r="M831" s="10">
        <v>1</v>
      </c>
    </row>
    <row r="832" spans="1:13">
      <c r="A832" s="8">
        <v>43266</v>
      </c>
      <c r="B832" s="9">
        <v>0.62291666666666667</v>
      </c>
      <c r="C832" s="10" t="str">
        <f>"FES1162630001"</f>
        <v>FES1162630001</v>
      </c>
      <c r="D832" s="10" t="s">
        <v>19</v>
      </c>
      <c r="E832" s="10" t="s">
        <v>67</v>
      </c>
      <c r="F832" s="10" t="str">
        <f>"2170637004 "</f>
        <v xml:space="preserve">2170637004 </v>
      </c>
      <c r="G832" s="10" t="str">
        <f t="shared" si="26"/>
        <v>ON1</v>
      </c>
      <c r="H832" s="10" t="s">
        <v>21</v>
      </c>
      <c r="I832" s="10" t="s">
        <v>238</v>
      </c>
      <c r="J832" s="10" t="str">
        <f>""</f>
        <v/>
      </c>
      <c r="K832" s="10" t="str">
        <f>"PFES1162630001_0001"</f>
        <v>PFES1162630001_0001</v>
      </c>
      <c r="L832" s="10">
        <v>1</v>
      </c>
      <c r="M832" s="10">
        <v>6</v>
      </c>
    </row>
    <row r="833" spans="1:13">
      <c r="A833" s="8">
        <v>43266</v>
      </c>
      <c r="B833" s="9">
        <v>0.62291666666666667</v>
      </c>
      <c r="C833" s="10" t="str">
        <f>"FES1162629782"</f>
        <v>FES1162629782</v>
      </c>
      <c r="D833" s="10" t="s">
        <v>19</v>
      </c>
      <c r="E833" s="10" t="s">
        <v>123</v>
      </c>
      <c r="F833" s="10" t="str">
        <f>"217062685 "</f>
        <v xml:space="preserve">217062685 </v>
      </c>
      <c r="G833" s="10" t="str">
        <f t="shared" si="26"/>
        <v>ON1</v>
      </c>
      <c r="H833" s="10" t="s">
        <v>21</v>
      </c>
      <c r="I833" s="10" t="s">
        <v>237</v>
      </c>
      <c r="J833" s="10" t="str">
        <f>""</f>
        <v/>
      </c>
      <c r="K833" s="10" t="str">
        <f>"PFES1162629782_0001"</f>
        <v>PFES1162629782_0001</v>
      </c>
      <c r="L833" s="10">
        <v>1</v>
      </c>
      <c r="M833" s="10">
        <v>1</v>
      </c>
    </row>
    <row r="834" spans="1:13">
      <c r="A834" s="8">
        <v>43266</v>
      </c>
      <c r="B834" s="9">
        <v>0.62222222222222223</v>
      </c>
      <c r="C834" s="10" t="str">
        <f>"FES1162629964"</f>
        <v>FES1162629964</v>
      </c>
      <c r="D834" s="10" t="s">
        <v>19</v>
      </c>
      <c r="E834" s="10" t="s">
        <v>289</v>
      </c>
      <c r="F834" s="10" t="str">
        <f>"2170636968 "</f>
        <v xml:space="preserve">2170636968 </v>
      </c>
      <c r="G834" s="10" t="str">
        <f t="shared" si="26"/>
        <v>ON1</v>
      </c>
      <c r="H834" s="10" t="s">
        <v>21</v>
      </c>
      <c r="I834" s="10" t="s">
        <v>290</v>
      </c>
      <c r="J834" s="10" t="str">
        <f>""</f>
        <v/>
      </c>
      <c r="K834" s="10" t="str">
        <f>"PFES1162629964_0001"</f>
        <v>PFES1162629964_0001</v>
      </c>
      <c r="L834" s="10">
        <v>1</v>
      </c>
      <c r="M834" s="10">
        <v>1</v>
      </c>
    </row>
    <row r="835" spans="1:13">
      <c r="A835" s="8">
        <v>43266</v>
      </c>
      <c r="B835" s="9">
        <v>0.62222222222222223</v>
      </c>
      <c r="C835" s="10" t="str">
        <f>"FES1162629897"</f>
        <v>FES1162629897</v>
      </c>
      <c r="D835" s="10" t="s">
        <v>19</v>
      </c>
      <c r="E835" s="10" t="s">
        <v>33</v>
      </c>
      <c r="F835" s="10" t="str">
        <f>"2170636902 "</f>
        <v xml:space="preserve">2170636902 </v>
      </c>
      <c r="G835" s="10" t="str">
        <f t="shared" si="26"/>
        <v>ON1</v>
      </c>
      <c r="H835" s="10" t="s">
        <v>21</v>
      </c>
      <c r="I835" s="10" t="s">
        <v>34</v>
      </c>
      <c r="J835" s="10" t="str">
        <f>""</f>
        <v/>
      </c>
      <c r="K835" s="10" t="str">
        <f>"PFES1162629897_0001"</f>
        <v>PFES1162629897_0001</v>
      </c>
      <c r="L835" s="10">
        <v>1</v>
      </c>
      <c r="M835" s="10">
        <v>1</v>
      </c>
    </row>
    <row r="836" spans="1:13">
      <c r="A836" s="8">
        <v>43266</v>
      </c>
      <c r="B836" s="9">
        <v>0.61805555555555558</v>
      </c>
      <c r="C836" s="10" t="str">
        <f>"FES1162630007"</f>
        <v>FES1162630007</v>
      </c>
      <c r="D836" s="10" t="s">
        <v>19</v>
      </c>
      <c r="E836" s="10" t="s">
        <v>625</v>
      </c>
      <c r="F836" s="10" t="str">
        <f>"2170637013 "</f>
        <v xml:space="preserve">2170637013 </v>
      </c>
      <c r="G836" s="10" t="str">
        <f t="shared" si="26"/>
        <v>ON1</v>
      </c>
      <c r="H836" s="10" t="s">
        <v>21</v>
      </c>
      <c r="I836" s="10" t="s">
        <v>36</v>
      </c>
      <c r="J836" s="10" t="str">
        <f>""</f>
        <v/>
      </c>
      <c r="K836" s="10" t="str">
        <f>"PFES1162630007_0001"</f>
        <v>PFES1162630007_0001</v>
      </c>
      <c r="L836" s="10">
        <v>1</v>
      </c>
      <c r="M836" s="10">
        <v>16</v>
      </c>
    </row>
    <row r="837" spans="1:13">
      <c r="A837" s="8">
        <v>43266</v>
      </c>
      <c r="B837" s="9">
        <v>0.6166666666666667</v>
      </c>
      <c r="C837" s="10" t="str">
        <f>"FES1162630004"</f>
        <v>FES1162630004</v>
      </c>
      <c r="D837" s="10" t="s">
        <v>19</v>
      </c>
      <c r="E837" s="10" t="s">
        <v>626</v>
      </c>
      <c r="F837" s="10" t="str">
        <f>"2170636364 "</f>
        <v xml:space="preserve">2170636364 </v>
      </c>
      <c r="G837" s="10" t="str">
        <f t="shared" si="26"/>
        <v>ON1</v>
      </c>
      <c r="H837" s="10" t="s">
        <v>21</v>
      </c>
      <c r="I837" s="10" t="s">
        <v>627</v>
      </c>
      <c r="J837" s="10" t="str">
        <f>""</f>
        <v/>
      </c>
      <c r="K837" s="10" t="str">
        <f>"PFES1162630004_0001"</f>
        <v>PFES1162630004_0001</v>
      </c>
      <c r="L837" s="10">
        <v>1</v>
      </c>
      <c r="M837" s="10">
        <v>2</v>
      </c>
    </row>
    <row r="838" spans="1:13">
      <c r="A838" s="8">
        <v>43266</v>
      </c>
      <c r="B838" s="9">
        <v>0.61527777777777781</v>
      </c>
      <c r="C838" s="10" t="str">
        <f>"FES1162629955"</f>
        <v>FES1162629955</v>
      </c>
      <c r="D838" s="10" t="s">
        <v>19</v>
      </c>
      <c r="E838" s="10" t="s">
        <v>355</v>
      </c>
      <c r="F838" s="10" t="str">
        <f>"2170636958 "</f>
        <v xml:space="preserve">2170636958 </v>
      </c>
      <c r="G838" s="10" t="str">
        <f t="shared" si="26"/>
        <v>ON1</v>
      </c>
      <c r="H838" s="10" t="s">
        <v>21</v>
      </c>
      <c r="I838" s="10" t="s">
        <v>265</v>
      </c>
      <c r="J838" s="10" t="str">
        <f>""</f>
        <v/>
      </c>
      <c r="K838" s="10" t="str">
        <f>"PFES1162629955_0001"</f>
        <v>PFES1162629955_0001</v>
      </c>
      <c r="L838" s="10">
        <v>1</v>
      </c>
      <c r="M838" s="10">
        <v>1</v>
      </c>
    </row>
    <row r="839" spans="1:13">
      <c r="A839" s="8">
        <v>43266</v>
      </c>
      <c r="B839" s="9">
        <v>0.61458333333333337</v>
      </c>
      <c r="C839" s="10" t="str">
        <f>"FES1162629996"</f>
        <v>FES1162629996</v>
      </c>
      <c r="D839" s="10" t="s">
        <v>19</v>
      </c>
      <c r="E839" s="10" t="s">
        <v>286</v>
      </c>
      <c r="F839" s="10" t="str">
        <f>"217063699 "</f>
        <v xml:space="preserve">217063699 </v>
      </c>
      <c r="G839" s="10" t="str">
        <f t="shared" si="26"/>
        <v>ON1</v>
      </c>
      <c r="H839" s="10" t="s">
        <v>21</v>
      </c>
      <c r="I839" s="10" t="s">
        <v>79</v>
      </c>
      <c r="J839" s="10" t="str">
        <f>""</f>
        <v/>
      </c>
      <c r="K839" s="10" t="str">
        <f>"PFES1162629996_0001"</f>
        <v>PFES1162629996_0001</v>
      </c>
      <c r="L839" s="10">
        <v>1</v>
      </c>
      <c r="M839" s="10">
        <v>1</v>
      </c>
    </row>
    <row r="840" spans="1:13">
      <c r="A840" s="8">
        <v>43266</v>
      </c>
      <c r="B840" s="9">
        <v>0.61458333333333337</v>
      </c>
      <c r="C840" s="10" t="str">
        <f>"FES1162629960"</f>
        <v>FES1162629960</v>
      </c>
      <c r="D840" s="10" t="s">
        <v>19</v>
      </c>
      <c r="E840" s="10" t="s">
        <v>33</v>
      </c>
      <c r="F840" s="10" t="str">
        <f>"2170636963 "</f>
        <v xml:space="preserve">2170636963 </v>
      </c>
      <c r="G840" s="10" t="str">
        <f t="shared" si="26"/>
        <v>ON1</v>
      </c>
      <c r="H840" s="10" t="s">
        <v>21</v>
      </c>
      <c r="I840" s="10" t="s">
        <v>34</v>
      </c>
      <c r="J840" s="10" t="str">
        <f>""</f>
        <v/>
      </c>
      <c r="K840" s="10" t="str">
        <f>"PFES1162629960_0001"</f>
        <v>PFES1162629960_0001</v>
      </c>
      <c r="L840" s="10">
        <v>1</v>
      </c>
      <c r="M840" s="10">
        <v>3</v>
      </c>
    </row>
    <row r="841" spans="1:13">
      <c r="A841" s="8">
        <v>43266</v>
      </c>
      <c r="B841" s="9">
        <v>0.61388888888888882</v>
      </c>
      <c r="C841" s="10" t="str">
        <f>"FES1162629985"</f>
        <v>FES1162629985</v>
      </c>
      <c r="D841" s="10" t="s">
        <v>19</v>
      </c>
      <c r="E841" s="10" t="s">
        <v>372</v>
      </c>
      <c r="F841" s="10" t="str">
        <f>"217063689 "</f>
        <v xml:space="preserve">217063689 </v>
      </c>
      <c r="G841" s="10" t="str">
        <f t="shared" si="26"/>
        <v>ON1</v>
      </c>
      <c r="H841" s="10" t="s">
        <v>21</v>
      </c>
      <c r="I841" s="10" t="s">
        <v>93</v>
      </c>
      <c r="J841" s="10" t="str">
        <f>""</f>
        <v/>
      </c>
      <c r="K841" s="10" t="str">
        <f>"PFES1162629985_0001"</f>
        <v>PFES1162629985_0001</v>
      </c>
      <c r="L841" s="10">
        <v>1</v>
      </c>
      <c r="M841" s="10">
        <v>1</v>
      </c>
    </row>
    <row r="842" spans="1:13">
      <c r="A842" s="8">
        <v>43266</v>
      </c>
      <c r="B842" s="9">
        <v>0.61388888888888882</v>
      </c>
      <c r="C842" s="10" t="str">
        <f>"FES1162629987"</f>
        <v>FES1162629987</v>
      </c>
      <c r="D842" s="10" t="s">
        <v>19</v>
      </c>
      <c r="E842" s="10" t="s">
        <v>124</v>
      </c>
      <c r="F842" s="10" t="str">
        <f>"21706398 "</f>
        <v xml:space="preserve">21706398 </v>
      </c>
      <c r="G842" s="10" t="str">
        <f t="shared" si="26"/>
        <v>ON1</v>
      </c>
      <c r="H842" s="10" t="s">
        <v>21</v>
      </c>
      <c r="I842" s="10" t="s">
        <v>40</v>
      </c>
      <c r="J842" s="10" t="str">
        <f>""</f>
        <v/>
      </c>
      <c r="K842" s="10" t="str">
        <f>"PFES1162629987_0001"</f>
        <v>PFES1162629987_0001</v>
      </c>
      <c r="L842" s="10">
        <v>1</v>
      </c>
      <c r="M842" s="10">
        <v>1</v>
      </c>
    </row>
    <row r="843" spans="1:13">
      <c r="A843" s="8">
        <v>43266</v>
      </c>
      <c r="B843" s="9">
        <v>0.61319444444444449</v>
      </c>
      <c r="C843" s="10" t="str">
        <f>"FES1162629980"</f>
        <v>FES1162629980</v>
      </c>
      <c r="D843" s="10" t="s">
        <v>19</v>
      </c>
      <c r="E843" s="10" t="s">
        <v>474</v>
      </c>
      <c r="F843" s="10" t="str">
        <f>"2170636523 "</f>
        <v xml:space="preserve">2170636523 </v>
      </c>
      <c r="G843" s="10" t="str">
        <f t="shared" si="26"/>
        <v>ON1</v>
      </c>
      <c r="H843" s="10" t="s">
        <v>21</v>
      </c>
      <c r="I843" s="10" t="s">
        <v>228</v>
      </c>
      <c r="J843" s="10" t="str">
        <f>""</f>
        <v/>
      </c>
      <c r="K843" s="10" t="str">
        <f>"PFES1162629980_0001"</f>
        <v>PFES1162629980_0001</v>
      </c>
      <c r="L843" s="10">
        <v>1</v>
      </c>
      <c r="M843" s="10">
        <v>1</v>
      </c>
    </row>
    <row r="844" spans="1:13">
      <c r="A844" s="8">
        <v>43266</v>
      </c>
      <c r="B844" s="9">
        <v>0.61319444444444449</v>
      </c>
      <c r="C844" s="10" t="str">
        <f>"FES1162629994"</f>
        <v>FES1162629994</v>
      </c>
      <c r="D844" s="10" t="s">
        <v>19</v>
      </c>
      <c r="E844" s="10" t="s">
        <v>434</v>
      </c>
      <c r="F844" s="10" t="str">
        <f>"2170636995 "</f>
        <v xml:space="preserve">2170636995 </v>
      </c>
      <c r="G844" s="10" t="str">
        <f t="shared" si="26"/>
        <v>ON1</v>
      </c>
      <c r="H844" s="10" t="s">
        <v>21</v>
      </c>
      <c r="I844" s="10" t="s">
        <v>349</v>
      </c>
      <c r="J844" s="10" t="str">
        <f>""</f>
        <v/>
      </c>
      <c r="K844" s="10" t="str">
        <f>"PFES1162629994_0001"</f>
        <v>PFES1162629994_0001</v>
      </c>
      <c r="L844" s="10">
        <v>1</v>
      </c>
      <c r="M844" s="10">
        <v>1</v>
      </c>
    </row>
    <row r="845" spans="1:13">
      <c r="A845" s="8">
        <v>43266</v>
      </c>
      <c r="B845" s="9">
        <v>0.61319444444444449</v>
      </c>
      <c r="C845" s="10" t="str">
        <f>"FES1162629993"</f>
        <v>FES1162629993</v>
      </c>
      <c r="D845" s="10" t="s">
        <v>19</v>
      </c>
      <c r="E845" s="10" t="s">
        <v>370</v>
      </c>
      <c r="F845" s="10" t="str">
        <f>"2170636993 "</f>
        <v xml:space="preserve">2170636993 </v>
      </c>
      <c r="G845" s="10" t="str">
        <f t="shared" si="26"/>
        <v>ON1</v>
      </c>
      <c r="H845" s="10" t="s">
        <v>21</v>
      </c>
      <c r="I845" s="10" t="s">
        <v>170</v>
      </c>
      <c r="J845" s="10" t="str">
        <f>""</f>
        <v/>
      </c>
      <c r="K845" s="10" t="str">
        <f>"PFES1162629993_0001"</f>
        <v>PFES1162629993_0001</v>
      </c>
      <c r="L845" s="10">
        <v>1</v>
      </c>
      <c r="M845" s="10">
        <v>1</v>
      </c>
    </row>
    <row r="846" spans="1:13">
      <c r="A846" s="8">
        <v>43266</v>
      </c>
      <c r="B846" s="9">
        <v>0.61249999999999993</v>
      </c>
      <c r="C846" s="10" t="str">
        <f>"FES1162629992"</f>
        <v>FES1162629992</v>
      </c>
      <c r="D846" s="10" t="s">
        <v>19</v>
      </c>
      <c r="E846" s="10" t="s">
        <v>124</v>
      </c>
      <c r="F846" s="10" t="str">
        <f>"2170636992 "</f>
        <v xml:space="preserve">2170636992 </v>
      </c>
      <c r="G846" s="10" t="str">
        <f t="shared" si="26"/>
        <v>ON1</v>
      </c>
      <c r="H846" s="10" t="s">
        <v>21</v>
      </c>
      <c r="I846" s="10" t="s">
        <v>40</v>
      </c>
      <c r="J846" s="10" t="str">
        <f>""</f>
        <v/>
      </c>
      <c r="K846" s="10" t="str">
        <f>"PFES1162629992_0001"</f>
        <v>PFES1162629992_0001</v>
      </c>
      <c r="L846" s="10">
        <v>1</v>
      </c>
      <c r="M846" s="10">
        <v>1</v>
      </c>
    </row>
    <row r="847" spans="1:13">
      <c r="A847" s="8">
        <v>43266</v>
      </c>
      <c r="B847" s="9">
        <v>0.61249999999999993</v>
      </c>
      <c r="C847" s="10" t="str">
        <f>"FES1162629936"</f>
        <v>FES1162629936</v>
      </c>
      <c r="D847" s="10" t="s">
        <v>19</v>
      </c>
      <c r="E847" s="10" t="s">
        <v>190</v>
      </c>
      <c r="F847" s="10" t="str">
        <f>"2170636932 "</f>
        <v xml:space="preserve">2170636932 </v>
      </c>
      <c r="G847" s="10" t="str">
        <f t="shared" si="26"/>
        <v>ON1</v>
      </c>
      <c r="H847" s="10" t="s">
        <v>21</v>
      </c>
      <c r="I847" s="10" t="s">
        <v>71</v>
      </c>
      <c r="J847" s="10" t="str">
        <f>""</f>
        <v/>
      </c>
      <c r="K847" s="10" t="str">
        <f>"PFES1162629936_0001"</f>
        <v>PFES1162629936_0001</v>
      </c>
      <c r="L847" s="10">
        <v>1</v>
      </c>
      <c r="M847" s="10">
        <v>1</v>
      </c>
    </row>
    <row r="848" spans="1:13">
      <c r="A848" s="8">
        <v>43266</v>
      </c>
      <c r="B848" s="9">
        <v>0.6118055555555556</v>
      </c>
      <c r="C848" s="10" t="str">
        <f>"FES1162629898"</f>
        <v>FES1162629898</v>
      </c>
      <c r="D848" s="10" t="s">
        <v>19</v>
      </c>
      <c r="E848" s="10" t="s">
        <v>67</v>
      </c>
      <c r="F848" s="10" t="str">
        <f>"2170636903 "</f>
        <v xml:space="preserve">2170636903 </v>
      </c>
      <c r="G848" s="10" t="str">
        <f t="shared" si="26"/>
        <v>ON1</v>
      </c>
      <c r="H848" s="10" t="s">
        <v>21</v>
      </c>
      <c r="I848" s="10" t="s">
        <v>32</v>
      </c>
      <c r="J848" s="10" t="str">
        <f>""</f>
        <v/>
      </c>
      <c r="K848" s="10" t="str">
        <f>"PFES1162629898_0001"</f>
        <v>PFES1162629898_0001</v>
      </c>
      <c r="L848" s="10">
        <v>1</v>
      </c>
      <c r="M848" s="10">
        <v>1</v>
      </c>
    </row>
    <row r="849" spans="1:13">
      <c r="A849" s="8">
        <v>43266</v>
      </c>
      <c r="B849" s="9">
        <v>0.6118055555555556</v>
      </c>
      <c r="C849" s="10" t="str">
        <f>"FES1162629774"</f>
        <v>FES1162629774</v>
      </c>
      <c r="D849" s="10" t="s">
        <v>19</v>
      </c>
      <c r="E849" s="10" t="s">
        <v>204</v>
      </c>
      <c r="F849" s="10" t="str">
        <f>"2170635396 "</f>
        <v xml:space="preserve">2170635396 </v>
      </c>
      <c r="G849" s="10" t="str">
        <f t="shared" si="26"/>
        <v>ON1</v>
      </c>
      <c r="H849" s="10" t="s">
        <v>21</v>
      </c>
      <c r="I849" s="10" t="s">
        <v>205</v>
      </c>
      <c r="J849" s="10" t="str">
        <f>""</f>
        <v/>
      </c>
      <c r="K849" s="10" t="str">
        <f>"PFES1162629774_0001"</f>
        <v>PFES1162629774_0001</v>
      </c>
      <c r="L849" s="10">
        <v>1</v>
      </c>
      <c r="M849" s="10">
        <v>1</v>
      </c>
    </row>
    <row r="850" spans="1:13">
      <c r="A850" s="8">
        <v>43266</v>
      </c>
      <c r="B850" s="9">
        <v>0.61111111111111105</v>
      </c>
      <c r="C850" s="10" t="str">
        <f>"FES1162629961"</f>
        <v>FES1162629961</v>
      </c>
      <c r="D850" s="10" t="s">
        <v>19</v>
      </c>
      <c r="E850" s="10" t="s">
        <v>263</v>
      </c>
      <c r="F850" s="10" t="str">
        <f>"2170636964 "</f>
        <v xml:space="preserve">2170636964 </v>
      </c>
      <c r="G850" s="10" t="str">
        <f t="shared" si="26"/>
        <v>ON1</v>
      </c>
      <c r="H850" s="10" t="s">
        <v>21</v>
      </c>
      <c r="I850" s="10" t="s">
        <v>230</v>
      </c>
      <c r="J850" s="10" t="str">
        <f>""</f>
        <v/>
      </c>
      <c r="K850" s="10" t="str">
        <f>"PFES1162629961_0001"</f>
        <v>PFES1162629961_0001</v>
      </c>
      <c r="L850" s="10">
        <v>1</v>
      </c>
      <c r="M850" s="10">
        <v>1</v>
      </c>
    </row>
    <row r="851" spans="1:13">
      <c r="A851" s="8">
        <v>43266</v>
      </c>
      <c r="B851" s="9">
        <v>0.61111111111111105</v>
      </c>
      <c r="C851" s="10" t="str">
        <f>"FES1162629893"</f>
        <v>FES1162629893</v>
      </c>
      <c r="D851" s="10" t="s">
        <v>19</v>
      </c>
      <c r="E851" s="10" t="s">
        <v>597</v>
      </c>
      <c r="F851" s="10" t="str">
        <f>"2170639600 "</f>
        <v xml:space="preserve">2170639600 </v>
      </c>
      <c r="G851" s="10" t="str">
        <f t="shared" si="26"/>
        <v>ON1</v>
      </c>
      <c r="H851" s="10" t="s">
        <v>21</v>
      </c>
      <c r="I851" s="10" t="s">
        <v>290</v>
      </c>
      <c r="J851" s="10" t="str">
        <f>""</f>
        <v/>
      </c>
      <c r="K851" s="10" t="str">
        <f>"PFES1162629893_0001"</f>
        <v>PFES1162629893_0001</v>
      </c>
      <c r="L851" s="10">
        <v>1</v>
      </c>
      <c r="M851" s="10">
        <v>1</v>
      </c>
    </row>
    <row r="852" spans="1:13">
      <c r="A852" s="8">
        <v>43266</v>
      </c>
      <c r="B852" s="9">
        <v>0.61111111111111105</v>
      </c>
      <c r="C852" s="10" t="str">
        <f>"FES1162630000"</f>
        <v>FES1162630000</v>
      </c>
      <c r="D852" s="10" t="s">
        <v>19</v>
      </c>
      <c r="E852" s="10" t="s">
        <v>95</v>
      </c>
      <c r="F852" s="10" t="str">
        <f>"2170637003 "</f>
        <v xml:space="preserve">2170637003 </v>
      </c>
      <c r="G852" s="10" t="str">
        <f>"DBC"</f>
        <v>DBC</v>
      </c>
      <c r="H852" s="10" t="s">
        <v>21</v>
      </c>
      <c r="I852" s="10" t="s">
        <v>96</v>
      </c>
      <c r="J852" s="10" t="str">
        <f>""</f>
        <v/>
      </c>
      <c r="K852" s="10" t="str">
        <f>"PFES1162630000_0001"</f>
        <v>PFES1162630000_0001</v>
      </c>
      <c r="L852" s="10">
        <v>1</v>
      </c>
      <c r="M852" s="10">
        <v>22</v>
      </c>
    </row>
    <row r="853" spans="1:13">
      <c r="A853" s="8">
        <v>43266</v>
      </c>
      <c r="B853" s="9">
        <v>0.61111111111111105</v>
      </c>
      <c r="C853" s="10" t="str">
        <f>"FES1162629973"</f>
        <v>FES1162629973</v>
      </c>
      <c r="D853" s="10" t="s">
        <v>19</v>
      </c>
      <c r="E853" s="10" t="s">
        <v>270</v>
      </c>
      <c r="F853" s="10" t="str">
        <f>"2170636974 "</f>
        <v xml:space="preserve">2170636974 </v>
      </c>
      <c r="G853" s="10" t="str">
        <f t="shared" ref="G853:G865" si="27">"ON1"</f>
        <v>ON1</v>
      </c>
      <c r="H853" s="10" t="s">
        <v>21</v>
      </c>
      <c r="I853" s="10" t="s">
        <v>238</v>
      </c>
      <c r="J853" s="10" t="str">
        <f>""</f>
        <v/>
      </c>
      <c r="K853" s="10" t="str">
        <f>"PFES1162629973_0001"</f>
        <v>PFES1162629973_0001</v>
      </c>
      <c r="L853" s="10">
        <v>1</v>
      </c>
      <c r="M853" s="10">
        <v>1</v>
      </c>
    </row>
    <row r="854" spans="1:13">
      <c r="A854" s="8">
        <v>43266</v>
      </c>
      <c r="B854" s="9">
        <v>0.61041666666666672</v>
      </c>
      <c r="C854" s="10" t="str">
        <f>"FES1162629967"</f>
        <v>FES1162629967</v>
      </c>
      <c r="D854" s="10" t="s">
        <v>19</v>
      </c>
      <c r="E854" s="10" t="s">
        <v>628</v>
      </c>
      <c r="F854" s="10" t="str">
        <f>"2170636670 "</f>
        <v xml:space="preserve">2170636670 </v>
      </c>
      <c r="G854" s="10" t="str">
        <f t="shared" si="27"/>
        <v>ON1</v>
      </c>
      <c r="H854" s="10" t="s">
        <v>21</v>
      </c>
      <c r="I854" s="10" t="s">
        <v>46</v>
      </c>
      <c r="J854" s="10" t="str">
        <f>""</f>
        <v/>
      </c>
      <c r="K854" s="10" t="str">
        <f>"PFES1162629967_0001"</f>
        <v>PFES1162629967_0001</v>
      </c>
      <c r="L854" s="10">
        <v>1</v>
      </c>
      <c r="M854" s="10">
        <v>1</v>
      </c>
    </row>
    <row r="855" spans="1:13">
      <c r="A855" s="8">
        <v>43266</v>
      </c>
      <c r="B855" s="9">
        <v>0.61041666666666672</v>
      </c>
      <c r="C855" s="10" t="str">
        <f>"FES1162629932"</f>
        <v>FES1162629932</v>
      </c>
      <c r="D855" s="10" t="s">
        <v>19</v>
      </c>
      <c r="E855" s="10" t="s">
        <v>458</v>
      </c>
      <c r="F855" s="10" t="str">
        <f>"2170636481 "</f>
        <v xml:space="preserve">2170636481 </v>
      </c>
      <c r="G855" s="10" t="str">
        <f t="shared" si="27"/>
        <v>ON1</v>
      </c>
      <c r="H855" s="10" t="s">
        <v>21</v>
      </c>
      <c r="I855" s="10" t="s">
        <v>251</v>
      </c>
      <c r="J855" s="10" t="str">
        <f>""</f>
        <v/>
      </c>
      <c r="K855" s="10" t="str">
        <f>"PFES1162629932_0001"</f>
        <v>PFES1162629932_0001</v>
      </c>
      <c r="L855" s="10">
        <v>1</v>
      </c>
      <c r="M855" s="10">
        <v>1</v>
      </c>
    </row>
    <row r="856" spans="1:13">
      <c r="A856" s="8">
        <v>43266</v>
      </c>
      <c r="B856" s="9">
        <v>0.61041666666666672</v>
      </c>
      <c r="C856" s="10" t="str">
        <f>"FES1162629999"</f>
        <v>FES1162629999</v>
      </c>
      <c r="D856" s="10" t="s">
        <v>19</v>
      </c>
      <c r="E856" s="10" t="s">
        <v>169</v>
      </c>
      <c r="F856" s="10" t="str">
        <f>"2170637002 "</f>
        <v xml:space="preserve">2170637002 </v>
      </c>
      <c r="G856" s="10" t="str">
        <f t="shared" si="27"/>
        <v>ON1</v>
      </c>
      <c r="H856" s="10" t="s">
        <v>21</v>
      </c>
      <c r="I856" s="10" t="s">
        <v>170</v>
      </c>
      <c r="J856" s="10" t="str">
        <f>""</f>
        <v/>
      </c>
      <c r="K856" s="10" t="str">
        <f>"PFES1162629999_0001"</f>
        <v>PFES1162629999_0001</v>
      </c>
      <c r="L856" s="10">
        <v>1</v>
      </c>
      <c r="M856" s="10">
        <v>1</v>
      </c>
    </row>
    <row r="857" spans="1:13">
      <c r="A857" s="8">
        <v>43266</v>
      </c>
      <c r="B857" s="9">
        <v>0.60972222222222217</v>
      </c>
      <c r="C857" s="10" t="str">
        <f>"FES1162629939"</f>
        <v>FES1162629939</v>
      </c>
      <c r="D857" s="10" t="s">
        <v>19</v>
      </c>
      <c r="E857" s="10" t="s">
        <v>107</v>
      </c>
      <c r="F857" s="10" t="str">
        <f>"2170636679 "</f>
        <v xml:space="preserve">2170636679 </v>
      </c>
      <c r="G857" s="10" t="str">
        <f t="shared" si="27"/>
        <v>ON1</v>
      </c>
      <c r="H857" s="10" t="s">
        <v>21</v>
      </c>
      <c r="I857" s="10" t="s">
        <v>108</v>
      </c>
      <c r="J857" s="10" t="str">
        <f>""</f>
        <v/>
      </c>
      <c r="K857" s="10" t="str">
        <f>"PFES1162629939_0001"</f>
        <v>PFES1162629939_0001</v>
      </c>
      <c r="L857" s="10">
        <v>1</v>
      </c>
      <c r="M857" s="10">
        <v>1</v>
      </c>
    </row>
    <row r="858" spans="1:13">
      <c r="A858" s="8">
        <v>43266</v>
      </c>
      <c r="B858" s="9">
        <v>0.60972222222222217</v>
      </c>
      <c r="C858" s="10" t="str">
        <f>"FES1162629997"</f>
        <v>FES1162629997</v>
      </c>
      <c r="D858" s="10" t="s">
        <v>19</v>
      </c>
      <c r="E858" s="10" t="s">
        <v>629</v>
      </c>
      <c r="F858" s="10" t="str">
        <f>"2170637000 "</f>
        <v xml:space="preserve">2170637000 </v>
      </c>
      <c r="G858" s="10" t="str">
        <f t="shared" si="27"/>
        <v>ON1</v>
      </c>
      <c r="H858" s="10" t="s">
        <v>21</v>
      </c>
      <c r="I858" s="10" t="s">
        <v>630</v>
      </c>
      <c r="J858" s="10" t="str">
        <f>""</f>
        <v/>
      </c>
      <c r="K858" s="10" t="str">
        <f>"PFES1162629997_0001"</f>
        <v>PFES1162629997_0001</v>
      </c>
      <c r="L858" s="10">
        <v>1</v>
      </c>
      <c r="M858" s="10">
        <v>1</v>
      </c>
    </row>
    <row r="859" spans="1:13">
      <c r="A859" s="8">
        <v>43266</v>
      </c>
      <c r="B859" s="9">
        <v>0.60902777777777783</v>
      </c>
      <c r="C859" s="10" t="str">
        <f>"FES1162629978"</f>
        <v>FES1162629978</v>
      </c>
      <c r="D859" s="10" t="s">
        <v>19</v>
      </c>
      <c r="E859" s="10" t="s">
        <v>631</v>
      </c>
      <c r="F859" s="10" t="str">
        <f>"2170630162 "</f>
        <v xml:space="preserve">2170630162 </v>
      </c>
      <c r="G859" s="10" t="str">
        <f t="shared" si="27"/>
        <v>ON1</v>
      </c>
      <c r="H859" s="10" t="s">
        <v>21</v>
      </c>
      <c r="I859" s="10" t="s">
        <v>260</v>
      </c>
      <c r="J859" s="10" t="str">
        <f>""</f>
        <v/>
      </c>
      <c r="K859" s="10" t="str">
        <f>"PFES1162629978_0001"</f>
        <v>PFES1162629978_0001</v>
      </c>
      <c r="L859" s="10">
        <v>1</v>
      </c>
      <c r="M859" s="10">
        <v>1</v>
      </c>
    </row>
    <row r="860" spans="1:13">
      <c r="A860" s="8">
        <v>43266</v>
      </c>
      <c r="B860" s="9">
        <v>0.60902777777777783</v>
      </c>
      <c r="C860" s="10" t="str">
        <f>"FES1162629923"</f>
        <v>FES1162629923</v>
      </c>
      <c r="D860" s="10" t="s">
        <v>19</v>
      </c>
      <c r="E860" s="10" t="s">
        <v>632</v>
      </c>
      <c r="F860" s="10" t="str">
        <f>"2170636891 "</f>
        <v xml:space="preserve">2170636891 </v>
      </c>
      <c r="G860" s="10" t="str">
        <f t="shared" si="27"/>
        <v>ON1</v>
      </c>
      <c r="H860" s="10" t="s">
        <v>21</v>
      </c>
      <c r="I860" s="10" t="s">
        <v>552</v>
      </c>
      <c r="J860" s="10" t="str">
        <f>""</f>
        <v/>
      </c>
      <c r="K860" s="10" t="str">
        <f>"PFES1162629923_0001"</f>
        <v>PFES1162629923_0001</v>
      </c>
      <c r="L860" s="10">
        <v>1</v>
      </c>
      <c r="M860" s="10">
        <v>1</v>
      </c>
    </row>
    <row r="861" spans="1:13">
      <c r="A861" s="8">
        <v>43266</v>
      </c>
      <c r="B861" s="9">
        <v>0.60902777777777783</v>
      </c>
      <c r="C861" s="10" t="str">
        <f>"FES1162630006"</f>
        <v>FES1162630006</v>
      </c>
      <c r="D861" s="10" t="s">
        <v>19</v>
      </c>
      <c r="E861" s="10" t="s">
        <v>47</v>
      </c>
      <c r="F861" s="10" t="str">
        <f>"2170637010 "</f>
        <v xml:space="preserve">2170637010 </v>
      </c>
      <c r="G861" s="10" t="str">
        <f t="shared" si="27"/>
        <v>ON1</v>
      </c>
      <c r="H861" s="10" t="s">
        <v>21</v>
      </c>
      <c r="I861" s="10" t="s">
        <v>30</v>
      </c>
      <c r="J861" s="10" t="str">
        <f>""</f>
        <v/>
      </c>
      <c r="K861" s="10" t="str">
        <f>"PFES1162630006_0001"</f>
        <v>PFES1162630006_0001</v>
      </c>
      <c r="L861" s="10">
        <v>1</v>
      </c>
      <c r="M861" s="10">
        <v>1</v>
      </c>
    </row>
    <row r="862" spans="1:13">
      <c r="A862" s="8">
        <v>43266</v>
      </c>
      <c r="B862" s="9">
        <v>0.60833333333333328</v>
      </c>
      <c r="C862" s="10" t="str">
        <f>"FES1162629945"</f>
        <v>FES1162629945</v>
      </c>
      <c r="D862" s="10" t="s">
        <v>19</v>
      </c>
      <c r="E862" s="10" t="s">
        <v>123</v>
      </c>
      <c r="F862" s="10" t="str">
        <f>"2170636949 "</f>
        <v xml:space="preserve">2170636949 </v>
      </c>
      <c r="G862" s="10" t="str">
        <f t="shared" si="27"/>
        <v>ON1</v>
      </c>
      <c r="H862" s="10" t="s">
        <v>21</v>
      </c>
      <c r="I862" s="10" t="s">
        <v>51</v>
      </c>
      <c r="J862" s="10" t="str">
        <f>""</f>
        <v/>
      </c>
      <c r="K862" s="10" t="str">
        <f>"PFES1162629945_0001"</f>
        <v>PFES1162629945_0001</v>
      </c>
      <c r="L862" s="10">
        <v>1</v>
      </c>
      <c r="M862" s="10">
        <v>1</v>
      </c>
    </row>
    <row r="863" spans="1:13">
      <c r="A863" s="8">
        <v>43266</v>
      </c>
      <c r="B863" s="9">
        <v>0.60833333333333328</v>
      </c>
      <c r="C863" s="10" t="str">
        <f>"FES1162629975"</f>
        <v>FES1162629975</v>
      </c>
      <c r="D863" s="10" t="s">
        <v>19</v>
      </c>
      <c r="E863" s="10" t="s">
        <v>270</v>
      </c>
      <c r="F863" s="10" t="str">
        <f>"217063976 "</f>
        <v xml:space="preserve">217063976 </v>
      </c>
      <c r="G863" s="10" t="str">
        <f t="shared" si="27"/>
        <v>ON1</v>
      </c>
      <c r="H863" s="10" t="s">
        <v>21</v>
      </c>
      <c r="I863" s="10" t="s">
        <v>238</v>
      </c>
      <c r="J863" s="10" t="str">
        <f>""</f>
        <v/>
      </c>
      <c r="K863" s="10" t="str">
        <f>"PFES1162629975_0001"</f>
        <v>PFES1162629975_0001</v>
      </c>
      <c r="L863" s="10">
        <v>1</v>
      </c>
      <c r="M863" s="10">
        <v>1</v>
      </c>
    </row>
    <row r="864" spans="1:13">
      <c r="A864" s="8">
        <v>43266</v>
      </c>
      <c r="B864" s="9">
        <v>0.60763888888888895</v>
      </c>
      <c r="C864" s="10" t="str">
        <f>"FES1162629995"</f>
        <v>FES1162629995</v>
      </c>
      <c r="D864" s="10" t="s">
        <v>19</v>
      </c>
      <c r="E864" s="10" t="s">
        <v>67</v>
      </c>
      <c r="F864" s="10" t="str">
        <f>"2170636996 "</f>
        <v xml:space="preserve">2170636996 </v>
      </c>
      <c r="G864" s="10" t="str">
        <f t="shared" si="27"/>
        <v>ON1</v>
      </c>
      <c r="H864" s="10" t="s">
        <v>21</v>
      </c>
      <c r="I864" s="10" t="s">
        <v>46</v>
      </c>
      <c r="J864" s="10" t="str">
        <f>""</f>
        <v/>
      </c>
      <c r="K864" s="10" t="str">
        <f>"PFES1162629995_0001"</f>
        <v>PFES1162629995_0001</v>
      </c>
      <c r="L864" s="10">
        <v>1</v>
      </c>
      <c r="M864" s="10">
        <v>1</v>
      </c>
    </row>
    <row r="865" spans="1:13">
      <c r="A865" s="8">
        <v>43266</v>
      </c>
      <c r="B865" s="9">
        <v>0.60763888888888895</v>
      </c>
      <c r="C865" s="10" t="str">
        <f>"FES1162629990"</f>
        <v>FES1162629990</v>
      </c>
      <c r="D865" s="10" t="s">
        <v>19</v>
      </c>
      <c r="E865" s="10" t="s">
        <v>227</v>
      </c>
      <c r="F865" s="10" t="str">
        <f>"2170618448 "</f>
        <v xml:space="preserve">2170618448 </v>
      </c>
      <c r="G865" s="10" t="str">
        <f t="shared" si="27"/>
        <v>ON1</v>
      </c>
      <c r="H865" s="10" t="s">
        <v>21</v>
      </c>
      <c r="I865" s="10" t="s">
        <v>228</v>
      </c>
      <c r="J865" s="10" t="str">
        <f>""</f>
        <v/>
      </c>
      <c r="K865" s="10" t="str">
        <f>"PFES1162629990_0001"</f>
        <v>PFES1162629990_0001</v>
      </c>
      <c r="L865" s="10">
        <v>2</v>
      </c>
      <c r="M865" s="10">
        <v>8</v>
      </c>
    </row>
    <row r="866" spans="1:13">
      <c r="A866" s="8">
        <v>43266</v>
      </c>
      <c r="B866" s="9">
        <v>0.59583333333333333</v>
      </c>
      <c r="C866" s="10" t="str">
        <f>"FES1162629998"</f>
        <v>FES1162629998</v>
      </c>
      <c r="D866" s="10" t="s">
        <v>19</v>
      </c>
      <c r="E866" s="10" t="s">
        <v>74</v>
      </c>
      <c r="F866" s="10" t="str">
        <f>"2170637001 "</f>
        <v xml:space="preserve">2170637001 </v>
      </c>
      <c r="G866" s="10" t="str">
        <f>"SAT"</f>
        <v>SAT</v>
      </c>
      <c r="H866" s="10" t="s">
        <v>21</v>
      </c>
      <c r="I866" s="10" t="s">
        <v>75</v>
      </c>
      <c r="J866" s="10" t="str">
        <f>""</f>
        <v/>
      </c>
      <c r="K866" s="10" t="str">
        <f>"PFES1162629998_0001"</f>
        <v>PFES1162629998_0001</v>
      </c>
      <c r="L866" s="10">
        <v>1</v>
      </c>
      <c r="M866" s="10">
        <v>5</v>
      </c>
    </row>
    <row r="867" spans="1:13">
      <c r="A867" s="8">
        <v>43266</v>
      </c>
      <c r="B867" s="9">
        <v>0.59375</v>
      </c>
      <c r="C867" s="10" t="str">
        <f>"FES1162629927"</f>
        <v>FES1162629927</v>
      </c>
      <c r="D867" s="10" t="s">
        <v>19</v>
      </c>
      <c r="E867" s="10" t="s">
        <v>633</v>
      </c>
      <c r="F867" s="10" t="str">
        <f>"2170636941 "</f>
        <v xml:space="preserve">2170636941 </v>
      </c>
      <c r="G867" s="10" t="str">
        <f t="shared" ref="G867:G894" si="28">"ON1"</f>
        <v>ON1</v>
      </c>
      <c r="H867" s="10" t="s">
        <v>21</v>
      </c>
      <c r="I867" s="10" t="s">
        <v>634</v>
      </c>
      <c r="J867" s="10" t="str">
        <f>""</f>
        <v/>
      </c>
      <c r="K867" s="10" t="str">
        <f>"PFES1162629927_0001"</f>
        <v>PFES1162629927_0001</v>
      </c>
      <c r="L867" s="10">
        <v>1</v>
      </c>
      <c r="M867" s="10">
        <v>2</v>
      </c>
    </row>
    <row r="868" spans="1:13">
      <c r="A868" s="8">
        <v>43266</v>
      </c>
      <c r="B868" s="9">
        <v>0.59236111111111112</v>
      </c>
      <c r="C868" s="10" t="str">
        <f>"FES1162629933"</f>
        <v>FES1162629933</v>
      </c>
      <c r="D868" s="10" t="s">
        <v>19</v>
      </c>
      <c r="E868" s="10" t="s">
        <v>438</v>
      </c>
      <c r="F868" s="10" t="str">
        <f>"2170636495 "</f>
        <v xml:space="preserve">2170636495 </v>
      </c>
      <c r="G868" s="10" t="str">
        <f t="shared" si="28"/>
        <v>ON1</v>
      </c>
      <c r="H868" s="10" t="s">
        <v>21</v>
      </c>
      <c r="I868" s="10" t="s">
        <v>439</v>
      </c>
      <c r="J868" s="10" t="str">
        <f>""</f>
        <v/>
      </c>
      <c r="K868" s="10" t="str">
        <f>"PFES1162629933_0001"</f>
        <v>PFES1162629933_0001</v>
      </c>
      <c r="L868" s="10">
        <v>1</v>
      </c>
      <c r="M868" s="10">
        <v>9</v>
      </c>
    </row>
    <row r="869" spans="1:13">
      <c r="A869" s="8">
        <v>43266</v>
      </c>
      <c r="B869" s="9">
        <v>0.59097222222222223</v>
      </c>
      <c r="C869" s="10" t="str">
        <f>"FES1162629394"</f>
        <v>FES1162629394</v>
      </c>
      <c r="D869" s="10" t="s">
        <v>19</v>
      </c>
      <c r="E869" s="10" t="s">
        <v>488</v>
      </c>
      <c r="F869" s="10" t="str">
        <f>"2170636386 "</f>
        <v xml:space="preserve">2170636386 </v>
      </c>
      <c r="G869" s="10" t="str">
        <f t="shared" si="28"/>
        <v>ON1</v>
      </c>
      <c r="H869" s="10" t="s">
        <v>21</v>
      </c>
      <c r="I869" s="10" t="s">
        <v>207</v>
      </c>
      <c r="J869" s="10" t="str">
        <f>""</f>
        <v/>
      </c>
      <c r="K869" s="10" t="str">
        <f>"PFES1162629394_0001"</f>
        <v>PFES1162629394_0001</v>
      </c>
      <c r="L869" s="10">
        <v>1</v>
      </c>
      <c r="M869" s="10">
        <v>2</v>
      </c>
    </row>
    <row r="870" spans="1:13">
      <c r="A870" s="8">
        <v>43266</v>
      </c>
      <c r="B870" s="9">
        <v>0.58888888888888891</v>
      </c>
      <c r="C870" s="10" t="str">
        <f>"FES1162629930"</f>
        <v>FES1162629930</v>
      </c>
      <c r="D870" s="10" t="s">
        <v>19</v>
      </c>
      <c r="E870" s="10" t="s">
        <v>488</v>
      </c>
      <c r="F870" s="10" t="str">
        <f>"2170636386 "</f>
        <v xml:space="preserve">2170636386 </v>
      </c>
      <c r="G870" s="10" t="str">
        <f t="shared" si="28"/>
        <v>ON1</v>
      </c>
      <c r="H870" s="10" t="s">
        <v>21</v>
      </c>
      <c r="I870" s="10" t="s">
        <v>207</v>
      </c>
      <c r="J870" s="10" t="str">
        <f>""</f>
        <v/>
      </c>
      <c r="K870" s="10" t="str">
        <f>"PFES1162629930_0001"</f>
        <v>PFES1162629930_0001</v>
      </c>
      <c r="L870" s="10">
        <v>1</v>
      </c>
      <c r="M870" s="10">
        <v>2</v>
      </c>
    </row>
    <row r="871" spans="1:13">
      <c r="A871" s="8">
        <v>43266</v>
      </c>
      <c r="B871" s="9">
        <v>0.58819444444444446</v>
      </c>
      <c r="C871" s="10" t="str">
        <f>"FES1162629950"</f>
        <v>FES1162629950</v>
      </c>
      <c r="D871" s="10" t="s">
        <v>19</v>
      </c>
      <c r="E871" s="10" t="s">
        <v>635</v>
      </c>
      <c r="F871" s="10" t="str">
        <f>"2170636955 "</f>
        <v xml:space="preserve">2170636955 </v>
      </c>
      <c r="G871" s="10" t="str">
        <f t="shared" si="28"/>
        <v>ON1</v>
      </c>
      <c r="H871" s="10" t="s">
        <v>21</v>
      </c>
      <c r="I871" s="10" t="s">
        <v>636</v>
      </c>
      <c r="J871" s="10" t="str">
        <f>""</f>
        <v/>
      </c>
      <c r="K871" s="10" t="str">
        <f>"PFES1162629950_0001"</f>
        <v>PFES1162629950_0001</v>
      </c>
      <c r="L871" s="10">
        <v>1</v>
      </c>
      <c r="M871" s="10">
        <v>1</v>
      </c>
    </row>
    <row r="872" spans="1:13">
      <c r="A872" s="8">
        <v>43266</v>
      </c>
      <c r="B872" s="9">
        <v>0.58819444444444446</v>
      </c>
      <c r="C872" s="10" t="str">
        <f>"FES1162629965"</f>
        <v>FES1162629965</v>
      </c>
      <c r="D872" s="10" t="s">
        <v>19</v>
      </c>
      <c r="E872" s="10" t="s">
        <v>637</v>
      </c>
      <c r="F872" s="10" t="str">
        <f>"2170636978 "</f>
        <v xml:space="preserve">2170636978 </v>
      </c>
      <c r="G872" s="10" t="str">
        <f t="shared" si="28"/>
        <v>ON1</v>
      </c>
      <c r="H872" s="10" t="s">
        <v>21</v>
      </c>
      <c r="I872" s="10" t="s">
        <v>106</v>
      </c>
      <c r="J872" s="10" t="str">
        <f>""</f>
        <v/>
      </c>
      <c r="K872" s="10" t="str">
        <f>"PFES1162629965_0001"</f>
        <v>PFES1162629965_0001</v>
      </c>
      <c r="L872" s="10">
        <v>1</v>
      </c>
      <c r="M872" s="10">
        <v>1</v>
      </c>
    </row>
    <row r="873" spans="1:13">
      <c r="A873" s="8">
        <v>43266</v>
      </c>
      <c r="B873" s="9">
        <v>0.58750000000000002</v>
      </c>
      <c r="C873" s="10" t="str">
        <f>"FES1162629951"</f>
        <v>FES1162629951</v>
      </c>
      <c r="D873" s="10" t="s">
        <v>19</v>
      </c>
      <c r="E873" s="10" t="s">
        <v>635</v>
      </c>
      <c r="F873" s="10" t="str">
        <f>"21706365956 "</f>
        <v xml:space="preserve">21706365956 </v>
      </c>
      <c r="G873" s="10" t="str">
        <f t="shared" si="28"/>
        <v>ON1</v>
      </c>
      <c r="H873" s="10" t="s">
        <v>21</v>
      </c>
      <c r="I873" s="10" t="s">
        <v>636</v>
      </c>
      <c r="J873" s="10" t="str">
        <f>""</f>
        <v/>
      </c>
      <c r="K873" s="10" t="str">
        <f>"PFES1162629951_0001"</f>
        <v>PFES1162629951_0001</v>
      </c>
      <c r="L873" s="10">
        <v>1</v>
      </c>
      <c r="M873" s="10">
        <v>1</v>
      </c>
    </row>
    <row r="874" spans="1:13">
      <c r="A874" s="8">
        <v>43266</v>
      </c>
      <c r="B874" s="9">
        <v>0.58750000000000002</v>
      </c>
      <c r="C874" s="10" t="str">
        <f>"FES1162629891"</f>
        <v>FES1162629891</v>
      </c>
      <c r="D874" s="10" t="s">
        <v>19</v>
      </c>
      <c r="E874" s="10" t="s">
        <v>638</v>
      </c>
      <c r="F874" s="10" t="str">
        <f>"2170636895 "</f>
        <v xml:space="preserve">2170636895 </v>
      </c>
      <c r="G874" s="10" t="str">
        <f t="shared" si="28"/>
        <v>ON1</v>
      </c>
      <c r="H874" s="10" t="s">
        <v>21</v>
      </c>
      <c r="I874" s="10" t="s">
        <v>46</v>
      </c>
      <c r="J874" s="10" t="str">
        <f>""</f>
        <v/>
      </c>
      <c r="K874" s="10" t="str">
        <f>"PFES1162629891_0001"</f>
        <v>PFES1162629891_0001</v>
      </c>
      <c r="L874" s="10">
        <v>1</v>
      </c>
      <c r="M874" s="10">
        <v>1</v>
      </c>
    </row>
    <row r="875" spans="1:13">
      <c r="A875" s="8">
        <v>43266</v>
      </c>
      <c r="B875" s="9">
        <v>0.58750000000000002</v>
      </c>
      <c r="C875" s="10" t="str">
        <f>"FES1162629956"</f>
        <v>FES1162629956</v>
      </c>
      <c r="D875" s="10" t="s">
        <v>19</v>
      </c>
      <c r="E875" s="10" t="s">
        <v>92</v>
      </c>
      <c r="F875" s="10" t="str">
        <f>"2170636959 "</f>
        <v xml:space="preserve">2170636959 </v>
      </c>
      <c r="G875" s="10" t="str">
        <f t="shared" si="28"/>
        <v>ON1</v>
      </c>
      <c r="H875" s="10" t="s">
        <v>21</v>
      </c>
      <c r="I875" s="10" t="s">
        <v>93</v>
      </c>
      <c r="J875" s="10" t="str">
        <f>""</f>
        <v/>
      </c>
      <c r="K875" s="10" t="str">
        <f>"PFES1162629956_0001"</f>
        <v>PFES1162629956_0001</v>
      </c>
      <c r="L875" s="10">
        <v>1</v>
      </c>
      <c r="M875" s="10">
        <v>12</v>
      </c>
    </row>
    <row r="876" spans="1:13">
      <c r="A876" s="8">
        <v>43266</v>
      </c>
      <c r="B876" s="9">
        <v>0.58750000000000002</v>
      </c>
      <c r="C876" s="10" t="str">
        <f>"FES1162629879"</f>
        <v>FES1162629879</v>
      </c>
      <c r="D876" s="10" t="s">
        <v>19</v>
      </c>
      <c r="E876" s="10" t="s">
        <v>395</v>
      </c>
      <c r="F876" s="10" t="str">
        <f>"2170636879 "</f>
        <v xml:space="preserve">2170636879 </v>
      </c>
      <c r="G876" s="10" t="str">
        <f t="shared" si="28"/>
        <v>ON1</v>
      </c>
      <c r="H876" s="10" t="s">
        <v>21</v>
      </c>
      <c r="I876" s="10" t="s">
        <v>396</v>
      </c>
      <c r="J876" s="10" t="str">
        <f>""</f>
        <v/>
      </c>
      <c r="K876" s="10" t="str">
        <f>"PFES1162629879_0001"</f>
        <v>PFES1162629879_0001</v>
      </c>
      <c r="L876" s="10">
        <v>1</v>
      </c>
      <c r="M876" s="10">
        <v>1</v>
      </c>
    </row>
    <row r="877" spans="1:13">
      <c r="A877" s="8">
        <v>43266</v>
      </c>
      <c r="B877" s="9">
        <v>0.58680555555555558</v>
      </c>
      <c r="C877" s="10" t="str">
        <f>"FES1162629957"</f>
        <v>FES1162629957</v>
      </c>
      <c r="D877" s="10" t="s">
        <v>19</v>
      </c>
      <c r="E877" s="10" t="s">
        <v>169</v>
      </c>
      <c r="F877" s="10" t="str">
        <f>"2170636960 "</f>
        <v xml:space="preserve">2170636960 </v>
      </c>
      <c r="G877" s="10" t="str">
        <f t="shared" si="28"/>
        <v>ON1</v>
      </c>
      <c r="H877" s="10" t="s">
        <v>21</v>
      </c>
      <c r="I877" s="10" t="s">
        <v>170</v>
      </c>
      <c r="J877" s="10" t="str">
        <f>""</f>
        <v/>
      </c>
      <c r="K877" s="10" t="str">
        <f>"PFES1162629957_0001"</f>
        <v>PFES1162629957_0001</v>
      </c>
      <c r="L877" s="10">
        <v>1</v>
      </c>
      <c r="M877" s="10">
        <v>1</v>
      </c>
    </row>
    <row r="878" spans="1:13">
      <c r="A878" s="8">
        <v>43266</v>
      </c>
      <c r="B878" s="9">
        <v>0.58680555555555558</v>
      </c>
      <c r="C878" s="10" t="str">
        <f>"FES1162629917"</f>
        <v>FES1162629917</v>
      </c>
      <c r="D878" s="10" t="s">
        <v>19</v>
      </c>
      <c r="E878" s="10" t="s">
        <v>639</v>
      </c>
      <c r="F878" s="10" t="str">
        <f>"2170636920 "</f>
        <v xml:space="preserve">2170636920 </v>
      </c>
      <c r="G878" s="10" t="str">
        <f t="shared" si="28"/>
        <v>ON1</v>
      </c>
      <c r="H878" s="10" t="s">
        <v>21</v>
      </c>
      <c r="I878" s="10" t="s">
        <v>32</v>
      </c>
      <c r="J878" s="10" t="str">
        <f>""</f>
        <v/>
      </c>
      <c r="K878" s="10" t="str">
        <f>"PFES1162629917_0001"</f>
        <v>PFES1162629917_0001</v>
      </c>
      <c r="L878" s="10">
        <v>1</v>
      </c>
      <c r="M878" s="10">
        <v>1</v>
      </c>
    </row>
    <row r="879" spans="1:13">
      <c r="A879" s="8">
        <v>43266</v>
      </c>
      <c r="B879" s="9">
        <v>0.58611111111111114</v>
      </c>
      <c r="C879" s="10" t="str">
        <f>"FES1162629991"</f>
        <v>FES1162629991</v>
      </c>
      <c r="D879" s="10" t="s">
        <v>19</v>
      </c>
      <c r="E879" s="10" t="s">
        <v>302</v>
      </c>
      <c r="F879" s="10" t="str">
        <f>"2170636980 "</f>
        <v xml:space="preserve">2170636980 </v>
      </c>
      <c r="G879" s="10" t="str">
        <f t="shared" si="28"/>
        <v>ON1</v>
      </c>
      <c r="H879" s="10" t="s">
        <v>21</v>
      </c>
      <c r="I879" s="10" t="s">
        <v>303</v>
      </c>
      <c r="J879" s="10" t="str">
        <f>""</f>
        <v/>
      </c>
      <c r="K879" s="10" t="str">
        <f>"PFES1162629991_0001"</f>
        <v>PFES1162629991_0001</v>
      </c>
      <c r="L879" s="10">
        <v>1</v>
      </c>
      <c r="M879" s="10">
        <v>1</v>
      </c>
    </row>
    <row r="880" spans="1:13">
      <c r="A880" s="8">
        <v>43266</v>
      </c>
      <c r="B880" s="9">
        <v>0.58611111111111114</v>
      </c>
      <c r="C880" s="10" t="str">
        <f>"FES1162629880"</f>
        <v>FES1162629880</v>
      </c>
      <c r="D880" s="10" t="s">
        <v>19</v>
      </c>
      <c r="E880" s="10" t="s">
        <v>283</v>
      </c>
      <c r="F880" s="10" t="str">
        <f>"2170636883 "</f>
        <v xml:space="preserve">2170636883 </v>
      </c>
      <c r="G880" s="10" t="str">
        <f t="shared" si="28"/>
        <v>ON1</v>
      </c>
      <c r="H880" s="10" t="s">
        <v>21</v>
      </c>
      <c r="I880" s="10" t="s">
        <v>230</v>
      </c>
      <c r="J880" s="10" t="str">
        <f>""</f>
        <v/>
      </c>
      <c r="K880" s="10" t="str">
        <f>"PFES1162629880_0001"</f>
        <v>PFES1162629880_0001</v>
      </c>
      <c r="L880" s="10">
        <v>1</v>
      </c>
      <c r="M880" s="10">
        <v>1</v>
      </c>
    </row>
    <row r="881" spans="1:13">
      <c r="A881" s="8">
        <v>43266</v>
      </c>
      <c r="B881" s="9">
        <v>0.58611111111111114</v>
      </c>
      <c r="C881" s="10" t="str">
        <f>"FES1162629949"</f>
        <v>FES1162629949</v>
      </c>
      <c r="D881" s="10" t="s">
        <v>19</v>
      </c>
      <c r="E881" s="10" t="s">
        <v>191</v>
      </c>
      <c r="F881" s="10" t="str">
        <f>"2170636954 "</f>
        <v xml:space="preserve">2170636954 </v>
      </c>
      <c r="G881" s="10" t="str">
        <f t="shared" si="28"/>
        <v>ON1</v>
      </c>
      <c r="H881" s="10" t="s">
        <v>21</v>
      </c>
      <c r="I881" s="10" t="s">
        <v>192</v>
      </c>
      <c r="J881" s="10" t="str">
        <f>""</f>
        <v/>
      </c>
      <c r="K881" s="10" t="str">
        <f>"PFES1162629949_0001"</f>
        <v>PFES1162629949_0001</v>
      </c>
      <c r="L881" s="10">
        <v>1</v>
      </c>
      <c r="M881" s="10">
        <v>1</v>
      </c>
    </row>
    <row r="882" spans="1:13">
      <c r="A882" s="8">
        <v>43266</v>
      </c>
      <c r="B882" s="9">
        <v>0.58611111111111114</v>
      </c>
      <c r="C882" s="10" t="str">
        <f>"FES1162629969"</f>
        <v>FES1162629969</v>
      </c>
      <c r="D882" s="10" t="s">
        <v>19</v>
      </c>
      <c r="E882" s="10" t="s">
        <v>124</v>
      </c>
      <c r="F882" s="10" t="str">
        <f>"2170636970 "</f>
        <v xml:space="preserve">2170636970 </v>
      </c>
      <c r="G882" s="10" t="str">
        <f t="shared" si="28"/>
        <v>ON1</v>
      </c>
      <c r="H882" s="10" t="s">
        <v>21</v>
      </c>
      <c r="I882" s="10" t="s">
        <v>40</v>
      </c>
      <c r="J882" s="10" t="str">
        <f>""</f>
        <v/>
      </c>
      <c r="K882" s="10" t="str">
        <f>"PFES1162629969_0001"</f>
        <v>PFES1162629969_0001</v>
      </c>
      <c r="L882" s="10">
        <v>1</v>
      </c>
      <c r="M882" s="10">
        <v>1</v>
      </c>
    </row>
    <row r="883" spans="1:13">
      <c r="A883" s="8">
        <v>43266</v>
      </c>
      <c r="B883" s="9">
        <v>0.5854166666666667</v>
      </c>
      <c r="C883" s="10" t="str">
        <f>"FES1162629938"</f>
        <v>FES1162629938</v>
      </c>
      <c r="D883" s="10" t="s">
        <v>19</v>
      </c>
      <c r="E883" s="10" t="s">
        <v>640</v>
      </c>
      <c r="F883" s="10" t="str">
        <f>"2170636929 "</f>
        <v xml:space="preserve">2170636929 </v>
      </c>
      <c r="G883" s="10" t="str">
        <f t="shared" si="28"/>
        <v>ON1</v>
      </c>
      <c r="H883" s="10" t="s">
        <v>21</v>
      </c>
      <c r="I883" s="10" t="s">
        <v>641</v>
      </c>
      <c r="J883" s="10" t="str">
        <f>""</f>
        <v/>
      </c>
      <c r="K883" s="10" t="str">
        <f>"PFES1162629938_0001"</f>
        <v>PFES1162629938_0001</v>
      </c>
      <c r="L883" s="10">
        <v>1</v>
      </c>
      <c r="M883" s="10">
        <v>1</v>
      </c>
    </row>
    <row r="884" spans="1:13">
      <c r="A884" s="8">
        <v>43266</v>
      </c>
      <c r="B884" s="9">
        <v>0.5854166666666667</v>
      </c>
      <c r="C884" s="10" t="str">
        <f>"FES1162629976"</f>
        <v>FES1162629976</v>
      </c>
      <c r="D884" s="10" t="s">
        <v>19</v>
      </c>
      <c r="E884" s="10" t="s">
        <v>124</v>
      </c>
      <c r="F884" s="10" t="str">
        <f>"2170636979 "</f>
        <v xml:space="preserve">2170636979 </v>
      </c>
      <c r="G884" s="10" t="str">
        <f t="shared" si="28"/>
        <v>ON1</v>
      </c>
      <c r="H884" s="10" t="s">
        <v>21</v>
      </c>
      <c r="I884" s="10" t="s">
        <v>40</v>
      </c>
      <c r="J884" s="10" t="str">
        <f>""</f>
        <v/>
      </c>
      <c r="K884" s="10" t="str">
        <f>"PFES1162629976_0001"</f>
        <v>PFES1162629976_0001</v>
      </c>
      <c r="L884" s="10">
        <v>1</v>
      </c>
      <c r="M884" s="10">
        <v>1</v>
      </c>
    </row>
    <row r="885" spans="1:13">
      <c r="A885" s="8">
        <v>43266</v>
      </c>
      <c r="B885" s="9">
        <v>0.58472222222222225</v>
      </c>
      <c r="C885" s="10" t="str">
        <f>"FES1162629963"</f>
        <v>FES1162629963</v>
      </c>
      <c r="D885" s="10" t="s">
        <v>19</v>
      </c>
      <c r="E885" s="10" t="s">
        <v>124</v>
      </c>
      <c r="F885" s="10" t="str">
        <f>"2170636966 "</f>
        <v xml:space="preserve">2170636966 </v>
      </c>
      <c r="G885" s="10" t="str">
        <f t="shared" si="28"/>
        <v>ON1</v>
      </c>
      <c r="H885" s="10" t="s">
        <v>21</v>
      </c>
      <c r="I885" s="10" t="s">
        <v>40</v>
      </c>
      <c r="J885" s="10" t="str">
        <f>""</f>
        <v/>
      </c>
      <c r="K885" s="10" t="str">
        <f>"PFES1162629963_0001"</f>
        <v>PFES1162629963_0001</v>
      </c>
      <c r="L885" s="10">
        <v>1</v>
      </c>
      <c r="M885" s="10">
        <v>1</v>
      </c>
    </row>
    <row r="886" spans="1:13">
      <c r="A886" s="8">
        <v>43266</v>
      </c>
      <c r="B886" s="9">
        <v>0.58472222222222225</v>
      </c>
      <c r="C886" s="10" t="str">
        <f>"FES1162629972"</f>
        <v>FES1162629972</v>
      </c>
      <c r="D886" s="10" t="s">
        <v>19</v>
      </c>
      <c r="E886" s="10" t="s">
        <v>99</v>
      </c>
      <c r="F886" s="10" t="str">
        <f>"217063673 "</f>
        <v xml:space="preserve">217063673 </v>
      </c>
      <c r="G886" s="10" t="str">
        <f t="shared" si="28"/>
        <v>ON1</v>
      </c>
      <c r="H886" s="10" t="s">
        <v>21</v>
      </c>
      <c r="I886" s="10" t="s">
        <v>100</v>
      </c>
      <c r="J886" s="10" t="str">
        <f>""</f>
        <v/>
      </c>
      <c r="K886" s="10" t="str">
        <f>"PFES1162629972_0001"</f>
        <v>PFES1162629972_0001</v>
      </c>
      <c r="L886" s="10">
        <v>1</v>
      </c>
      <c r="M886" s="10">
        <v>1</v>
      </c>
    </row>
    <row r="887" spans="1:13">
      <c r="A887" s="8">
        <v>43266</v>
      </c>
      <c r="B887" s="9">
        <v>0.58472222222222225</v>
      </c>
      <c r="C887" s="10" t="str">
        <f>"FES1162629946"</f>
        <v>FES1162629946</v>
      </c>
      <c r="D887" s="10" t="s">
        <v>19</v>
      </c>
      <c r="E887" s="10" t="s">
        <v>312</v>
      </c>
      <c r="F887" s="10" t="str">
        <f>"2170636951 "</f>
        <v xml:space="preserve">2170636951 </v>
      </c>
      <c r="G887" s="10" t="str">
        <f t="shared" si="28"/>
        <v>ON1</v>
      </c>
      <c r="H887" s="10" t="s">
        <v>21</v>
      </c>
      <c r="I887" s="10" t="s">
        <v>313</v>
      </c>
      <c r="J887" s="10" t="str">
        <f>""</f>
        <v/>
      </c>
      <c r="K887" s="10" t="str">
        <f>"PFES1162629946_0001"</f>
        <v>PFES1162629946_0001</v>
      </c>
      <c r="L887" s="10">
        <v>1</v>
      </c>
      <c r="M887" s="10">
        <v>1</v>
      </c>
    </row>
    <row r="888" spans="1:13">
      <c r="A888" s="8">
        <v>43266</v>
      </c>
      <c r="B888" s="9">
        <v>0.58402777777777781</v>
      </c>
      <c r="C888" s="10" t="str">
        <f>"FES1162629948"</f>
        <v>FES1162629948</v>
      </c>
      <c r="D888" s="10" t="s">
        <v>19</v>
      </c>
      <c r="E888" s="10" t="s">
        <v>372</v>
      </c>
      <c r="F888" s="10" t="str">
        <f>"2170606395 "</f>
        <v xml:space="preserve">2170606395 </v>
      </c>
      <c r="G888" s="10" t="str">
        <f t="shared" si="28"/>
        <v>ON1</v>
      </c>
      <c r="H888" s="10" t="s">
        <v>21</v>
      </c>
      <c r="I888" s="10" t="s">
        <v>93</v>
      </c>
      <c r="J888" s="10" t="str">
        <f>""</f>
        <v/>
      </c>
      <c r="K888" s="10" t="str">
        <f>"PFES1162629948_0001"</f>
        <v>PFES1162629948_0001</v>
      </c>
      <c r="L888" s="10">
        <v>1</v>
      </c>
      <c r="M888" s="10">
        <v>1</v>
      </c>
    </row>
    <row r="889" spans="1:13">
      <c r="A889" s="8">
        <v>43266</v>
      </c>
      <c r="B889" s="9">
        <v>0.58402777777777781</v>
      </c>
      <c r="C889" s="10" t="str">
        <f>"FES1162629868"</f>
        <v>FES1162629868</v>
      </c>
      <c r="D889" s="10" t="s">
        <v>19</v>
      </c>
      <c r="E889" s="10" t="s">
        <v>592</v>
      </c>
      <c r="F889" s="10" t="str">
        <f>"2170634775 "</f>
        <v xml:space="preserve">2170634775 </v>
      </c>
      <c r="G889" s="10" t="str">
        <f t="shared" si="28"/>
        <v>ON1</v>
      </c>
      <c r="H889" s="10" t="s">
        <v>21</v>
      </c>
      <c r="I889" s="10" t="s">
        <v>267</v>
      </c>
      <c r="J889" s="10" t="str">
        <f>""</f>
        <v/>
      </c>
      <c r="K889" s="10" t="str">
        <f>"PFES1162629868_0001"</f>
        <v>PFES1162629868_0001</v>
      </c>
      <c r="L889" s="10">
        <v>1</v>
      </c>
      <c r="M889" s="10">
        <v>3</v>
      </c>
    </row>
    <row r="890" spans="1:13">
      <c r="A890" s="8">
        <v>43266</v>
      </c>
      <c r="B890" s="9">
        <v>0.58402777777777781</v>
      </c>
      <c r="C890" s="10" t="str">
        <f>"FES1162629968"</f>
        <v>FES1162629968</v>
      </c>
      <c r="D890" s="10" t="s">
        <v>19</v>
      </c>
      <c r="E890" s="10" t="s">
        <v>642</v>
      </c>
      <c r="F890" s="10" t="str">
        <f>"2170636875 "</f>
        <v xml:space="preserve">2170636875 </v>
      </c>
      <c r="G890" s="10" t="str">
        <f t="shared" si="28"/>
        <v>ON1</v>
      </c>
      <c r="H890" s="10" t="s">
        <v>21</v>
      </c>
      <c r="I890" s="10" t="s">
        <v>285</v>
      </c>
      <c r="J890" s="10" t="str">
        <f>""</f>
        <v/>
      </c>
      <c r="K890" s="10" t="str">
        <f>"PFES1162629968_0001"</f>
        <v>PFES1162629968_0001</v>
      </c>
      <c r="L890" s="10">
        <v>1</v>
      </c>
      <c r="M890" s="10">
        <v>1</v>
      </c>
    </row>
    <row r="891" spans="1:13">
      <c r="A891" s="8">
        <v>43266</v>
      </c>
      <c r="B891" s="9">
        <v>0.58333333333333337</v>
      </c>
      <c r="C891" s="10" t="str">
        <f>"FES1162629971"</f>
        <v>FES1162629971</v>
      </c>
      <c r="D891" s="10" t="s">
        <v>19</v>
      </c>
      <c r="E891" s="10" t="s">
        <v>377</v>
      </c>
      <c r="F891" s="10" t="str">
        <f>"2170636972 "</f>
        <v xml:space="preserve">2170636972 </v>
      </c>
      <c r="G891" s="10" t="str">
        <f t="shared" si="28"/>
        <v>ON1</v>
      </c>
      <c r="H891" s="10" t="s">
        <v>21</v>
      </c>
      <c r="I891" s="10" t="s">
        <v>378</v>
      </c>
      <c r="J891" s="10" t="str">
        <f>""</f>
        <v/>
      </c>
      <c r="K891" s="10" t="str">
        <f>"PFES1162629971_0001"</f>
        <v>PFES1162629971_0001</v>
      </c>
      <c r="L891" s="10">
        <v>1</v>
      </c>
      <c r="M891" s="10">
        <v>1</v>
      </c>
    </row>
    <row r="892" spans="1:13">
      <c r="A892" s="8">
        <v>43266</v>
      </c>
      <c r="B892" s="9">
        <v>0.58333333333333337</v>
      </c>
      <c r="C892" s="10" t="str">
        <f>"FES1162629922"</f>
        <v>FES1162629922</v>
      </c>
      <c r="D892" s="10" t="s">
        <v>19</v>
      </c>
      <c r="E892" s="10" t="s">
        <v>286</v>
      </c>
      <c r="F892" s="10" t="str">
        <f>"2170636935 "</f>
        <v xml:space="preserve">2170636935 </v>
      </c>
      <c r="G892" s="10" t="str">
        <f t="shared" si="28"/>
        <v>ON1</v>
      </c>
      <c r="H892" s="10" t="s">
        <v>21</v>
      </c>
      <c r="I892" s="10" t="s">
        <v>79</v>
      </c>
      <c r="J892" s="10" t="str">
        <f>""</f>
        <v/>
      </c>
      <c r="K892" s="10" t="str">
        <f>"PFES1162629922_0001"</f>
        <v>PFES1162629922_0001</v>
      </c>
      <c r="L892" s="10">
        <v>1</v>
      </c>
      <c r="M892" s="10">
        <v>1</v>
      </c>
    </row>
    <row r="893" spans="1:13">
      <c r="A893" s="8">
        <v>43266</v>
      </c>
      <c r="B893" s="9">
        <v>0.58263888888888882</v>
      </c>
      <c r="C893" s="10" t="str">
        <f>"FES1162629966"</f>
        <v>FES1162629966</v>
      </c>
      <c r="D893" s="10" t="s">
        <v>19</v>
      </c>
      <c r="E893" s="10" t="s">
        <v>341</v>
      </c>
      <c r="F893" s="10" t="str">
        <f>"2170636977 "</f>
        <v xml:space="preserve">2170636977 </v>
      </c>
      <c r="G893" s="10" t="str">
        <f t="shared" si="28"/>
        <v>ON1</v>
      </c>
      <c r="H893" s="10" t="s">
        <v>21</v>
      </c>
      <c r="I893" s="10" t="s">
        <v>342</v>
      </c>
      <c r="J893" s="10" t="str">
        <f>""</f>
        <v/>
      </c>
      <c r="K893" s="10" t="str">
        <f>"PFES1162629966_0001"</f>
        <v>PFES1162629966_0001</v>
      </c>
      <c r="L893" s="10">
        <v>1</v>
      </c>
      <c r="M893" s="10">
        <v>1</v>
      </c>
    </row>
    <row r="894" spans="1:13">
      <c r="A894" s="8">
        <v>43266</v>
      </c>
      <c r="B894" s="9">
        <v>0.58263888888888882</v>
      </c>
      <c r="C894" s="10" t="str">
        <f>"FES1162629914"</f>
        <v>FES1162629914</v>
      </c>
      <c r="D894" s="10" t="s">
        <v>19</v>
      </c>
      <c r="E894" s="10" t="s">
        <v>119</v>
      </c>
      <c r="F894" s="10" t="str">
        <f>"2170636922 "</f>
        <v xml:space="preserve">2170636922 </v>
      </c>
      <c r="G894" s="10" t="str">
        <f t="shared" si="28"/>
        <v>ON1</v>
      </c>
      <c r="H894" s="10" t="s">
        <v>21</v>
      </c>
      <c r="I894" s="10" t="s">
        <v>83</v>
      </c>
      <c r="J894" s="10" t="str">
        <f>""</f>
        <v/>
      </c>
      <c r="K894" s="10" t="str">
        <f>"PFES1162629914_0001"</f>
        <v>PFES1162629914_0001</v>
      </c>
      <c r="L894" s="10">
        <v>1</v>
      </c>
      <c r="M894" s="10">
        <v>16</v>
      </c>
    </row>
    <row r="895" spans="1:13">
      <c r="A895" s="8">
        <v>43266</v>
      </c>
      <c r="B895" s="9">
        <v>0.5756944444444444</v>
      </c>
      <c r="C895" s="10" t="str">
        <f>"FES1162629979"</f>
        <v>FES1162629979</v>
      </c>
      <c r="D895" s="10" t="s">
        <v>19</v>
      </c>
      <c r="E895" s="10" t="s">
        <v>643</v>
      </c>
      <c r="F895" s="10" t="str">
        <f>"2170636991 "</f>
        <v xml:space="preserve">2170636991 </v>
      </c>
      <c r="G895" s="10" t="str">
        <f>"SDX"</f>
        <v>SDX</v>
      </c>
      <c r="H895" s="10" t="s">
        <v>21</v>
      </c>
      <c r="I895" s="10" t="s">
        <v>61</v>
      </c>
      <c r="J895" s="10" t="str">
        <f>"SDX"</f>
        <v>SDX</v>
      </c>
      <c r="K895" s="10" t="str">
        <f>"PFES1162629979_0001"</f>
        <v>PFES1162629979_0001</v>
      </c>
      <c r="L895" s="10">
        <v>1</v>
      </c>
      <c r="M895" s="10">
        <v>1</v>
      </c>
    </row>
    <row r="896" spans="1:13">
      <c r="A896" s="8">
        <v>43266</v>
      </c>
      <c r="B896" s="9">
        <v>0.5625</v>
      </c>
      <c r="C896" s="10" t="str">
        <f>"FES1162629952"</f>
        <v>FES1162629952</v>
      </c>
      <c r="D896" s="10" t="s">
        <v>19</v>
      </c>
      <c r="E896" s="10" t="s">
        <v>364</v>
      </c>
      <c r="F896" s="10" t="str">
        <f>"2170636376 "</f>
        <v xml:space="preserve">2170636376 </v>
      </c>
      <c r="G896" s="10" t="str">
        <f t="shared" ref="G896:G959" si="29">"ON1"</f>
        <v>ON1</v>
      </c>
      <c r="H896" s="10" t="s">
        <v>21</v>
      </c>
      <c r="I896" s="10" t="s">
        <v>146</v>
      </c>
      <c r="J896" s="10" t="str">
        <f>""</f>
        <v/>
      </c>
      <c r="K896" s="10" t="str">
        <f>"PFES1162629952_0001"</f>
        <v>PFES1162629952_0001</v>
      </c>
      <c r="L896" s="10">
        <v>1</v>
      </c>
      <c r="M896" s="10">
        <v>7</v>
      </c>
    </row>
    <row r="897" spans="1:13">
      <c r="A897" s="8">
        <v>43266</v>
      </c>
      <c r="B897" s="9">
        <v>0.56180555555555556</v>
      </c>
      <c r="C897" s="10" t="str">
        <f>"FES1162629800"</f>
        <v>FES1162629800</v>
      </c>
      <c r="D897" s="10" t="s">
        <v>19</v>
      </c>
      <c r="E897" s="10" t="s">
        <v>312</v>
      </c>
      <c r="F897" s="10" t="str">
        <f>"2170636831 "</f>
        <v xml:space="preserve">2170636831 </v>
      </c>
      <c r="G897" s="10" t="str">
        <f t="shared" si="29"/>
        <v>ON1</v>
      </c>
      <c r="H897" s="10" t="s">
        <v>21</v>
      </c>
      <c r="I897" s="10" t="s">
        <v>313</v>
      </c>
      <c r="J897" s="10" t="str">
        <f>""</f>
        <v/>
      </c>
      <c r="K897" s="10" t="str">
        <f>"PFES1162629800_0001"</f>
        <v>PFES1162629800_0001</v>
      </c>
      <c r="L897" s="10">
        <v>1</v>
      </c>
      <c r="M897" s="10">
        <v>1</v>
      </c>
    </row>
    <row r="898" spans="1:13">
      <c r="A898" s="8">
        <v>43266</v>
      </c>
      <c r="B898" s="9">
        <v>0.56111111111111112</v>
      </c>
      <c r="C898" s="10" t="str">
        <f>"FES1162629803"</f>
        <v>FES1162629803</v>
      </c>
      <c r="D898" s="10" t="s">
        <v>19</v>
      </c>
      <c r="E898" s="10" t="s">
        <v>67</v>
      </c>
      <c r="F898" s="10" t="str">
        <f>"2170636834 "</f>
        <v xml:space="preserve">2170636834 </v>
      </c>
      <c r="G898" s="10" t="str">
        <f t="shared" si="29"/>
        <v>ON1</v>
      </c>
      <c r="H898" s="10" t="s">
        <v>21</v>
      </c>
      <c r="I898" s="10" t="s">
        <v>397</v>
      </c>
      <c r="J898" s="10" t="str">
        <f>""</f>
        <v/>
      </c>
      <c r="K898" s="10" t="str">
        <f>"PFES1162629803_0001"</f>
        <v>PFES1162629803_0001</v>
      </c>
      <c r="L898" s="10">
        <v>1</v>
      </c>
      <c r="M898" s="10">
        <v>1</v>
      </c>
    </row>
    <row r="899" spans="1:13">
      <c r="A899" s="8">
        <v>43266</v>
      </c>
      <c r="B899" s="9">
        <v>0.56111111111111112</v>
      </c>
      <c r="C899" s="10" t="str">
        <f>"FES1162629942"</f>
        <v>FES1162629942</v>
      </c>
      <c r="D899" s="10" t="s">
        <v>19</v>
      </c>
      <c r="E899" s="10" t="s">
        <v>399</v>
      </c>
      <c r="F899" s="10" t="str">
        <f>"2170636948 "</f>
        <v xml:space="preserve">2170636948 </v>
      </c>
      <c r="G899" s="10" t="str">
        <f t="shared" si="29"/>
        <v>ON1</v>
      </c>
      <c r="H899" s="10" t="s">
        <v>21</v>
      </c>
      <c r="I899" s="10" t="s">
        <v>400</v>
      </c>
      <c r="J899" s="10" t="str">
        <f>""</f>
        <v/>
      </c>
      <c r="K899" s="10" t="str">
        <f>"PFES1162629942_0001"</f>
        <v>PFES1162629942_0001</v>
      </c>
      <c r="L899" s="10">
        <v>1</v>
      </c>
      <c r="M899" s="10">
        <v>1</v>
      </c>
    </row>
    <row r="900" spans="1:13">
      <c r="A900" s="8">
        <v>43266</v>
      </c>
      <c r="B900" s="9">
        <v>0.56041666666666667</v>
      </c>
      <c r="C900" s="10" t="str">
        <f>"FES1162629856"</f>
        <v>FES1162629856</v>
      </c>
      <c r="D900" s="10" t="s">
        <v>19</v>
      </c>
      <c r="E900" s="10" t="s">
        <v>644</v>
      </c>
      <c r="F900" s="10" t="str">
        <f>"2170634537 "</f>
        <v xml:space="preserve">2170634537 </v>
      </c>
      <c r="G900" s="10" t="str">
        <f t="shared" si="29"/>
        <v>ON1</v>
      </c>
      <c r="H900" s="10" t="s">
        <v>21</v>
      </c>
      <c r="I900" s="10" t="s">
        <v>34</v>
      </c>
      <c r="J900" s="10" t="str">
        <f>""</f>
        <v/>
      </c>
      <c r="K900" s="10" t="str">
        <f>"PFES1162629856_0001"</f>
        <v>PFES1162629856_0001</v>
      </c>
      <c r="L900" s="10">
        <v>1</v>
      </c>
      <c r="M900" s="10">
        <v>1</v>
      </c>
    </row>
    <row r="901" spans="1:13">
      <c r="A901" s="8">
        <v>43266</v>
      </c>
      <c r="B901" s="9">
        <v>0.56041666666666667</v>
      </c>
      <c r="C901" s="10" t="str">
        <f>"FES1162629838"</f>
        <v>FES1162629838</v>
      </c>
      <c r="D901" s="10" t="s">
        <v>19</v>
      </c>
      <c r="E901" s="10" t="s">
        <v>261</v>
      </c>
      <c r="F901" s="10" t="str">
        <f>"2170634200 "</f>
        <v xml:space="preserve">2170634200 </v>
      </c>
      <c r="G901" s="10" t="str">
        <f t="shared" si="29"/>
        <v>ON1</v>
      </c>
      <c r="H901" s="10" t="s">
        <v>21</v>
      </c>
      <c r="I901" s="10" t="s">
        <v>262</v>
      </c>
      <c r="J901" s="10" t="str">
        <f>""</f>
        <v/>
      </c>
      <c r="K901" s="10" t="str">
        <f>"PFES1162629838_0001"</f>
        <v>PFES1162629838_0001</v>
      </c>
      <c r="L901" s="10">
        <v>1</v>
      </c>
      <c r="M901" s="10">
        <v>1</v>
      </c>
    </row>
    <row r="902" spans="1:13">
      <c r="A902" s="8">
        <v>43266</v>
      </c>
      <c r="B902" s="9">
        <v>0.56041666666666667</v>
      </c>
      <c r="C902" s="10" t="str">
        <f>"FES1162629884"</f>
        <v>FES1162629884</v>
      </c>
      <c r="D902" s="10" t="s">
        <v>19</v>
      </c>
      <c r="E902" s="10" t="s">
        <v>67</v>
      </c>
      <c r="F902" s="10" t="str">
        <f>"2170636885 "</f>
        <v xml:space="preserve">2170636885 </v>
      </c>
      <c r="G902" s="10" t="str">
        <f t="shared" si="29"/>
        <v>ON1</v>
      </c>
      <c r="H902" s="10" t="s">
        <v>21</v>
      </c>
      <c r="I902" s="10" t="s">
        <v>46</v>
      </c>
      <c r="J902" s="10" t="str">
        <f>""</f>
        <v/>
      </c>
      <c r="K902" s="10" t="str">
        <f>"PFES1162629884_0001"</f>
        <v>PFES1162629884_0001</v>
      </c>
      <c r="L902" s="10">
        <v>1</v>
      </c>
      <c r="M902" s="10">
        <v>1</v>
      </c>
    </row>
    <row r="903" spans="1:13">
      <c r="A903" s="8">
        <v>43266</v>
      </c>
      <c r="B903" s="9">
        <v>0.55972222222222223</v>
      </c>
      <c r="C903" s="10" t="str">
        <f>"FES1162629865"</f>
        <v>FES1162629865</v>
      </c>
      <c r="D903" s="10" t="s">
        <v>19</v>
      </c>
      <c r="E903" s="10" t="s">
        <v>50</v>
      </c>
      <c r="F903" s="10" t="str">
        <f>"2170634689 "</f>
        <v xml:space="preserve">2170634689 </v>
      </c>
      <c r="G903" s="10" t="str">
        <f t="shared" si="29"/>
        <v>ON1</v>
      </c>
      <c r="H903" s="10" t="s">
        <v>21</v>
      </c>
      <c r="I903" s="10" t="s">
        <v>51</v>
      </c>
      <c r="J903" s="10" t="str">
        <f>""</f>
        <v/>
      </c>
      <c r="K903" s="10" t="str">
        <f>"PFES1162629865_0001"</f>
        <v>PFES1162629865_0001</v>
      </c>
      <c r="L903" s="10">
        <v>1</v>
      </c>
      <c r="M903" s="10">
        <v>1</v>
      </c>
    </row>
    <row r="904" spans="1:13">
      <c r="A904" s="8">
        <v>43266</v>
      </c>
      <c r="B904" s="9">
        <v>0.55833333333333335</v>
      </c>
      <c r="C904" s="10" t="str">
        <f>"FES1162629819"</f>
        <v>FES1162629819</v>
      </c>
      <c r="D904" s="10" t="s">
        <v>19</v>
      </c>
      <c r="E904" s="10" t="s">
        <v>645</v>
      </c>
      <c r="F904" s="10" t="str">
        <f>"2170636784 "</f>
        <v xml:space="preserve">2170636784 </v>
      </c>
      <c r="G904" s="10" t="str">
        <f t="shared" si="29"/>
        <v>ON1</v>
      </c>
      <c r="H904" s="10" t="s">
        <v>21</v>
      </c>
      <c r="I904" s="10" t="s">
        <v>646</v>
      </c>
      <c r="J904" s="10" t="str">
        <f>""</f>
        <v/>
      </c>
      <c r="K904" s="10" t="str">
        <f>"PFES1162629819_0001"</f>
        <v>PFES1162629819_0001</v>
      </c>
      <c r="L904" s="10">
        <v>1</v>
      </c>
      <c r="M904" s="10">
        <v>1</v>
      </c>
    </row>
    <row r="905" spans="1:13">
      <c r="A905" s="8">
        <v>43266</v>
      </c>
      <c r="B905" s="9">
        <v>0.55625000000000002</v>
      </c>
      <c r="C905" s="10" t="str">
        <f>"FES1162629858"</f>
        <v>FES1162629858</v>
      </c>
      <c r="D905" s="10" t="s">
        <v>19</v>
      </c>
      <c r="E905" s="10" t="s">
        <v>67</v>
      </c>
      <c r="F905" s="10" t="str">
        <f>"2170634546 "</f>
        <v xml:space="preserve">2170634546 </v>
      </c>
      <c r="G905" s="10" t="str">
        <f t="shared" si="29"/>
        <v>ON1</v>
      </c>
      <c r="H905" s="10" t="s">
        <v>21</v>
      </c>
      <c r="I905" s="10" t="s">
        <v>46</v>
      </c>
      <c r="J905" s="10" t="str">
        <f>""</f>
        <v/>
      </c>
      <c r="K905" s="10" t="str">
        <f>"PFES1162629858_0001"</f>
        <v>PFES1162629858_0001</v>
      </c>
      <c r="L905" s="10">
        <v>1</v>
      </c>
      <c r="M905" s="10">
        <v>4</v>
      </c>
    </row>
    <row r="906" spans="1:13">
      <c r="A906" s="8">
        <v>43266</v>
      </c>
      <c r="B906" s="9">
        <v>0.55486111111111114</v>
      </c>
      <c r="C906" s="10" t="str">
        <f>"FES1162629804"</f>
        <v>FES1162629804</v>
      </c>
      <c r="D906" s="10" t="s">
        <v>19</v>
      </c>
      <c r="E906" s="10" t="s">
        <v>647</v>
      </c>
      <c r="F906" s="10" t="str">
        <f>"2170636838 "</f>
        <v xml:space="preserve">2170636838 </v>
      </c>
      <c r="G906" s="10" t="str">
        <f t="shared" si="29"/>
        <v>ON1</v>
      </c>
      <c r="H906" s="10" t="s">
        <v>21</v>
      </c>
      <c r="I906" s="10" t="s">
        <v>358</v>
      </c>
      <c r="J906" s="10" t="str">
        <f>""</f>
        <v/>
      </c>
      <c r="K906" s="10" t="str">
        <f>"PFES1162629804_0001"</f>
        <v>PFES1162629804_0001</v>
      </c>
      <c r="L906" s="10">
        <v>1</v>
      </c>
      <c r="M906" s="10">
        <v>1</v>
      </c>
    </row>
    <row r="907" spans="1:13">
      <c r="A907" s="8">
        <v>43266</v>
      </c>
      <c r="B907" s="9">
        <v>0.55486111111111114</v>
      </c>
      <c r="C907" s="10" t="str">
        <f>"FES1162629845"</f>
        <v>FES1162629845</v>
      </c>
      <c r="D907" s="10" t="s">
        <v>19</v>
      </c>
      <c r="E907" s="10" t="s">
        <v>259</v>
      </c>
      <c r="F907" s="10" t="str">
        <f>"2170634360 "</f>
        <v xml:space="preserve">2170634360 </v>
      </c>
      <c r="G907" s="10" t="str">
        <f t="shared" si="29"/>
        <v>ON1</v>
      </c>
      <c r="H907" s="10" t="s">
        <v>21</v>
      </c>
      <c r="I907" s="10" t="s">
        <v>260</v>
      </c>
      <c r="J907" s="10" t="str">
        <f>""</f>
        <v/>
      </c>
      <c r="K907" s="10" t="str">
        <f>"PFES1162629845_0001"</f>
        <v>PFES1162629845_0001</v>
      </c>
      <c r="L907" s="10">
        <v>1</v>
      </c>
      <c r="M907" s="10">
        <v>15</v>
      </c>
    </row>
    <row r="908" spans="1:13">
      <c r="A908" s="8">
        <v>43266</v>
      </c>
      <c r="B908" s="9">
        <v>0.55347222222222225</v>
      </c>
      <c r="C908" s="10" t="str">
        <f>"FES1162629924"</f>
        <v>FES1162629924</v>
      </c>
      <c r="D908" s="10" t="s">
        <v>19</v>
      </c>
      <c r="E908" s="10" t="s">
        <v>648</v>
      </c>
      <c r="F908" s="10" t="str">
        <f>"2170636907 "</f>
        <v xml:space="preserve">2170636907 </v>
      </c>
      <c r="G908" s="10" t="str">
        <f t="shared" si="29"/>
        <v>ON1</v>
      </c>
      <c r="H908" s="10" t="s">
        <v>21</v>
      </c>
      <c r="I908" s="10" t="s">
        <v>483</v>
      </c>
      <c r="J908" s="10" t="str">
        <f>""</f>
        <v/>
      </c>
      <c r="K908" s="10" t="str">
        <f>"PFES1162629924_0001"</f>
        <v>PFES1162629924_0001</v>
      </c>
      <c r="L908" s="10">
        <v>1</v>
      </c>
      <c r="M908" s="10">
        <v>3</v>
      </c>
    </row>
    <row r="909" spans="1:13">
      <c r="A909" s="8">
        <v>43266</v>
      </c>
      <c r="B909" s="9">
        <v>0.55208333333333337</v>
      </c>
      <c r="C909" s="10" t="str">
        <f>"FES1162629901"</f>
        <v>FES1162629901</v>
      </c>
      <c r="D909" s="10" t="s">
        <v>19</v>
      </c>
      <c r="E909" s="10" t="s">
        <v>547</v>
      </c>
      <c r="F909" s="10" t="str">
        <f>"2170636908 "</f>
        <v xml:space="preserve">2170636908 </v>
      </c>
      <c r="G909" s="10" t="str">
        <f t="shared" si="29"/>
        <v>ON1</v>
      </c>
      <c r="H909" s="10" t="s">
        <v>21</v>
      </c>
      <c r="I909" s="10" t="s">
        <v>548</v>
      </c>
      <c r="J909" s="10" t="str">
        <f>""</f>
        <v/>
      </c>
      <c r="K909" s="10" t="str">
        <f>"PFES1162629901_0001"</f>
        <v>PFES1162629901_0001</v>
      </c>
      <c r="L909" s="10">
        <v>1</v>
      </c>
      <c r="M909" s="10">
        <v>2</v>
      </c>
    </row>
    <row r="910" spans="1:13">
      <c r="A910" s="8">
        <v>43266</v>
      </c>
      <c r="B910" s="9">
        <v>0.54999999999999993</v>
      </c>
      <c r="C910" s="10" t="str">
        <f>"FES1162629899"</f>
        <v>FES1162629899</v>
      </c>
      <c r="D910" s="10" t="s">
        <v>19</v>
      </c>
      <c r="E910" s="10" t="s">
        <v>649</v>
      </c>
      <c r="F910" s="10" t="str">
        <f>"2170636904 "</f>
        <v xml:space="preserve">2170636904 </v>
      </c>
      <c r="G910" s="10" t="str">
        <f t="shared" si="29"/>
        <v>ON1</v>
      </c>
      <c r="H910" s="10" t="s">
        <v>21</v>
      </c>
      <c r="I910" s="10" t="s">
        <v>26</v>
      </c>
      <c r="J910" s="10" t="str">
        <f>""</f>
        <v/>
      </c>
      <c r="K910" s="10" t="str">
        <f>"PFES1162629899_0001"</f>
        <v>PFES1162629899_0001</v>
      </c>
      <c r="L910" s="10">
        <v>1</v>
      </c>
      <c r="M910" s="10">
        <v>5</v>
      </c>
    </row>
    <row r="911" spans="1:13">
      <c r="A911" s="8">
        <v>43266</v>
      </c>
      <c r="B911" s="9">
        <v>0.54861111111111105</v>
      </c>
      <c r="C911" s="10" t="str">
        <f>"FES1162629937"</f>
        <v>FES1162629937</v>
      </c>
      <c r="D911" s="10" t="s">
        <v>19</v>
      </c>
      <c r="E911" s="10" t="s">
        <v>650</v>
      </c>
      <c r="F911" s="10" t="str">
        <f>"2170636943 "</f>
        <v xml:space="preserve">2170636943 </v>
      </c>
      <c r="G911" s="10" t="str">
        <f t="shared" si="29"/>
        <v>ON1</v>
      </c>
      <c r="H911" s="10" t="s">
        <v>21</v>
      </c>
      <c r="I911" s="10" t="s">
        <v>30</v>
      </c>
      <c r="J911" s="10" t="str">
        <f>""</f>
        <v/>
      </c>
      <c r="K911" s="10" t="str">
        <f>"PFES1162629937_0001"</f>
        <v>PFES1162629937_0001</v>
      </c>
      <c r="L911" s="10">
        <v>1</v>
      </c>
      <c r="M911" s="10">
        <v>4</v>
      </c>
    </row>
    <row r="912" spans="1:13">
      <c r="A912" s="8">
        <v>43266</v>
      </c>
      <c r="B912" s="9">
        <v>0.54791666666666672</v>
      </c>
      <c r="C912" s="10" t="str">
        <f>"FES1162629886"</f>
        <v>FES1162629886</v>
      </c>
      <c r="D912" s="10" t="s">
        <v>19</v>
      </c>
      <c r="E912" s="10" t="s">
        <v>312</v>
      </c>
      <c r="F912" s="10" t="str">
        <f>"2170636888 "</f>
        <v xml:space="preserve">2170636888 </v>
      </c>
      <c r="G912" s="10" t="str">
        <f t="shared" si="29"/>
        <v>ON1</v>
      </c>
      <c r="H912" s="10" t="s">
        <v>21</v>
      </c>
      <c r="I912" s="10" t="s">
        <v>313</v>
      </c>
      <c r="J912" s="10" t="str">
        <f>""</f>
        <v/>
      </c>
      <c r="K912" s="10" t="str">
        <f>"PFES1162629886_0001"</f>
        <v>PFES1162629886_0001</v>
      </c>
      <c r="L912" s="10">
        <v>1</v>
      </c>
      <c r="M912" s="10">
        <v>8</v>
      </c>
    </row>
    <row r="913" spans="1:13">
      <c r="A913" s="8">
        <v>43266</v>
      </c>
      <c r="B913" s="9">
        <v>0.54652777777777783</v>
      </c>
      <c r="C913" s="10" t="str">
        <f>"FES1162629885"</f>
        <v>FES1162629885</v>
      </c>
      <c r="D913" s="10" t="s">
        <v>19</v>
      </c>
      <c r="E913" s="10" t="s">
        <v>651</v>
      </c>
      <c r="F913" s="10" t="str">
        <f>"2170636887 "</f>
        <v xml:space="preserve">2170636887 </v>
      </c>
      <c r="G913" s="10" t="str">
        <f t="shared" si="29"/>
        <v>ON1</v>
      </c>
      <c r="H913" s="10" t="s">
        <v>21</v>
      </c>
      <c r="I913" s="10" t="s">
        <v>102</v>
      </c>
      <c r="J913" s="10" t="str">
        <f>""</f>
        <v/>
      </c>
      <c r="K913" s="10" t="str">
        <f>"PFES1162629885_0001"</f>
        <v>PFES1162629885_0001</v>
      </c>
      <c r="L913" s="10">
        <v>1</v>
      </c>
      <c r="M913" s="10">
        <v>7</v>
      </c>
    </row>
    <row r="914" spans="1:13">
      <c r="A914" s="8">
        <v>43266</v>
      </c>
      <c r="B914" s="9">
        <v>0.54513888888888895</v>
      </c>
      <c r="C914" s="10" t="str">
        <f>"FES1162629770"</f>
        <v>FES1162629770</v>
      </c>
      <c r="D914" s="10" t="s">
        <v>19</v>
      </c>
      <c r="E914" s="10" t="s">
        <v>68</v>
      </c>
      <c r="F914" s="10" t="str">
        <f>"2170635038 "</f>
        <v xml:space="preserve">2170635038 </v>
      </c>
      <c r="G914" s="10" t="str">
        <f t="shared" si="29"/>
        <v>ON1</v>
      </c>
      <c r="H914" s="10" t="s">
        <v>21</v>
      </c>
      <c r="I914" s="10" t="s">
        <v>69</v>
      </c>
      <c r="J914" s="10" t="str">
        <f>""</f>
        <v/>
      </c>
      <c r="K914" s="10" t="str">
        <f>"PFES1162629770_0001"</f>
        <v>PFES1162629770_0001</v>
      </c>
      <c r="L914" s="10">
        <v>1</v>
      </c>
      <c r="M914" s="10">
        <v>2</v>
      </c>
    </row>
    <row r="915" spans="1:13">
      <c r="A915" s="8">
        <v>43266</v>
      </c>
      <c r="B915" s="9">
        <v>0.54375000000000007</v>
      </c>
      <c r="C915" s="10" t="str">
        <f>"FES1162629941"</f>
        <v>FES1162629941</v>
      </c>
      <c r="D915" s="10" t="s">
        <v>19</v>
      </c>
      <c r="E915" s="10" t="s">
        <v>95</v>
      </c>
      <c r="F915" s="10" t="str">
        <f>"2170636947 "</f>
        <v xml:space="preserve">2170636947 </v>
      </c>
      <c r="G915" s="10" t="str">
        <f t="shared" si="29"/>
        <v>ON1</v>
      </c>
      <c r="H915" s="10" t="s">
        <v>21</v>
      </c>
      <c r="I915" s="10" t="s">
        <v>96</v>
      </c>
      <c r="J915" s="10" t="str">
        <f>""</f>
        <v/>
      </c>
      <c r="K915" s="10" t="str">
        <f>"PFES1162629941_0001"</f>
        <v>PFES1162629941_0001</v>
      </c>
      <c r="L915" s="10">
        <v>1</v>
      </c>
      <c r="M915" s="10">
        <v>5</v>
      </c>
    </row>
    <row r="916" spans="1:13">
      <c r="A916" s="8">
        <v>43266</v>
      </c>
      <c r="B916" s="9">
        <v>0.54236111111111118</v>
      </c>
      <c r="C916" s="10" t="str">
        <f>"FES1162629915"</f>
        <v>FES1162629915</v>
      </c>
      <c r="D916" s="10" t="s">
        <v>19</v>
      </c>
      <c r="E916" s="10" t="s">
        <v>501</v>
      </c>
      <c r="F916" s="10" t="str">
        <f>"2170636926 "</f>
        <v xml:space="preserve">2170636926 </v>
      </c>
      <c r="G916" s="10" t="str">
        <f t="shared" si="29"/>
        <v>ON1</v>
      </c>
      <c r="H916" s="10" t="s">
        <v>21</v>
      </c>
      <c r="I916" s="10" t="s">
        <v>75</v>
      </c>
      <c r="J916" s="10" t="str">
        <f>""</f>
        <v/>
      </c>
      <c r="K916" s="10" t="str">
        <f>"PFES1162629915_0001"</f>
        <v>PFES1162629915_0001</v>
      </c>
      <c r="L916" s="10">
        <v>1</v>
      </c>
      <c r="M916" s="10">
        <v>8</v>
      </c>
    </row>
    <row r="917" spans="1:13">
      <c r="A917" s="8">
        <v>43266</v>
      </c>
      <c r="B917" s="9">
        <v>0.54097222222222219</v>
      </c>
      <c r="C917" s="10" t="str">
        <f>"FES1162629786"</f>
        <v>FES1162629786</v>
      </c>
      <c r="D917" s="10" t="s">
        <v>19</v>
      </c>
      <c r="E917" s="10" t="s">
        <v>652</v>
      </c>
      <c r="F917" s="10" t="str">
        <f>"2170636772 "</f>
        <v xml:space="preserve">2170636772 </v>
      </c>
      <c r="G917" s="10" t="str">
        <f t="shared" si="29"/>
        <v>ON1</v>
      </c>
      <c r="H917" s="10" t="s">
        <v>21</v>
      </c>
      <c r="I917" s="10" t="s">
        <v>653</v>
      </c>
      <c r="J917" s="10" t="str">
        <f>""</f>
        <v/>
      </c>
      <c r="K917" s="10" t="str">
        <f>"PFES1162629786_0001"</f>
        <v>PFES1162629786_0001</v>
      </c>
      <c r="L917" s="10">
        <v>1</v>
      </c>
      <c r="M917" s="10">
        <v>4</v>
      </c>
    </row>
    <row r="918" spans="1:13">
      <c r="A918" s="8">
        <v>43266</v>
      </c>
      <c r="B918" s="9">
        <v>0.53888888888888886</v>
      </c>
      <c r="C918" s="10" t="str">
        <f>"FES1162629911"</f>
        <v>FES1162629911</v>
      </c>
      <c r="D918" s="10" t="s">
        <v>19</v>
      </c>
      <c r="E918" s="10" t="s">
        <v>468</v>
      </c>
      <c r="F918" s="10" t="str">
        <f>"2170636924 "</f>
        <v xml:space="preserve">2170636924 </v>
      </c>
      <c r="G918" s="10" t="str">
        <f t="shared" si="29"/>
        <v>ON1</v>
      </c>
      <c r="H918" s="10" t="s">
        <v>21</v>
      </c>
      <c r="I918" s="10" t="s">
        <v>469</v>
      </c>
      <c r="J918" s="10" t="str">
        <f>""</f>
        <v/>
      </c>
      <c r="K918" s="10" t="str">
        <f>"PFES1162629911_0001"</f>
        <v>PFES1162629911_0001</v>
      </c>
      <c r="L918" s="10">
        <v>2</v>
      </c>
      <c r="M918" s="10">
        <v>8</v>
      </c>
    </row>
    <row r="919" spans="1:13">
      <c r="A919" s="8">
        <v>43266</v>
      </c>
      <c r="B919" s="9">
        <v>0.53749999999999998</v>
      </c>
      <c r="C919" s="10" t="str">
        <f>"FES1162629813"</f>
        <v>FES1162629813</v>
      </c>
      <c r="D919" s="10" t="s">
        <v>19</v>
      </c>
      <c r="E919" s="10" t="s">
        <v>306</v>
      </c>
      <c r="F919" s="10" t="str">
        <f>"2170636859 "</f>
        <v xml:space="preserve">2170636859 </v>
      </c>
      <c r="G919" s="10" t="str">
        <f t="shared" si="29"/>
        <v>ON1</v>
      </c>
      <c r="H919" s="10" t="s">
        <v>21</v>
      </c>
      <c r="I919" s="10" t="s">
        <v>36</v>
      </c>
      <c r="J919" s="10" t="str">
        <f>""</f>
        <v/>
      </c>
      <c r="K919" s="10" t="str">
        <f>"PFES1162629813_0001"</f>
        <v>PFES1162629813_0001</v>
      </c>
      <c r="L919" s="10">
        <v>1</v>
      </c>
      <c r="M919" s="10">
        <v>3</v>
      </c>
    </row>
    <row r="920" spans="1:13">
      <c r="A920" s="8">
        <v>43266</v>
      </c>
      <c r="B920" s="9">
        <v>0.53611111111111109</v>
      </c>
      <c r="C920" s="10" t="str">
        <f>"FES1162629775"</f>
        <v>FES1162629775</v>
      </c>
      <c r="D920" s="10" t="s">
        <v>19</v>
      </c>
      <c r="E920" s="10" t="s">
        <v>50</v>
      </c>
      <c r="F920" s="10" t="str">
        <f>"2170635493 "</f>
        <v xml:space="preserve">2170635493 </v>
      </c>
      <c r="G920" s="10" t="str">
        <f t="shared" si="29"/>
        <v>ON1</v>
      </c>
      <c r="H920" s="10" t="s">
        <v>21</v>
      </c>
      <c r="I920" s="10" t="s">
        <v>51</v>
      </c>
      <c r="J920" s="10" t="str">
        <f>""</f>
        <v/>
      </c>
      <c r="K920" s="10" t="str">
        <f>"PFES1162629775_0001"</f>
        <v>PFES1162629775_0001</v>
      </c>
      <c r="L920" s="10">
        <v>1</v>
      </c>
      <c r="M920" s="10">
        <v>2</v>
      </c>
    </row>
    <row r="921" spans="1:13">
      <c r="A921" s="8">
        <v>43266</v>
      </c>
      <c r="B921" s="9">
        <v>0.53472222222222221</v>
      </c>
      <c r="C921" s="10" t="str">
        <f>"FES1162629918"</f>
        <v>FES1162629918</v>
      </c>
      <c r="D921" s="10" t="s">
        <v>19</v>
      </c>
      <c r="E921" s="10" t="s">
        <v>140</v>
      </c>
      <c r="F921" s="10" t="str">
        <f>"2170636925 "</f>
        <v xml:space="preserve">2170636925 </v>
      </c>
      <c r="G921" s="10" t="str">
        <f t="shared" si="29"/>
        <v>ON1</v>
      </c>
      <c r="H921" s="10" t="s">
        <v>21</v>
      </c>
      <c r="I921" s="10" t="s">
        <v>141</v>
      </c>
      <c r="J921" s="10" t="str">
        <f>""</f>
        <v/>
      </c>
      <c r="K921" s="10" t="str">
        <f>"PFES1162629918_0001"</f>
        <v>PFES1162629918_0001</v>
      </c>
      <c r="L921" s="10">
        <v>1</v>
      </c>
      <c r="M921" s="10">
        <v>6</v>
      </c>
    </row>
    <row r="922" spans="1:13">
      <c r="A922" s="8">
        <v>43266</v>
      </c>
      <c r="B922" s="9">
        <v>0.53263888888888888</v>
      </c>
      <c r="C922" s="10" t="str">
        <f>"FES1162629783"</f>
        <v>FES1162629783</v>
      </c>
      <c r="D922" s="10" t="s">
        <v>19</v>
      </c>
      <c r="E922" s="10" t="s">
        <v>654</v>
      </c>
      <c r="F922" s="10" t="str">
        <f>"2170636368 "</f>
        <v xml:space="preserve">2170636368 </v>
      </c>
      <c r="G922" s="10" t="str">
        <f t="shared" si="29"/>
        <v>ON1</v>
      </c>
      <c r="H922" s="10" t="s">
        <v>21</v>
      </c>
      <c r="I922" s="10" t="s">
        <v>614</v>
      </c>
      <c r="J922" s="10" t="str">
        <f>""</f>
        <v/>
      </c>
      <c r="K922" s="10" t="str">
        <f>"PFES1162629783_0001"</f>
        <v>PFES1162629783_0001</v>
      </c>
      <c r="L922" s="10">
        <v>1</v>
      </c>
      <c r="M922" s="10">
        <v>16</v>
      </c>
    </row>
    <row r="923" spans="1:13">
      <c r="A923" s="8">
        <v>43266</v>
      </c>
      <c r="B923" s="9">
        <v>0.53055555555555556</v>
      </c>
      <c r="C923" s="10" t="str">
        <f>"FES1162629830"</f>
        <v>FES1162629830</v>
      </c>
      <c r="D923" s="10" t="s">
        <v>19</v>
      </c>
      <c r="E923" s="10" t="s">
        <v>490</v>
      </c>
      <c r="F923" s="10" t="str">
        <f>"2170632984 "</f>
        <v xml:space="preserve">2170632984 </v>
      </c>
      <c r="G923" s="10" t="str">
        <f t="shared" si="29"/>
        <v>ON1</v>
      </c>
      <c r="H923" s="10" t="s">
        <v>21</v>
      </c>
      <c r="I923" s="10" t="s">
        <v>393</v>
      </c>
      <c r="J923" s="10" t="str">
        <f>""</f>
        <v/>
      </c>
      <c r="K923" s="10" t="str">
        <f>"PFES1162629830_0001"</f>
        <v>PFES1162629830_0001</v>
      </c>
      <c r="L923" s="10">
        <v>1</v>
      </c>
      <c r="M923" s="10">
        <v>1</v>
      </c>
    </row>
    <row r="924" spans="1:13">
      <c r="A924" s="8">
        <v>43266</v>
      </c>
      <c r="B924" s="9">
        <v>0.52916666666666667</v>
      </c>
      <c r="C924" s="10" t="str">
        <f>"FES1162629826"</f>
        <v>FES1162629826</v>
      </c>
      <c r="D924" s="10" t="s">
        <v>19</v>
      </c>
      <c r="E924" s="10" t="s">
        <v>513</v>
      </c>
      <c r="F924" s="10" t="str">
        <f>"2170626661 "</f>
        <v xml:space="preserve">2170626661 </v>
      </c>
      <c r="G924" s="10" t="str">
        <f t="shared" si="29"/>
        <v>ON1</v>
      </c>
      <c r="H924" s="10" t="s">
        <v>21</v>
      </c>
      <c r="I924" s="10" t="s">
        <v>93</v>
      </c>
      <c r="J924" s="10" t="str">
        <f>""</f>
        <v/>
      </c>
      <c r="K924" s="10" t="str">
        <f>"PFES1162629826_0001"</f>
        <v>PFES1162629826_0001</v>
      </c>
      <c r="L924" s="10">
        <v>1</v>
      </c>
      <c r="M924" s="10">
        <v>2</v>
      </c>
    </row>
    <row r="925" spans="1:13">
      <c r="A925" s="8">
        <v>43266</v>
      </c>
      <c r="B925" s="9">
        <v>0.52847222222222223</v>
      </c>
      <c r="C925" s="10" t="str">
        <f>"FES1162629875"</f>
        <v>FES1162629875</v>
      </c>
      <c r="D925" s="10" t="s">
        <v>19</v>
      </c>
      <c r="E925" s="10" t="s">
        <v>179</v>
      </c>
      <c r="F925" s="10" t="str">
        <f>"2170634978 "</f>
        <v xml:space="preserve">2170634978 </v>
      </c>
      <c r="G925" s="10" t="str">
        <f t="shared" si="29"/>
        <v>ON1</v>
      </c>
      <c r="H925" s="10" t="s">
        <v>21</v>
      </c>
      <c r="I925" s="10" t="s">
        <v>180</v>
      </c>
      <c r="J925" s="10" t="str">
        <f>""</f>
        <v/>
      </c>
      <c r="K925" s="10" t="str">
        <f>"PFES1162629875_0001"</f>
        <v>PFES1162629875_0001</v>
      </c>
      <c r="L925" s="10">
        <v>1</v>
      </c>
      <c r="M925" s="10">
        <v>2</v>
      </c>
    </row>
    <row r="926" spans="1:13">
      <c r="A926" s="8">
        <v>43266</v>
      </c>
      <c r="B926" s="9">
        <v>0.52708333333333335</v>
      </c>
      <c r="C926" s="10" t="str">
        <f>"FES1162629896"</f>
        <v>FES1162629896</v>
      </c>
      <c r="D926" s="10" t="s">
        <v>19</v>
      </c>
      <c r="E926" s="10" t="s">
        <v>655</v>
      </c>
      <c r="F926" s="10" t="str">
        <f>"2170636899 "</f>
        <v xml:space="preserve">2170636899 </v>
      </c>
      <c r="G926" s="10" t="str">
        <f t="shared" si="29"/>
        <v>ON1</v>
      </c>
      <c r="H926" s="10" t="s">
        <v>21</v>
      </c>
      <c r="I926" s="10" t="s">
        <v>69</v>
      </c>
      <c r="J926" s="10" t="str">
        <f>""</f>
        <v/>
      </c>
      <c r="K926" s="10" t="str">
        <f>"PFES1162629896_0001"</f>
        <v>PFES1162629896_0001</v>
      </c>
      <c r="L926" s="10">
        <v>1</v>
      </c>
      <c r="M926" s="10">
        <v>2</v>
      </c>
    </row>
    <row r="927" spans="1:13">
      <c r="A927" s="8">
        <v>43266</v>
      </c>
      <c r="B927" s="9">
        <v>0.52500000000000002</v>
      </c>
      <c r="C927" s="10" t="str">
        <f>"FES1162629921"</f>
        <v>FES1162629921</v>
      </c>
      <c r="D927" s="10" t="s">
        <v>19</v>
      </c>
      <c r="E927" s="10" t="s">
        <v>352</v>
      </c>
      <c r="F927" s="10" t="str">
        <f>"2170635842 "</f>
        <v xml:space="preserve">2170635842 </v>
      </c>
      <c r="G927" s="10" t="str">
        <f t="shared" si="29"/>
        <v>ON1</v>
      </c>
      <c r="H927" s="10" t="s">
        <v>21</v>
      </c>
      <c r="I927" s="10" t="s">
        <v>353</v>
      </c>
      <c r="J927" s="10" t="str">
        <f>""</f>
        <v/>
      </c>
      <c r="K927" s="10" t="str">
        <f>"PFES1162629921_0001"</f>
        <v>PFES1162629921_0001</v>
      </c>
      <c r="L927" s="10">
        <v>1</v>
      </c>
      <c r="M927" s="10">
        <v>1</v>
      </c>
    </row>
    <row r="928" spans="1:13">
      <c r="A928" s="8">
        <v>43266</v>
      </c>
      <c r="B928" s="9">
        <v>0.52222222222222225</v>
      </c>
      <c r="C928" s="10" t="str">
        <f>"FES1162629529"</f>
        <v>FES1162629529</v>
      </c>
      <c r="D928" s="10" t="s">
        <v>19</v>
      </c>
      <c r="E928" s="10" t="s">
        <v>408</v>
      </c>
      <c r="F928" s="10" t="str">
        <f>"2170636206 "</f>
        <v xml:space="preserve">2170636206 </v>
      </c>
      <c r="G928" s="10" t="str">
        <f t="shared" si="29"/>
        <v>ON1</v>
      </c>
      <c r="H928" s="10" t="s">
        <v>21</v>
      </c>
      <c r="I928" s="10" t="s">
        <v>297</v>
      </c>
      <c r="J928" s="10" t="str">
        <f>""</f>
        <v/>
      </c>
      <c r="K928" s="10" t="str">
        <f>"PFES1162629529_0001"</f>
        <v>PFES1162629529_0001</v>
      </c>
      <c r="L928" s="10">
        <v>1</v>
      </c>
      <c r="M928" s="10">
        <v>2</v>
      </c>
    </row>
    <row r="929" spans="1:13">
      <c r="A929" s="8">
        <v>43266</v>
      </c>
      <c r="B929" s="9">
        <v>0.52152777777777781</v>
      </c>
      <c r="C929" s="10" t="str">
        <f>"FES1162629871"</f>
        <v>FES1162629871</v>
      </c>
      <c r="D929" s="10" t="s">
        <v>19</v>
      </c>
      <c r="E929" s="10" t="s">
        <v>145</v>
      </c>
      <c r="F929" s="10" t="str">
        <f>"2170634856 "</f>
        <v xml:space="preserve">2170634856 </v>
      </c>
      <c r="G929" s="10" t="str">
        <f t="shared" si="29"/>
        <v>ON1</v>
      </c>
      <c r="H929" s="10" t="s">
        <v>21</v>
      </c>
      <c r="I929" s="10" t="s">
        <v>146</v>
      </c>
      <c r="J929" s="10" t="str">
        <f>""</f>
        <v/>
      </c>
      <c r="K929" s="10" t="str">
        <f>"PFES1162629871_0001"</f>
        <v>PFES1162629871_0001</v>
      </c>
      <c r="L929" s="10">
        <v>1</v>
      </c>
      <c r="M929" s="10">
        <v>3</v>
      </c>
    </row>
    <row r="930" spans="1:13">
      <c r="A930" s="8">
        <v>43266</v>
      </c>
      <c r="B930" s="9">
        <v>0.52013888888888882</v>
      </c>
      <c r="C930" s="10" t="str">
        <f>"FES1162629827"</f>
        <v>FES1162629827</v>
      </c>
      <c r="D930" s="10" t="s">
        <v>19</v>
      </c>
      <c r="E930" s="10" t="s">
        <v>150</v>
      </c>
      <c r="F930" s="10" t="str">
        <f>"2170627261 "</f>
        <v xml:space="preserve">2170627261 </v>
      </c>
      <c r="G930" s="10" t="str">
        <f t="shared" si="29"/>
        <v>ON1</v>
      </c>
      <c r="H930" s="10" t="s">
        <v>21</v>
      </c>
      <c r="I930" s="10" t="s">
        <v>151</v>
      </c>
      <c r="J930" s="10" t="str">
        <f>""</f>
        <v/>
      </c>
      <c r="K930" s="10" t="str">
        <f>"PFES1162629827_0001"</f>
        <v>PFES1162629827_0001</v>
      </c>
      <c r="L930" s="10">
        <v>1</v>
      </c>
      <c r="M930" s="10">
        <v>2</v>
      </c>
    </row>
    <row r="931" spans="1:13">
      <c r="A931" s="8">
        <v>43266</v>
      </c>
      <c r="B931" s="9">
        <v>0.51874999999999993</v>
      </c>
      <c r="C931" s="10" t="str">
        <f>"FES1162629864"</f>
        <v>FES1162629864</v>
      </c>
      <c r="D931" s="10" t="s">
        <v>19</v>
      </c>
      <c r="E931" s="10" t="s">
        <v>95</v>
      </c>
      <c r="F931" s="10" t="str">
        <f>"2170634665 "</f>
        <v xml:space="preserve">2170634665 </v>
      </c>
      <c r="G931" s="10" t="str">
        <f t="shared" si="29"/>
        <v>ON1</v>
      </c>
      <c r="H931" s="10" t="s">
        <v>21</v>
      </c>
      <c r="I931" s="10" t="s">
        <v>96</v>
      </c>
      <c r="J931" s="10" t="str">
        <f>""</f>
        <v/>
      </c>
      <c r="K931" s="10" t="str">
        <f>"PFES1162629864_0001"</f>
        <v>PFES1162629864_0001</v>
      </c>
      <c r="L931" s="10">
        <v>1</v>
      </c>
      <c r="M931" s="10">
        <v>1</v>
      </c>
    </row>
    <row r="932" spans="1:13">
      <c r="A932" s="8">
        <v>43266</v>
      </c>
      <c r="B932" s="9">
        <v>0.51666666666666672</v>
      </c>
      <c r="C932" s="10" t="str">
        <f>"FES1162629853"</f>
        <v>FES1162629853</v>
      </c>
      <c r="D932" s="10" t="s">
        <v>19</v>
      </c>
      <c r="E932" s="10" t="s">
        <v>540</v>
      </c>
      <c r="F932" s="10" t="str">
        <f>"2170634521 "</f>
        <v xml:space="preserve">2170634521 </v>
      </c>
      <c r="G932" s="10" t="str">
        <f t="shared" si="29"/>
        <v>ON1</v>
      </c>
      <c r="H932" s="10" t="s">
        <v>21</v>
      </c>
      <c r="I932" s="10" t="s">
        <v>55</v>
      </c>
      <c r="J932" s="10" t="str">
        <f>""</f>
        <v/>
      </c>
      <c r="K932" s="10" t="str">
        <f>"PFES1162629853_0001"</f>
        <v>PFES1162629853_0001</v>
      </c>
      <c r="L932" s="10">
        <v>1</v>
      </c>
      <c r="M932" s="10">
        <v>1</v>
      </c>
    </row>
    <row r="933" spans="1:13">
      <c r="A933" s="8">
        <v>43266</v>
      </c>
      <c r="B933" s="9">
        <v>0.51527777777777783</v>
      </c>
      <c r="C933" s="10" t="str">
        <f>"FES1162629781"</f>
        <v>FES1162629781</v>
      </c>
      <c r="D933" s="10" t="s">
        <v>19</v>
      </c>
      <c r="E933" s="10" t="s">
        <v>587</v>
      </c>
      <c r="F933" s="10" t="str">
        <f>"2170636024 "</f>
        <v xml:space="preserve">2170636024 </v>
      </c>
      <c r="G933" s="10" t="str">
        <f t="shared" si="29"/>
        <v>ON1</v>
      </c>
      <c r="H933" s="10" t="s">
        <v>21</v>
      </c>
      <c r="I933" s="10" t="s">
        <v>397</v>
      </c>
      <c r="J933" s="10" t="str">
        <f>""</f>
        <v/>
      </c>
      <c r="K933" s="10" t="str">
        <f>"PFES1162629781_0001"</f>
        <v>PFES1162629781_0001</v>
      </c>
      <c r="L933" s="10">
        <v>1</v>
      </c>
      <c r="M933" s="10">
        <v>2</v>
      </c>
    </row>
    <row r="934" spans="1:13">
      <c r="A934" s="8">
        <v>43266</v>
      </c>
      <c r="B934" s="9">
        <v>0.5131944444444444</v>
      </c>
      <c r="C934" s="10" t="str">
        <f>"FES1162629793"</f>
        <v>FES1162629793</v>
      </c>
      <c r="D934" s="10" t="s">
        <v>19</v>
      </c>
      <c r="E934" s="10" t="s">
        <v>278</v>
      </c>
      <c r="F934" s="10" t="str">
        <f>"2170636818 "</f>
        <v xml:space="preserve">2170636818 </v>
      </c>
      <c r="G934" s="10" t="str">
        <f t="shared" si="29"/>
        <v>ON1</v>
      </c>
      <c r="H934" s="10" t="s">
        <v>21</v>
      </c>
      <c r="I934" s="10" t="s">
        <v>279</v>
      </c>
      <c r="J934" s="10" t="str">
        <f>""</f>
        <v/>
      </c>
      <c r="K934" s="10" t="str">
        <f>"PFES1162629793_0001"</f>
        <v>PFES1162629793_0001</v>
      </c>
      <c r="L934" s="10">
        <v>1</v>
      </c>
      <c r="M934" s="10">
        <v>7</v>
      </c>
    </row>
    <row r="935" spans="1:13">
      <c r="A935" s="8">
        <v>43266</v>
      </c>
      <c r="B935" s="9">
        <v>0.51250000000000007</v>
      </c>
      <c r="C935" s="10" t="str">
        <f>"FES1162629780"</f>
        <v>FES1162629780</v>
      </c>
      <c r="D935" s="10" t="s">
        <v>19</v>
      </c>
      <c r="E935" s="10" t="s">
        <v>29</v>
      </c>
      <c r="F935" s="10" t="str">
        <f>"2170635769 "</f>
        <v xml:space="preserve">2170635769 </v>
      </c>
      <c r="G935" s="10" t="str">
        <f t="shared" si="29"/>
        <v>ON1</v>
      </c>
      <c r="H935" s="10" t="s">
        <v>21</v>
      </c>
      <c r="I935" s="10" t="s">
        <v>30</v>
      </c>
      <c r="J935" s="10" t="str">
        <f>""</f>
        <v/>
      </c>
      <c r="K935" s="10" t="str">
        <f>"PFES1162629780_0001"</f>
        <v>PFES1162629780_0001</v>
      </c>
      <c r="L935" s="10">
        <v>1</v>
      </c>
      <c r="M935" s="10">
        <v>1</v>
      </c>
    </row>
    <row r="936" spans="1:13">
      <c r="A936" s="8">
        <v>43266</v>
      </c>
      <c r="B936" s="9">
        <v>0.51250000000000007</v>
      </c>
      <c r="C936" s="10" t="str">
        <f>"FES1162629908"</f>
        <v>FES1162629908</v>
      </c>
      <c r="D936" s="10" t="s">
        <v>19</v>
      </c>
      <c r="E936" s="10" t="s">
        <v>191</v>
      </c>
      <c r="F936" s="10" t="str">
        <f>"2170636914 "</f>
        <v xml:space="preserve">2170636914 </v>
      </c>
      <c r="G936" s="10" t="str">
        <f t="shared" si="29"/>
        <v>ON1</v>
      </c>
      <c r="H936" s="10" t="s">
        <v>21</v>
      </c>
      <c r="I936" s="10" t="s">
        <v>192</v>
      </c>
      <c r="J936" s="10" t="str">
        <f>""</f>
        <v/>
      </c>
      <c r="K936" s="10" t="str">
        <f>"PFES1162629908_0001"</f>
        <v>PFES1162629908_0001</v>
      </c>
      <c r="L936" s="10">
        <v>1</v>
      </c>
      <c r="M936" s="10">
        <v>1</v>
      </c>
    </row>
    <row r="937" spans="1:13">
      <c r="A937" s="8">
        <v>43266</v>
      </c>
      <c r="B937" s="9">
        <v>0.51180555555555551</v>
      </c>
      <c r="C937" s="10" t="str">
        <f>"FES1162629812"</f>
        <v>FES1162629812</v>
      </c>
      <c r="D937" s="10" t="s">
        <v>19</v>
      </c>
      <c r="E937" s="10" t="s">
        <v>117</v>
      </c>
      <c r="F937" s="10" t="str">
        <f>"2170636857 "</f>
        <v xml:space="preserve">2170636857 </v>
      </c>
      <c r="G937" s="10" t="str">
        <f t="shared" si="29"/>
        <v>ON1</v>
      </c>
      <c r="H937" s="10" t="s">
        <v>21</v>
      </c>
      <c r="I937" s="10" t="s">
        <v>118</v>
      </c>
      <c r="J937" s="10" t="str">
        <f>""</f>
        <v/>
      </c>
      <c r="K937" s="10" t="str">
        <f>"PFES1162629812_0001"</f>
        <v>PFES1162629812_0001</v>
      </c>
      <c r="L937" s="10">
        <v>1</v>
      </c>
      <c r="M937" s="10">
        <v>13</v>
      </c>
    </row>
    <row r="938" spans="1:13">
      <c r="A938" s="8">
        <v>43266</v>
      </c>
      <c r="B938" s="9">
        <v>0.51180555555555551</v>
      </c>
      <c r="C938" s="10" t="str">
        <f>"FES1162629907"</f>
        <v>FES1162629907</v>
      </c>
      <c r="D938" s="10" t="s">
        <v>19</v>
      </c>
      <c r="E938" s="10" t="s">
        <v>191</v>
      </c>
      <c r="F938" s="10" t="str">
        <f>"2170636192 "</f>
        <v xml:space="preserve">2170636192 </v>
      </c>
      <c r="G938" s="10" t="str">
        <f t="shared" si="29"/>
        <v>ON1</v>
      </c>
      <c r="H938" s="10" t="s">
        <v>21</v>
      </c>
      <c r="I938" s="10" t="s">
        <v>192</v>
      </c>
      <c r="J938" s="10" t="str">
        <f>""</f>
        <v/>
      </c>
      <c r="K938" s="10" t="str">
        <f>"PFES1162629907_0001"</f>
        <v>PFES1162629907_0001</v>
      </c>
      <c r="L938" s="10">
        <v>1</v>
      </c>
      <c r="M938" s="10">
        <v>1</v>
      </c>
    </row>
    <row r="939" spans="1:13">
      <c r="A939" s="8">
        <v>43266</v>
      </c>
      <c r="B939" s="9">
        <v>0.51180555555555551</v>
      </c>
      <c r="C939" s="10" t="str">
        <f>"FES1162629829"</f>
        <v>FES1162629829</v>
      </c>
      <c r="D939" s="10" t="s">
        <v>19</v>
      </c>
      <c r="E939" s="10" t="s">
        <v>142</v>
      </c>
      <c r="F939" s="10" t="str">
        <f>"2170630039 "</f>
        <v xml:space="preserve">2170630039 </v>
      </c>
      <c r="G939" s="10" t="str">
        <f t="shared" si="29"/>
        <v>ON1</v>
      </c>
      <c r="H939" s="10" t="s">
        <v>21</v>
      </c>
      <c r="I939" s="10" t="s">
        <v>139</v>
      </c>
      <c r="J939" s="10" t="str">
        <f>""</f>
        <v/>
      </c>
      <c r="K939" s="10" t="str">
        <f>"PFES1162629829_0001"</f>
        <v>PFES1162629829_0001</v>
      </c>
      <c r="L939" s="10">
        <v>1</v>
      </c>
      <c r="M939" s="10">
        <v>1</v>
      </c>
    </row>
    <row r="940" spans="1:13">
      <c r="A940" s="8">
        <v>43266</v>
      </c>
      <c r="B940" s="9">
        <v>0.51180555555555551</v>
      </c>
      <c r="C940" s="10" t="str">
        <f>"FES1162629832"</f>
        <v>FES1162629832</v>
      </c>
      <c r="D940" s="10" t="s">
        <v>19</v>
      </c>
      <c r="E940" s="10" t="s">
        <v>74</v>
      </c>
      <c r="F940" s="10" t="str">
        <f>"2170633133 "</f>
        <v xml:space="preserve">2170633133 </v>
      </c>
      <c r="G940" s="10" t="str">
        <f t="shared" si="29"/>
        <v>ON1</v>
      </c>
      <c r="H940" s="10" t="s">
        <v>21</v>
      </c>
      <c r="I940" s="10" t="s">
        <v>75</v>
      </c>
      <c r="J940" s="10" t="str">
        <f>""</f>
        <v/>
      </c>
      <c r="K940" s="10" t="str">
        <f>"PFES1162629832_0001"</f>
        <v>PFES1162629832_0001</v>
      </c>
      <c r="L940" s="10">
        <v>1</v>
      </c>
      <c r="M940" s="10">
        <v>1</v>
      </c>
    </row>
    <row r="941" spans="1:13">
      <c r="A941" s="8">
        <v>43266</v>
      </c>
      <c r="B941" s="9">
        <v>0.51111111111111118</v>
      </c>
      <c r="C941" s="10" t="str">
        <f>"FES1162629890"</f>
        <v>FES1162629890</v>
      </c>
      <c r="D941" s="10" t="s">
        <v>19</v>
      </c>
      <c r="E941" s="10" t="s">
        <v>308</v>
      </c>
      <c r="F941" s="10" t="str">
        <f>"2170636894 "</f>
        <v xml:space="preserve">2170636894 </v>
      </c>
      <c r="G941" s="10" t="str">
        <f t="shared" si="29"/>
        <v>ON1</v>
      </c>
      <c r="H941" s="10" t="s">
        <v>21</v>
      </c>
      <c r="I941" s="10" t="s">
        <v>309</v>
      </c>
      <c r="J941" s="10" t="str">
        <f>""</f>
        <v/>
      </c>
      <c r="K941" s="10" t="str">
        <f>"PFES1162629890_0001"</f>
        <v>PFES1162629890_0001</v>
      </c>
      <c r="L941" s="10">
        <v>1</v>
      </c>
      <c r="M941" s="10">
        <v>1</v>
      </c>
    </row>
    <row r="942" spans="1:13">
      <c r="A942" s="8">
        <v>43266</v>
      </c>
      <c r="B942" s="9">
        <v>0.51111111111111118</v>
      </c>
      <c r="C942" s="10" t="str">
        <f>"FES1162629910"</f>
        <v>FES1162629910</v>
      </c>
      <c r="D942" s="10" t="s">
        <v>19</v>
      </c>
      <c r="E942" s="10" t="s">
        <v>656</v>
      </c>
      <c r="F942" s="10" t="str">
        <f>"2170636923 "</f>
        <v xml:space="preserve">2170636923 </v>
      </c>
      <c r="G942" s="10" t="str">
        <f t="shared" si="29"/>
        <v>ON1</v>
      </c>
      <c r="H942" s="10" t="s">
        <v>21</v>
      </c>
      <c r="I942" s="10" t="s">
        <v>42</v>
      </c>
      <c r="J942" s="10" t="str">
        <f>""</f>
        <v/>
      </c>
      <c r="K942" s="10" t="str">
        <f>"PFES1162629910_0001"</f>
        <v>PFES1162629910_0001</v>
      </c>
      <c r="L942" s="10">
        <v>1</v>
      </c>
      <c r="M942" s="10">
        <v>1</v>
      </c>
    </row>
    <row r="943" spans="1:13">
      <c r="A943" s="8">
        <v>43266</v>
      </c>
      <c r="B943" s="9">
        <v>0.51111111111111118</v>
      </c>
      <c r="C943" s="10" t="str">
        <f>"FES1162629869"</f>
        <v>FES1162629869</v>
      </c>
      <c r="D943" s="10" t="s">
        <v>19</v>
      </c>
      <c r="E943" s="10" t="s">
        <v>456</v>
      </c>
      <c r="F943" s="10" t="str">
        <f>"2170634815 "</f>
        <v xml:space="preserve">2170634815 </v>
      </c>
      <c r="G943" s="10" t="str">
        <f t="shared" si="29"/>
        <v>ON1</v>
      </c>
      <c r="H943" s="10" t="s">
        <v>21</v>
      </c>
      <c r="I943" s="10" t="s">
        <v>36</v>
      </c>
      <c r="J943" s="10" t="str">
        <f>""</f>
        <v/>
      </c>
      <c r="K943" s="10" t="str">
        <f>"PFES1162629869_0001"</f>
        <v>PFES1162629869_0001</v>
      </c>
      <c r="L943" s="10">
        <v>1</v>
      </c>
      <c r="M943" s="10">
        <v>3</v>
      </c>
    </row>
    <row r="944" spans="1:13">
      <c r="A944" s="8">
        <v>43266</v>
      </c>
      <c r="B944" s="9">
        <v>0.51111111111111118</v>
      </c>
      <c r="C944" s="10" t="str">
        <f>"FES1162629900"</f>
        <v>FES1162629900</v>
      </c>
      <c r="D944" s="10" t="s">
        <v>19</v>
      </c>
      <c r="E944" s="10" t="s">
        <v>657</v>
      </c>
      <c r="F944" s="10" t="str">
        <f>"2170636905 "</f>
        <v xml:space="preserve">2170636905 </v>
      </c>
      <c r="G944" s="10" t="str">
        <f t="shared" si="29"/>
        <v>ON1</v>
      </c>
      <c r="H944" s="10" t="s">
        <v>21</v>
      </c>
      <c r="I944" s="10" t="s">
        <v>83</v>
      </c>
      <c r="J944" s="10" t="str">
        <f>""</f>
        <v/>
      </c>
      <c r="K944" s="10" t="str">
        <f>"PFES1162629900_0001"</f>
        <v>PFES1162629900_0001</v>
      </c>
      <c r="L944" s="10">
        <v>1</v>
      </c>
      <c r="M944" s="10">
        <v>1</v>
      </c>
    </row>
    <row r="945" spans="1:13">
      <c r="A945" s="8">
        <v>43266</v>
      </c>
      <c r="B945" s="9">
        <v>0.51041666666666663</v>
      </c>
      <c r="C945" s="10" t="str">
        <f>"FES1162629912"</f>
        <v>FES1162629912</v>
      </c>
      <c r="D945" s="10" t="s">
        <v>19</v>
      </c>
      <c r="E945" s="10" t="s">
        <v>658</v>
      </c>
      <c r="F945" s="10" t="str">
        <f>"217063916 "</f>
        <v xml:space="preserve">217063916 </v>
      </c>
      <c r="G945" s="10" t="str">
        <f t="shared" si="29"/>
        <v>ON1</v>
      </c>
      <c r="H945" s="10" t="s">
        <v>21</v>
      </c>
      <c r="I945" s="10" t="s">
        <v>659</v>
      </c>
      <c r="J945" s="10" t="str">
        <f>""</f>
        <v/>
      </c>
      <c r="K945" s="10" t="str">
        <f>"PFES1162629912_0001"</f>
        <v>PFES1162629912_0001</v>
      </c>
      <c r="L945" s="10">
        <v>1</v>
      </c>
      <c r="M945" s="10">
        <v>1</v>
      </c>
    </row>
    <row r="946" spans="1:13">
      <c r="A946" s="8">
        <v>43266</v>
      </c>
      <c r="B946" s="9">
        <v>0.51041666666666663</v>
      </c>
      <c r="C946" s="10" t="str">
        <f>"FES1162629847"</f>
        <v>FES1162629847</v>
      </c>
      <c r="D946" s="10" t="s">
        <v>19</v>
      </c>
      <c r="E946" s="10" t="s">
        <v>234</v>
      </c>
      <c r="F946" s="10" t="str">
        <f>"2170634462 "</f>
        <v xml:space="preserve">2170634462 </v>
      </c>
      <c r="G946" s="10" t="str">
        <f t="shared" si="29"/>
        <v>ON1</v>
      </c>
      <c r="H946" s="10" t="s">
        <v>21</v>
      </c>
      <c r="I946" s="10" t="s">
        <v>104</v>
      </c>
      <c r="J946" s="10" t="str">
        <f>""</f>
        <v/>
      </c>
      <c r="K946" s="10" t="str">
        <f>"PFES1162629847_0001"</f>
        <v>PFES1162629847_0001</v>
      </c>
      <c r="L946" s="10">
        <v>1</v>
      </c>
      <c r="M946" s="10">
        <v>1</v>
      </c>
    </row>
    <row r="947" spans="1:13">
      <c r="A947" s="8">
        <v>43266</v>
      </c>
      <c r="B947" s="9">
        <v>0.50972222222222219</v>
      </c>
      <c r="C947" s="10" t="str">
        <f>"FES1162629909"</f>
        <v>FES1162629909</v>
      </c>
      <c r="D947" s="10" t="s">
        <v>19</v>
      </c>
      <c r="E947" s="10" t="s">
        <v>540</v>
      </c>
      <c r="F947" s="10" t="str">
        <f>"2170636918 "</f>
        <v xml:space="preserve">2170636918 </v>
      </c>
      <c r="G947" s="10" t="str">
        <f t="shared" si="29"/>
        <v>ON1</v>
      </c>
      <c r="H947" s="10" t="s">
        <v>21</v>
      </c>
      <c r="I947" s="10" t="s">
        <v>55</v>
      </c>
      <c r="J947" s="10" t="str">
        <f>""</f>
        <v/>
      </c>
      <c r="K947" s="10" t="str">
        <f>"PFES1162629909_0001"</f>
        <v>PFES1162629909_0001</v>
      </c>
      <c r="L947" s="10">
        <v>1</v>
      </c>
      <c r="M947" s="10">
        <v>1</v>
      </c>
    </row>
    <row r="948" spans="1:13">
      <c r="A948" s="8">
        <v>43266</v>
      </c>
      <c r="B948" s="9">
        <v>0.50972222222222219</v>
      </c>
      <c r="C948" s="10" t="str">
        <f>"FES1162629808"</f>
        <v>FES1162629808</v>
      </c>
      <c r="D948" s="10" t="s">
        <v>19</v>
      </c>
      <c r="E948" s="10" t="s">
        <v>598</v>
      </c>
      <c r="F948" s="10" t="str">
        <f>"2170636846 "</f>
        <v xml:space="preserve">2170636846 </v>
      </c>
      <c r="G948" s="10" t="str">
        <f t="shared" si="29"/>
        <v>ON1</v>
      </c>
      <c r="H948" s="10" t="s">
        <v>21</v>
      </c>
      <c r="I948" s="10" t="s">
        <v>260</v>
      </c>
      <c r="J948" s="10" t="str">
        <f>""</f>
        <v/>
      </c>
      <c r="K948" s="10" t="str">
        <f>"PFES1162629808_0001"</f>
        <v>PFES1162629808_0001</v>
      </c>
      <c r="L948" s="10">
        <v>1</v>
      </c>
      <c r="M948" s="10">
        <v>4</v>
      </c>
    </row>
    <row r="949" spans="1:13">
      <c r="A949" s="8">
        <v>43266</v>
      </c>
      <c r="B949" s="9">
        <v>0.50972222222222219</v>
      </c>
      <c r="C949" s="10" t="str">
        <f>"FES1162629840"</f>
        <v>FES1162629840</v>
      </c>
      <c r="D949" s="10" t="s">
        <v>19</v>
      </c>
      <c r="E949" s="10" t="s">
        <v>302</v>
      </c>
      <c r="F949" s="10" t="str">
        <f>"217063244 "</f>
        <v xml:space="preserve">217063244 </v>
      </c>
      <c r="G949" s="10" t="str">
        <f t="shared" si="29"/>
        <v>ON1</v>
      </c>
      <c r="H949" s="10" t="s">
        <v>21</v>
      </c>
      <c r="I949" s="10" t="s">
        <v>303</v>
      </c>
      <c r="J949" s="10" t="str">
        <f>""</f>
        <v/>
      </c>
      <c r="K949" s="10" t="str">
        <f>"PFES1162629840_0001"</f>
        <v>PFES1162629840_0001</v>
      </c>
      <c r="L949" s="10">
        <v>1</v>
      </c>
      <c r="M949" s="10">
        <v>1</v>
      </c>
    </row>
    <row r="950" spans="1:13">
      <c r="A950" s="8">
        <v>43266</v>
      </c>
      <c r="B950" s="9">
        <v>0.50902777777777775</v>
      </c>
      <c r="C950" s="10" t="str">
        <f>"FES1162629174"</f>
        <v>FES1162629174</v>
      </c>
      <c r="D950" s="10" t="s">
        <v>19</v>
      </c>
      <c r="E950" s="10" t="s">
        <v>304</v>
      </c>
      <c r="F950" s="10" t="str">
        <f>"2170636164 "</f>
        <v xml:space="preserve">2170636164 </v>
      </c>
      <c r="G950" s="10" t="str">
        <f t="shared" si="29"/>
        <v>ON1</v>
      </c>
      <c r="H950" s="10" t="s">
        <v>21</v>
      </c>
      <c r="I950" s="10" t="s">
        <v>305</v>
      </c>
      <c r="J950" s="10" t="str">
        <f>""</f>
        <v/>
      </c>
      <c r="K950" s="10" t="str">
        <f>"PFES1162629174_0001"</f>
        <v>PFES1162629174_0001</v>
      </c>
      <c r="L950" s="10">
        <v>1</v>
      </c>
      <c r="M950" s="10">
        <v>1</v>
      </c>
    </row>
    <row r="951" spans="1:13">
      <c r="A951" s="8">
        <v>43266</v>
      </c>
      <c r="B951" s="9">
        <v>0.50902777777777775</v>
      </c>
      <c r="C951" s="10" t="str">
        <f>"FES1162629926"</f>
        <v>FES1162629926</v>
      </c>
      <c r="D951" s="10" t="s">
        <v>19</v>
      </c>
      <c r="E951" s="10" t="s">
        <v>185</v>
      </c>
      <c r="F951" s="10" t="str">
        <f>"217063938 "</f>
        <v xml:space="preserve">217063938 </v>
      </c>
      <c r="G951" s="10" t="str">
        <f t="shared" si="29"/>
        <v>ON1</v>
      </c>
      <c r="H951" s="10" t="s">
        <v>21</v>
      </c>
      <c r="I951" s="10" t="s">
        <v>186</v>
      </c>
      <c r="J951" s="10" t="str">
        <f>""</f>
        <v/>
      </c>
      <c r="K951" s="10" t="str">
        <f>"PFES1162629926_0001"</f>
        <v>PFES1162629926_0001</v>
      </c>
      <c r="L951" s="10">
        <v>1</v>
      </c>
      <c r="M951" s="10">
        <v>1</v>
      </c>
    </row>
    <row r="952" spans="1:13">
      <c r="A952" s="8">
        <v>43266</v>
      </c>
      <c r="B952" s="9">
        <v>0.5083333333333333</v>
      </c>
      <c r="C952" s="10" t="str">
        <f>"FES1162629814"</f>
        <v>FES1162629814</v>
      </c>
      <c r="D952" s="10" t="s">
        <v>19</v>
      </c>
      <c r="E952" s="10" t="s">
        <v>298</v>
      </c>
      <c r="F952" s="10" t="str">
        <f>"2170636861 "</f>
        <v xml:space="preserve">2170636861 </v>
      </c>
      <c r="G952" s="10" t="str">
        <f t="shared" si="29"/>
        <v>ON1</v>
      </c>
      <c r="H952" s="10" t="s">
        <v>21</v>
      </c>
      <c r="I952" s="10" t="s">
        <v>299</v>
      </c>
      <c r="J952" s="10" t="str">
        <f>""</f>
        <v/>
      </c>
      <c r="K952" s="10" t="str">
        <f>"PFES1162629814_0001"</f>
        <v>PFES1162629814_0001</v>
      </c>
      <c r="L952" s="10">
        <v>1</v>
      </c>
      <c r="M952" s="10">
        <v>1</v>
      </c>
    </row>
    <row r="953" spans="1:13">
      <c r="A953" s="8">
        <v>43266</v>
      </c>
      <c r="B953" s="9">
        <v>0.5083333333333333</v>
      </c>
      <c r="C953" s="10" t="str">
        <f>"FES1162629888"</f>
        <v>FES1162629888</v>
      </c>
      <c r="D953" s="10" t="s">
        <v>19</v>
      </c>
      <c r="E953" s="10" t="s">
        <v>660</v>
      </c>
      <c r="F953" s="10" t="str">
        <f>"2170636886 "</f>
        <v xml:space="preserve">2170636886 </v>
      </c>
      <c r="G953" s="10" t="str">
        <f t="shared" si="29"/>
        <v>ON1</v>
      </c>
      <c r="H953" s="10" t="s">
        <v>21</v>
      </c>
      <c r="I953" s="10" t="s">
        <v>93</v>
      </c>
      <c r="J953" s="10" t="str">
        <f>""</f>
        <v/>
      </c>
      <c r="K953" s="10" t="str">
        <f>"PFES1162629888_0001"</f>
        <v>PFES1162629888_0001</v>
      </c>
      <c r="L953" s="10">
        <v>1</v>
      </c>
      <c r="M953" s="10">
        <v>3</v>
      </c>
    </row>
    <row r="954" spans="1:13">
      <c r="A954" s="8">
        <v>43266</v>
      </c>
      <c r="B954" s="9">
        <v>0.5083333333333333</v>
      </c>
      <c r="C954" s="10" t="str">
        <f>"FES1162629867"</f>
        <v>FES1162629867</v>
      </c>
      <c r="D954" s="10" t="s">
        <v>19</v>
      </c>
      <c r="E954" s="10" t="s">
        <v>505</v>
      </c>
      <c r="F954" s="10" t="str">
        <f>"2170634771 "</f>
        <v xml:space="preserve">2170634771 </v>
      </c>
      <c r="G954" s="10" t="str">
        <f t="shared" si="29"/>
        <v>ON1</v>
      </c>
      <c r="H954" s="10" t="s">
        <v>21</v>
      </c>
      <c r="I954" s="10" t="s">
        <v>480</v>
      </c>
      <c r="J954" s="10" t="str">
        <f>""</f>
        <v/>
      </c>
      <c r="K954" s="10" t="str">
        <f>"PFES1162629867_0001"</f>
        <v>PFES1162629867_0001</v>
      </c>
      <c r="L954" s="10">
        <v>1</v>
      </c>
      <c r="M954" s="10">
        <v>1</v>
      </c>
    </row>
    <row r="955" spans="1:13">
      <c r="A955" s="8">
        <v>43266</v>
      </c>
      <c r="B955" s="9">
        <v>0.5083333333333333</v>
      </c>
      <c r="C955" s="10" t="str">
        <f>"FES1162629824"</f>
        <v>FES1162629824</v>
      </c>
      <c r="D955" s="10" t="s">
        <v>19</v>
      </c>
      <c r="E955" s="10" t="s">
        <v>99</v>
      </c>
      <c r="F955" s="10" t="str">
        <f>"2170636872 "</f>
        <v xml:space="preserve">2170636872 </v>
      </c>
      <c r="G955" s="10" t="str">
        <f t="shared" si="29"/>
        <v>ON1</v>
      </c>
      <c r="H955" s="10" t="s">
        <v>21</v>
      </c>
      <c r="I955" s="10" t="s">
        <v>100</v>
      </c>
      <c r="J955" s="10" t="str">
        <f>""</f>
        <v/>
      </c>
      <c r="K955" s="10" t="str">
        <f>"PFES1162629824_0001"</f>
        <v>PFES1162629824_0001</v>
      </c>
      <c r="L955" s="10">
        <v>1</v>
      </c>
      <c r="M955" s="10">
        <v>1</v>
      </c>
    </row>
    <row r="956" spans="1:13">
      <c r="A956" s="8">
        <v>43266</v>
      </c>
      <c r="B956" s="9">
        <v>0.50763888888888886</v>
      </c>
      <c r="C956" s="10" t="str">
        <f>"FES1162629785"</f>
        <v>FES1162629785</v>
      </c>
      <c r="D956" s="10" t="s">
        <v>19</v>
      </c>
      <c r="E956" s="10" t="s">
        <v>661</v>
      </c>
      <c r="F956" s="10" t="str">
        <f>"2170636717 "</f>
        <v xml:space="preserve">2170636717 </v>
      </c>
      <c r="G956" s="10" t="str">
        <f t="shared" si="29"/>
        <v>ON1</v>
      </c>
      <c r="H956" s="10" t="s">
        <v>21</v>
      </c>
      <c r="I956" s="10" t="s">
        <v>662</v>
      </c>
      <c r="J956" s="10" t="str">
        <f>""</f>
        <v/>
      </c>
      <c r="K956" s="10" t="str">
        <f>"PFES1162629785_0001"</f>
        <v>PFES1162629785_0001</v>
      </c>
      <c r="L956" s="10">
        <v>1</v>
      </c>
      <c r="M956" s="10">
        <v>1</v>
      </c>
    </row>
    <row r="957" spans="1:13">
      <c r="A957" s="8">
        <v>43266</v>
      </c>
      <c r="B957" s="9">
        <v>0.50763888888888886</v>
      </c>
      <c r="C957" s="10" t="str">
        <f>"FES1162629802"</f>
        <v>FES1162629802</v>
      </c>
      <c r="D957" s="10" t="s">
        <v>19</v>
      </c>
      <c r="E957" s="10" t="s">
        <v>490</v>
      </c>
      <c r="F957" s="10" t="str">
        <f>"2170636833 "</f>
        <v xml:space="preserve">2170636833 </v>
      </c>
      <c r="G957" s="10" t="str">
        <f t="shared" si="29"/>
        <v>ON1</v>
      </c>
      <c r="H957" s="10" t="s">
        <v>21</v>
      </c>
      <c r="I957" s="10" t="s">
        <v>393</v>
      </c>
      <c r="J957" s="10" t="str">
        <f>""</f>
        <v/>
      </c>
      <c r="K957" s="10" t="str">
        <f>"PFES1162629802_0001"</f>
        <v>PFES1162629802_0001</v>
      </c>
      <c r="L957" s="10">
        <v>1</v>
      </c>
      <c r="M957" s="10">
        <v>1</v>
      </c>
    </row>
    <row r="958" spans="1:13">
      <c r="A958" s="8">
        <v>43266</v>
      </c>
      <c r="B958" s="9">
        <v>0.50694444444444442</v>
      </c>
      <c r="C958" s="10" t="str">
        <f>"FES1162629870"</f>
        <v>FES1162629870</v>
      </c>
      <c r="D958" s="10" t="s">
        <v>19</v>
      </c>
      <c r="E958" s="10" t="s">
        <v>417</v>
      </c>
      <c r="F958" s="10" t="str">
        <f>"2170634844 "</f>
        <v xml:space="preserve">2170634844 </v>
      </c>
      <c r="G958" s="10" t="str">
        <f t="shared" si="29"/>
        <v>ON1</v>
      </c>
      <c r="H958" s="10" t="s">
        <v>21</v>
      </c>
      <c r="I958" s="10" t="s">
        <v>418</v>
      </c>
      <c r="J958" s="10" t="str">
        <f>""</f>
        <v/>
      </c>
      <c r="K958" s="10" t="str">
        <f>"PFES1162629870_0001"</f>
        <v>PFES1162629870_0001</v>
      </c>
      <c r="L958" s="10">
        <v>1</v>
      </c>
      <c r="M958" s="10">
        <v>1</v>
      </c>
    </row>
    <row r="959" spans="1:13">
      <c r="A959" s="8">
        <v>43266</v>
      </c>
      <c r="B959" s="9">
        <v>0.50694444444444442</v>
      </c>
      <c r="C959" s="10" t="str">
        <f>"FES1162629822"</f>
        <v>FES1162629822</v>
      </c>
      <c r="D959" s="10" t="s">
        <v>19</v>
      </c>
      <c r="E959" s="10" t="s">
        <v>316</v>
      </c>
      <c r="F959" s="10" t="str">
        <f>"2170636869 "</f>
        <v xml:space="preserve">2170636869 </v>
      </c>
      <c r="G959" s="10" t="str">
        <f t="shared" si="29"/>
        <v>ON1</v>
      </c>
      <c r="H959" s="10" t="s">
        <v>21</v>
      </c>
      <c r="I959" s="10" t="s">
        <v>317</v>
      </c>
      <c r="J959" s="10" t="str">
        <f>""</f>
        <v/>
      </c>
      <c r="K959" s="10" t="str">
        <f>"PFES1162629822_0001"</f>
        <v>PFES1162629822_0001</v>
      </c>
      <c r="L959" s="10">
        <v>1</v>
      </c>
      <c r="M959" s="10">
        <v>2</v>
      </c>
    </row>
    <row r="960" spans="1:13">
      <c r="A960" s="8">
        <v>43266</v>
      </c>
      <c r="B960" s="9">
        <v>0.50694444444444442</v>
      </c>
      <c r="C960" s="10" t="str">
        <f>"FES1162629878"</f>
        <v>FES1162629878</v>
      </c>
      <c r="D960" s="10" t="s">
        <v>19</v>
      </c>
      <c r="E960" s="10" t="s">
        <v>663</v>
      </c>
      <c r="F960" s="10" t="str">
        <f>"2170636876 "</f>
        <v xml:space="preserve">2170636876 </v>
      </c>
      <c r="G960" s="10" t="str">
        <f t="shared" ref="G960:G994" si="30">"ON1"</f>
        <v>ON1</v>
      </c>
      <c r="H960" s="10" t="s">
        <v>21</v>
      </c>
      <c r="I960" s="10" t="s">
        <v>664</v>
      </c>
      <c r="J960" s="10" t="str">
        <f>""</f>
        <v/>
      </c>
      <c r="K960" s="10" t="str">
        <f>"PFES1162629878_0001"</f>
        <v>PFES1162629878_0001</v>
      </c>
      <c r="L960" s="10">
        <v>1</v>
      </c>
      <c r="M960" s="10">
        <v>1</v>
      </c>
    </row>
    <row r="961" spans="1:13">
      <c r="A961" s="8">
        <v>43266</v>
      </c>
      <c r="B961" s="9">
        <v>0.50694444444444442</v>
      </c>
      <c r="C961" s="10" t="str">
        <f>"FES1162629882"</f>
        <v>FES1162629882</v>
      </c>
      <c r="D961" s="10" t="s">
        <v>19</v>
      </c>
      <c r="E961" s="10" t="s">
        <v>67</v>
      </c>
      <c r="F961" s="10" t="str">
        <f>"2170636082 "</f>
        <v xml:space="preserve">2170636082 </v>
      </c>
      <c r="G961" s="10" t="str">
        <f t="shared" si="30"/>
        <v>ON1</v>
      </c>
      <c r="H961" s="10" t="s">
        <v>21</v>
      </c>
      <c r="I961" s="10" t="s">
        <v>238</v>
      </c>
      <c r="J961" s="10" t="str">
        <f>""</f>
        <v/>
      </c>
      <c r="K961" s="10" t="str">
        <f>"PFES1162629882_0001"</f>
        <v>PFES1162629882_0001</v>
      </c>
      <c r="L961" s="10">
        <v>1</v>
      </c>
      <c r="M961" s="10">
        <v>1</v>
      </c>
    </row>
    <row r="962" spans="1:13">
      <c r="A962" s="8">
        <v>43266</v>
      </c>
      <c r="B962" s="9">
        <v>0.50624999999999998</v>
      </c>
      <c r="C962" s="10" t="str">
        <f>"FES1162629789"</f>
        <v>FES1162629789</v>
      </c>
      <c r="D962" s="10" t="s">
        <v>19</v>
      </c>
      <c r="E962" s="10" t="s">
        <v>665</v>
      </c>
      <c r="F962" s="10" t="str">
        <f>"217063814 "</f>
        <v xml:space="preserve">217063814 </v>
      </c>
      <c r="G962" s="10" t="str">
        <f t="shared" si="30"/>
        <v>ON1</v>
      </c>
      <c r="H962" s="10" t="s">
        <v>21</v>
      </c>
      <c r="I962" s="10" t="s">
        <v>46</v>
      </c>
      <c r="J962" s="10" t="str">
        <f>""</f>
        <v/>
      </c>
      <c r="K962" s="10" t="str">
        <f>"PFES1162629789_0001"</f>
        <v>PFES1162629789_0001</v>
      </c>
      <c r="L962" s="10">
        <v>1</v>
      </c>
      <c r="M962" s="10">
        <v>1</v>
      </c>
    </row>
    <row r="963" spans="1:13">
      <c r="A963" s="8">
        <v>43266</v>
      </c>
      <c r="B963" s="9">
        <v>0.50624999999999998</v>
      </c>
      <c r="C963" s="10" t="str">
        <f>"FES1162629877"</f>
        <v>FES1162629877</v>
      </c>
      <c r="D963" s="10" t="s">
        <v>19</v>
      </c>
      <c r="E963" s="10" t="s">
        <v>122</v>
      </c>
      <c r="F963" s="10" t="str">
        <f>"2170636870 "</f>
        <v xml:space="preserve">2170636870 </v>
      </c>
      <c r="G963" s="10" t="str">
        <f t="shared" si="30"/>
        <v>ON1</v>
      </c>
      <c r="H963" s="10" t="s">
        <v>21</v>
      </c>
      <c r="I963" s="10" t="s">
        <v>75</v>
      </c>
      <c r="J963" s="10" t="str">
        <f>""</f>
        <v/>
      </c>
      <c r="K963" s="10" t="str">
        <f>"PFES1162629877_0001"</f>
        <v>PFES1162629877_0001</v>
      </c>
      <c r="L963" s="10">
        <v>1</v>
      </c>
      <c r="M963" s="10">
        <v>5</v>
      </c>
    </row>
    <row r="964" spans="1:13">
      <c r="A964" s="8">
        <v>43266</v>
      </c>
      <c r="B964" s="9">
        <v>0.50624999999999998</v>
      </c>
      <c r="C964" s="10" t="str">
        <f>"FES1162629843"</f>
        <v>FES1162629843</v>
      </c>
      <c r="D964" s="10" t="s">
        <v>19</v>
      </c>
      <c r="E964" s="10" t="s">
        <v>294</v>
      </c>
      <c r="F964" s="10" t="str">
        <f>"2170634307 "</f>
        <v xml:space="preserve">2170634307 </v>
      </c>
      <c r="G964" s="10" t="str">
        <f t="shared" si="30"/>
        <v>ON1</v>
      </c>
      <c r="H964" s="10" t="s">
        <v>21</v>
      </c>
      <c r="I964" s="10" t="s">
        <v>295</v>
      </c>
      <c r="J964" s="10" t="str">
        <f>""</f>
        <v/>
      </c>
      <c r="K964" s="10" t="str">
        <f>"PFES1162629843_0001"</f>
        <v>PFES1162629843_0001</v>
      </c>
      <c r="L964" s="10">
        <v>1</v>
      </c>
      <c r="M964" s="10">
        <v>1</v>
      </c>
    </row>
    <row r="965" spans="1:13">
      <c r="A965" s="8">
        <v>43266</v>
      </c>
      <c r="B965" s="9">
        <v>0.50555555555555554</v>
      </c>
      <c r="C965" s="10" t="str">
        <f>"FES1162629777"</f>
        <v>FES1162629777</v>
      </c>
      <c r="D965" s="10" t="s">
        <v>19</v>
      </c>
      <c r="E965" s="10" t="s">
        <v>219</v>
      </c>
      <c r="F965" s="10" t="str">
        <f>"2170635610 "</f>
        <v xml:space="preserve">2170635610 </v>
      </c>
      <c r="G965" s="10" t="str">
        <f t="shared" si="30"/>
        <v>ON1</v>
      </c>
      <c r="H965" s="10" t="s">
        <v>21</v>
      </c>
      <c r="I965" s="10" t="s">
        <v>220</v>
      </c>
      <c r="J965" s="10" t="str">
        <f>""</f>
        <v/>
      </c>
      <c r="K965" s="10" t="str">
        <f>"PFES1162629777_0001"</f>
        <v>PFES1162629777_0001</v>
      </c>
      <c r="L965" s="10">
        <v>1</v>
      </c>
      <c r="M965" s="10">
        <v>1</v>
      </c>
    </row>
    <row r="966" spans="1:13">
      <c r="A966" s="8">
        <v>43266</v>
      </c>
      <c r="B966" s="9">
        <v>0.50555555555555554</v>
      </c>
      <c r="C966" s="10" t="str">
        <f>"FES1162629887"</f>
        <v>FES1162629887</v>
      </c>
      <c r="D966" s="10" t="s">
        <v>19</v>
      </c>
      <c r="E966" s="10" t="s">
        <v>666</v>
      </c>
      <c r="F966" s="10" t="str">
        <f>"2170636892 "</f>
        <v xml:space="preserve">2170636892 </v>
      </c>
      <c r="G966" s="10" t="str">
        <f t="shared" si="30"/>
        <v>ON1</v>
      </c>
      <c r="H966" s="10" t="s">
        <v>21</v>
      </c>
      <c r="I966" s="10" t="s">
        <v>667</v>
      </c>
      <c r="J966" s="10" t="str">
        <f>""</f>
        <v/>
      </c>
      <c r="K966" s="10" t="str">
        <f>"PFES1162629887_0001"</f>
        <v>PFES1162629887_0001</v>
      </c>
      <c r="L966" s="10">
        <v>1</v>
      </c>
      <c r="M966" s="10">
        <v>1</v>
      </c>
    </row>
    <row r="967" spans="1:13">
      <c r="A967" s="8">
        <v>43266</v>
      </c>
      <c r="B967" s="9">
        <v>0.50486111111111109</v>
      </c>
      <c r="C967" s="10" t="str">
        <f>"FES1162629772"</f>
        <v>FES1162629772</v>
      </c>
      <c r="D967" s="10" t="s">
        <v>19</v>
      </c>
      <c r="E967" s="10" t="s">
        <v>668</v>
      </c>
      <c r="F967" s="10" t="str">
        <f>"2170635106 "</f>
        <v xml:space="preserve">2170635106 </v>
      </c>
      <c r="G967" s="10" t="str">
        <f t="shared" si="30"/>
        <v>ON1</v>
      </c>
      <c r="H967" s="10" t="s">
        <v>21</v>
      </c>
      <c r="I967" s="10" t="s">
        <v>255</v>
      </c>
      <c r="J967" s="10" t="str">
        <f>""</f>
        <v/>
      </c>
      <c r="K967" s="10" t="str">
        <f>"PFES1162629772_0001"</f>
        <v>PFES1162629772_0001</v>
      </c>
      <c r="L967" s="10">
        <v>1</v>
      </c>
      <c r="M967" s="10">
        <v>1</v>
      </c>
    </row>
    <row r="968" spans="1:13">
      <c r="A968" s="8">
        <v>43266</v>
      </c>
      <c r="B968" s="9">
        <v>0.50486111111111109</v>
      </c>
      <c r="C968" s="10" t="str">
        <f>"FES1162629809"</f>
        <v>FES1162629809</v>
      </c>
      <c r="D968" s="10" t="s">
        <v>19</v>
      </c>
      <c r="E968" s="10" t="s">
        <v>599</v>
      </c>
      <c r="F968" s="10" t="str">
        <f>"2170636847 "</f>
        <v xml:space="preserve">2170636847 </v>
      </c>
      <c r="G968" s="10" t="str">
        <f t="shared" si="30"/>
        <v>ON1</v>
      </c>
      <c r="H968" s="10" t="s">
        <v>21</v>
      </c>
      <c r="I968" s="10" t="s">
        <v>279</v>
      </c>
      <c r="J968" s="10" t="str">
        <f>""</f>
        <v/>
      </c>
      <c r="K968" s="10" t="str">
        <f>"PFES1162629809_0001"</f>
        <v>PFES1162629809_0001</v>
      </c>
      <c r="L968" s="10">
        <v>1</v>
      </c>
      <c r="M968" s="10">
        <v>1</v>
      </c>
    </row>
    <row r="969" spans="1:13">
      <c r="A969" s="8">
        <v>43266</v>
      </c>
      <c r="B969" s="9">
        <v>0.50416666666666665</v>
      </c>
      <c r="C969" s="10" t="str">
        <f>"FES1162629925"</f>
        <v>FES1162629925</v>
      </c>
      <c r="D969" s="10" t="s">
        <v>19</v>
      </c>
      <c r="E969" s="10" t="s">
        <v>388</v>
      </c>
      <c r="F969" s="10" t="str">
        <f>"2170636934 "</f>
        <v xml:space="preserve">2170636934 </v>
      </c>
      <c r="G969" s="10" t="str">
        <f t="shared" si="30"/>
        <v>ON1</v>
      </c>
      <c r="H969" s="10" t="s">
        <v>21</v>
      </c>
      <c r="I969" s="10" t="s">
        <v>389</v>
      </c>
      <c r="J969" s="10" t="str">
        <f>""</f>
        <v/>
      </c>
      <c r="K969" s="10" t="str">
        <f>"PFES1162629925_0001"</f>
        <v>PFES1162629925_0001</v>
      </c>
      <c r="L969" s="10">
        <v>1</v>
      </c>
      <c r="M969" s="10">
        <v>3</v>
      </c>
    </row>
    <row r="970" spans="1:13">
      <c r="A970" s="8">
        <v>43266</v>
      </c>
      <c r="B970" s="9">
        <v>0.48749999999999999</v>
      </c>
      <c r="C970" s="10" t="str">
        <f>"FES1162629747"</f>
        <v>FES1162629747</v>
      </c>
      <c r="D970" s="10" t="s">
        <v>19</v>
      </c>
      <c r="E970" s="10" t="s">
        <v>669</v>
      </c>
      <c r="F970" s="10" t="str">
        <f>"2170636392 "</f>
        <v xml:space="preserve">2170636392 </v>
      </c>
      <c r="G970" s="10" t="str">
        <f t="shared" si="30"/>
        <v>ON1</v>
      </c>
      <c r="H970" s="10" t="s">
        <v>21</v>
      </c>
      <c r="I970" s="10" t="s">
        <v>32</v>
      </c>
      <c r="J970" s="10" t="str">
        <f>""</f>
        <v/>
      </c>
      <c r="K970" s="10" t="str">
        <f>"PFES1162629747_0001"</f>
        <v>PFES1162629747_0001</v>
      </c>
      <c r="L970" s="10">
        <v>1</v>
      </c>
      <c r="M970" s="10">
        <v>1</v>
      </c>
    </row>
    <row r="971" spans="1:13">
      <c r="A971" s="8">
        <v>43266</v>
      </c>
      <c r="B971" s="9">
        <v>0.48680555555555555</v>
      </c>
      <c r="C971" s="10" t="str">
        <f>"FES1162629776"</f>
        <v>FES1162629776</v>
      </c>
      <c r="D971" s="10" t="s">
        <v>19</v>
      </c>
      <c r="E971" s="10" t="s">
        <v>263</v>
      </c>
      <c r="F971" s="10" t="str">
        <f>"2170635543 "</f>
        <v xml:space="preserve">2170635543 </v>
      </c>
      <c r="G971" s="10" t="str">
        <f t="shared" si="30"/>
        <v>ON1</v>
      </c>
      <c r="H971" s="10" t="s">
        <v>21</v>
      </c>
      <c r="I971" s="10" t="s">
        <v>230</v>
      </c>
      <c r="J971" s="10" t="str">
        <f>""</f>
        <v/>
      </c>
      <c r="K971" s="10" t="str">
        <f>"PFES1162629776_0001"</f>
        <v>PFES1162629776_0001</v>
      </c>
      <c r="L971" s="10">
        <v>1</v>
      </c>
      <c r="M971" s="10">
        <v>1</v>
      </c>
    </row>
    <row r="972" spans="1:13">
      <c r="A972" s="8">
        <v>43266</v>
      </c>
      <c r="B972" s="9">
        <v>0.4861111111111111</v>
      </c>
      <c r="C972" s="10" t="str">
        <f>"FES1162629767"</f>
        <v>FES1162629767</v>
      </c>
      <c r="D972" s="10" t="s">
        <v>19</v>
      </c>
      <c r="E972" s="10" t="s">
        <v>318</v>
      </c>
      <c r="F972" s="10" t="str">
        <f>"2170634532 "</f>
        <v xml:space="preserve">2170634532 </v>
      </c>
      <c r="G972" s="10" t="str">
        <f t="shared" si="30"/>
        <v>ON1</v>
      </c>
      <c r="H972" s="10" t="s">
        <v>21</v>
      </c>
      <c r="I972" s="10" t="s">
        <v>61</v>
      </c>
      <c r="J972" s="10" t="str">
        <f>""</f>
        <v/>
      </c>
      <c r="K972" s="10" t="str">
        <f>"PFES1162629767_0001"</f>
        <v>PFES1162629767_0001</v>
      </c>
      <c r="L972" s="10">
        <v>1</v>
      </c>
      <c r="M972" s="10">
        <v>1</v>
      </c>
    </row>
    <row r="973" spans="1:13">
      <c r="A973" s="8">
        <v>43266</v>
      </c>
      <c r="B973" s="9">
        <v>0.4861111111111111</v>
      </c>
      <c r="C973" s="10" t="str">
        <f>"FES1162629765"</f>
        <v>FES1162629765</v>
      </c>
      <c r="D973" s="10" t="s">
        <v>19</v>
      </c>
      <c r="E973" s="10" t="s">
        <v>250</v>
      </c>
      <c r="F973" s="10" t="str">
        <f>"2170633224 "</f>
        <v xml:space="preserve">2170633224 </v>
      </c>
      <c r="G973" s="10" t="str">
        <f t="shared" si="30"/>
        <v>ON1</v>
      </c>
      <c r="H973" s="10" t="s">
        <v>21</v>
      </c>
      <c r="I973" s="10" t="s">
        <v>251</v>
      </c>
      <c r="J973" s="10" t="str">
        <f>""</f>
        <v/>
      </c>
      <c r="K973" s="10" t="str">
        <f>"PFES1162629765_0001"</f>
        <v>PFES1162629765_0001</v>
      </c>
      <c r="L973" s="10">
        <v>1</v>
      </c>
      <c r="M973" s="10">
        <v>1</v>
      </c>
    </row>
    <row r="974" spans="1:13">
      <c r="A974" s="8">
        <v>43266</v>
      </c>
      <c r="B974" s="9">
        <v>0.48541666666666666</v>
      </c>
      <c r="C974" s="10" t="str">
        <f>"FES1162629719"</f>
        <v>FES1162629719</v>
      </c>
      <c r="D974" s="10" t="s">
        <v>19</v>
      </c>
      <c r="E974" s="10" t="s">
        <v>235</v>
      </c>
      <c r="F974" s="10" t="str">
        <f>"2170636755 "</f>
        <v xml:space="preserve">2170636755 </v>
      </c>
      <c r="G974" s="10" t="str">
        <f t="shared" si="30"/>
        <v>ON1</v>
      </c>
      <c r="H974" s="10" t="s">
        <v>21</v>
      </c>
      <c r="I974" s="10" t="s">
        <v>174</v>
      </c>
      <c r="J974" s="10" t="str">
        <f>""</f>
        <v/>
      </c>
      <c r="K974" s="10" t="str">
        <f>"PFES1162629719_0001"</f>
        <v>PFES1162629719_0001</v>
      </c>
      <c r="L974" s="10">
        <v>1</v>
      </c>
      <c r="M974" s="10">
        <v>1</v>
      </c>
    </row>
    <row r="975" spans="1:13">
      <c r="A975" s="8">
        <v>43266</v>
      </c>
      <c r="B975" s="9">
        <v>0.48472222222222222</v>
      </c>
      <c r="C975" s="10" t="str">
        <f>"FES1162629834"</f>
        <v>FES1162629834</v>
      </c>
      <c r="D975" s="10" t="s">
        <v>19</v>
      </c>
      <c r="E975" s="10" t="s">
        <v>270</v>
      </c>
      <c r="F975" s="10" t="str">
        <f>"2170634077 "</f>
        <v xml:space="preserve">2170634077 </v>
      </c>
      <c r="G975" s="10" t="str">
        <f t="shared" si="30"/>
        <v>ON1</v>
      </c>
      <c r="H975" s="10" t="s">
        <v>21</v>
      </c>
      <c r="I975" s="10" t="s">
        <v>238</v>
      </c>
      <c r="J975" s="10" t="str">
        <f>""</f>
        <v/>
      </c>
      <c r="K975" s="10" t="str">
        <f>"PFES1162629834_0001"</f>
        <v>PFES1162629834_0001</v>
      </c>
      <c r="L975" s="10">
        <v>1</v>
      </c>
      <c r="M975" s="10">
        <v>1</v>
      </c>
    </row>
    <row r="976" spans="1:13">
      <c r="A976" s="8">
        <v>43266</v>
      </c>
      <c r="B976" s="9">
        <v>0.48472222222222222</v>
      </c>
      <c r="C976" s="10" t="str">
        <f>"FES1162629778"</f>
        <v>FES1162629778</v>
      </c>
      <c r="D976" s="10" t="s">
        <v>19</v>
      </c>
      <c r="E976" s="10" t="s">
        <v>263</v>
      </c>
      <c r="F976" s="10" t="str">
        <f>"21706356531 "</f>
        <v xml:space="preserve">21706356531 </v>
      </c>
      <c r="G976" s="10" t="str">
        <f t="shared" si="30"/>
        <v>ON1</v>
      </c>
      <c r="H976" s="10" t="s">
        <v>21</v>
      </c>
      <c r="I976" s="10" t="s">
        <v>230</v>
      </c>
      <c r="J976" s="10" t="str">
        <f>""</f>
        <v/>
      </c>
      <c r="K976" s="10" t="str">
        <f>"PFES1162629778_0001"</f>
        <v>PFES1162629778_0001</v>
      </c>
      <c r="L976" s="10">
        <v>1</v>
      </c>
      <c r="M976" s="10">
        <v>1</v>
      </c>
    </row>
    <row r="977" spans="1:13">
      <c r="A977" s="8">
        <v>43266</v>
      </c>
      <c r="B977" s="9">
        <v>0.48402777777777778</v>
      </c>
      <c r="C977" s="10" t="str">
        <f>"FES1162629801"</f>
        <v>FES1162629801</v>
      </c>
      <c r="D977" s="10" t="s">
        <v>19</v>
      </c>
      <c r="E977" s="10" t="s">
        <v>670</v>
      </c>
      <c r="F977" s="10" t="str">
        <f>"2170636832 "</f>
        <v xml:space="preserve">2170636832 </v>
      </c>
      <c r="G977" s="10" t="str">
        <f t="shared" si="30"/>
        <v>ON1</v>
      </c>
      <c r="H977" s="10" t="s">
        <v>21</v>
      </c>
      <c r="I977" s="10" t="s">
        <v>104</v>
      </c>
      <c r="J977" s="10" t="str">
        <f>""</f>
        <v/>
      </c>
      <c r="K977" s="10" t="str">
        <f>"PFES1162629801_0001"</f>
        <v>PFES1162629801_0001</v>
      </c>
      <c r="L977" s="10">
        <v>1</v>
      </c>
      <c r="M977" s="10">
        <v>1</v>
      </c>
    </row>
    <row r="978" spans="1:13">
      <c r="A978" s="8">
        <v>43266</v>
      </c>
      <c r="B978" s="9">
        <v>0.48333333333333334</v>
      </c>
      <c r="C978" s="10" t="str">
        <f>"FES1162629795"</f>
        <v>FES1162629795</v>
      </c>
      <c r="D978" s="10" t="s">
        <v>19</v>
      </c>
      <c r="E978" s="10" t="s">
        <v>670</v>
      </c>
      <c r="F978" s="10" t="str">
        <f>"2170636822 "</f>
        <v xml:space="preserve">2170636822 </v>
      </c>
      <c r="G978" s="10" t="str">
        <f t="shared" si="30"/>
        <v>ON1</v>
      </c>
      <c r="H978" s="10" t="s">
        <v>21</v>
      </c>
      <c r="I978" s="10" t="s">
        <v>104</v>
      </c>
      <c r="J978" s="10" t="str">
        <f>""</f>
        <v/>
      </c>
      <c r="K978" s="10" t="str">
        <f>"PFES1162629795_0001"</f>
        <v>PFES1162629795_0001</v>
      </c>
      <c r="L978" s="10">
        <v>1</v>
      </c>
      <c r="M978" s="10">
        <v>1</v>
      </c>
    </row>
    <row r="979" spans="1:13">
      <c r="A979" s="8">
        <v>43266</v>
      </c>
      <c r="B979" s="9">
        <v>0.4826388888888889</v>
      </c>
      <c r="C979" s="10" t="str">
        <f>"FES1162629859"</f>
        <v>FES1162629859</v>
      </c>
      <c r="D979" s="10" t="s">
        <v>19</v>
      </c>
      <c r="E979" s="10" t="s">
        <v>395</v>
      </c>
      <c r="F979" s="10" t="str">
        <f>"2170634568 "</f>
        <v xml:space="preserve">2170634568 </v>
      </c>
      <c r="G979" s="10" t="str">
        <f t="shared" si="30"/>
        <v>ON1</v>
      </c>
      <c r="H979" s="10" t="s">
        <v>21</v>
      </c>
      <c r="I979" s="10" t="s">
        <v>396</v>
      </c>
      <c r="J979" s="10" t="str">
        <f>""</f>
        <v/>
      </c>
      <c r="K979" s="10" t="str">
        <f>"PFES1162629859_0001"</f>
        <v>PFES1162629859_0001</v>
      </c>
      <c r="L979" s="10">
        <v>1</v>
      </c>
      <c r="M979" s="10">
        <v>1</v>
      </c>
    </row>
    <row r="980" spans="1:13">
      <c r="A980" s="8">
        <v>43266</v>
      </c>
      <c r="B980" s="9">
        <v>0.4826388888888889</v>
      </c>
      <c r="C980" s="10" t="str">
        <f>"FES1162629848"</f>
        <v>FES1162629848</v>
      </c>
      <c r="D980" s="10" t="s">
        <v>19</v>
      </c>
      <c r="E980" s="10" t="s">
        <v>335</v>
      </c>
      <c r="F980" s="10" t="str">
        <f>"2170634497 "</f>
        <v xml:space="preserve">2170634497 </v>
      </c>
      <c r="G980" s="10" t="str">
        <f t="shared" si="30"/>
        <v>ON1</v>
      </c>
      <c r="H980" s="10" t="s">
        <v>21</v>
      </c>
      <c r="I980" s="10" t="s">
        <v>336</v>
      </c>
      <c r="J980" s="10" t="str">
        <f>""</f>
        <v/>
      </c>
      <c r="K980" s="10" t="str">
        <f>"PFES1162629848_0001"</f>
        <v>PFES1162629848_0001</v>
      </c>
      <c r="L980" s="10">
        <v>1</v>
      </c>
      <c r="M980" s="10">
        <v>1</v>
      </c>
    </row>
    <row r="981" spans="1:13">
      <c r="A981" s="8">
        <v>43266</v>
      </c>
      <c r="B981" s="9">
        <v>0.48194444444444445</v>
      </c>
      <c r="C981" s="10" t="str">
        <f>"FES1162629850"</f>
        <v>FES1162629850</v>
      </c>
      <c r="D981" s="10" t="s">
        <v>19</v>
      </c>
      <c r="E981" s="10" t="s">
        <v>540</v>
      </c>
      <c r="F981" s="10" t="str">
        <f>"2170634507 "</f>
        <v xml:space="preserve">2170634507 </v>
      </c>
      <c r="G981" s="10" t="str">
        <f t="shared" si="30"/>
        <v>ON1</v>
      </c>
      <c r="H981" s="10" t="s">
        <v>21</v>
      </c>
      <c r="I981" s="10" t="s">
        <v>55</v>
      </c>
      <c r="J981" s="10" t="str">
        <f>""</f>
        <v/>
      </c>
      <c r="K981" s="10" t="str">
        <f>"PFES1162629850_0001"</f>
        <v>PFES1162629850_0001</v>
      </c>
      <c r="L981" s="10">
        <v>1</v>
      </c>
      <c r="M981" s="10">
        <v>1</v>
      </c>
    </row>
    <row r="982" spans="1:13">
      <c r="A982" s="8">
        <v>43266</v>
      </c>
      <c r="B982" s="9">
        <v>0.48125000000000001</v>
      </c>
      <c r="C982" s="10" t="str">
        <f>"FES1162629792"</f>
        <v>FES1162629792</v>
      </c>
      <c r="D982" s="10" t="s">
        <v>19</v>
      </c>
      <c r="E982" s="10" t="s">
        <v>64</v>
      </c>
      <c r="F982" s="10" t="str">
        <f>"2170636817 "</f>
        <v xml:space="preserve">2170636817 </v>
      </c>
      <c r="G982" s="10" t="str">
        <f t="shared" si="30"/>
        <v>ON1</v>
      </c>
      <c r="H982" s="10" t="s">
        <v>21</v>
      </c>
      <c r="I982" s="10" t="s">
        <v>40</v>
      </c>
      <c r="J982" s="10" t="str">
        <f>""</f>
        <v/>
      </c>
      <c r="K982" s="10" t="str">
        <f>"PFES1162629792_0001"</f>
        <v>PFES1162629792_0001</v>
      </c>
      <c r="L982" s="10">
        <v>1</v>
      </c>
      <c r="M982" s="10">
        <v>1</v>
      </c>
    </row>
    <row r="983" spans="1:13">
      <c r="A983" s="8">
        <v>43266</v>
      </c>
      <c r="B983" s="9">
        <v>0.48125000000000001</v>
      </c>
      <c r="C983" s="10" t="str">
        <f>"FES1162629846"</f>
        <v>FES1162629846</v>
      </c>
      <c r="D983" s="10" t="s">
        <v>19</v>
      </c>
      <c r="E983" s="10" t="s">
        <v>193</v>
      </c>
      <c r="F983" s="10" t="str">
        <f>"2170634373 "</f>
        <v xml:space="preserve">2170634373 </v>
      </c>
      <c r="G983" s="10" t="str">
        <f t="shared" si="30"/>
        <v>ON1</v>
      </c>
      <c r="H983" s="10" t="s">
        <v>21</v>
      </c>
      <c r="I983" s="10" t="s">
        <v>30</v>
      </c>
      <c r="J983" s="10" t="str">
        <f>""</f>
        <v/>
      </c>
      <c r="K983" s="10" t="str">
        <f>"PFES1162629846_0001"</f>
        <v>PFES1162629846_0001</v>
      </c>
      <c r="L983" s="10">
        <v>1</v>
      </c>
      <c r="M983" s="10">
        <v>1</v>
      </c>
    </row>
    <row r="984" spans="1:13">
      <c r="A984" s="8">
        <v>43266</v>
      </c>
      <c r="B984" s="9">
        <v>0.48055555555555557</v>
      </c>
      <c r="C984" s="10" t="str">
        <f>"FES1162629764"</f>
        <v>FES1162629764</v>
      </c>
      <c r="D984" s="10" t="s">
        <v>19</v>
      </c>
      <c r="E984" s="10" t="s">
        <v>250</v>
      </c>
      <c r="F984" s="10" t="str">
        <f>"2170632176 "</f>
        <v xml:space="preserve">2170632176 </v>
      </c>
      <c r="G984" s="10" t="str">
        <f t="shared" si="30"/>
        <v>ON1</v>
      </c>
      <c r="H984" s="10" t="s">
        <v>21</v>
      </c>
      <c r="I984" s="10" t="s">
        <v>251</v>
      </c>
      <c r="J984" s="10" t="str">
        <f>""</f>
        <v/>
      </c>
      <c r="K984" s="10" t="str">
        <f>"PFES1162629764_0001"</f>
        <v>PFES1162629764_0001</v>
      </c>
      <c r="L984" s="10">
        <v>1</v>
      </c>
      <c r="M984" s="10">
        <v>1</v>
      </c>
    </row>
    <row r="985" spans="1:13">
      <c r="A985" s="8">
        <v>43266</v>
      </c>
      <c r="B985" s="9">
        <v>0.48055555555555557</v>
      </c>
      <c r="C985" s="10" t="str">
        <f>"FES1162629796"</f>
        <v>FES1162629796</v>
      </c>
      <c r="D985" s="10" t="s">
        <v>19</v>
      </c>
      <c r="E985" s="10" t="s">
        <v>165</v>
      </c>
      <c r="F985" s="10" t="str">
        <f>"2170636824 "</f>
        <v xml:space="preserve">2170636824 </v>
      </c>
      <c r="G985" s="10" t="str">
        <f t="shared" si="30"/>
        <v>ON1</v>
      </c>
      <c r="H985" s="10" t="s">
        <v>21</v>
      </c>
      <c r="I985" s="10" t="s">
        <v>166</v>
      </c>
      <c r="J985" s="10" t="str">
        <f>""</f>
        <v/>
      </c>
      <c r="K985" s="10" t="str">
        <f>"PFES1162629796_0001"</f>
        <v>PFES1162629796_0001</v>
      </c>
      <c r="L985" s="10">
        <v>1</v>
      </c>
      <c r="M985" s="10">
        <v>1</v>
      </c>
    </row>
    <row r="986" spans="1:13">
      <c r="A986" s="8">
        <v>43266</v>
      </c>
      <c r="B986" s="9">
        <v>0.47986111111111113</v>
      </c>
      <c r="C986" s="10" t="str">
        <f>"FES1162629839"</f>
        <v>FES1162629839</v>
      </c>
      <c r="D986" s="10" t="s">
        <v>19</v>
      </c>
      <c r="E986" s="10" t="s">
        <v>600</v>
      </c>
      <c r="F986" s="10" t="str">
        <f>"2170634240 "</f>
        <v xml:space="preserve">2170634240 </v>
      </c>
      <c r="G986" s="10" t="str">
        <f t="shared" si="30"/>
        <v>ON1</v>
      </c>
      <c r="H986" s="10" t="s">
        <v>21</v>
      </c>
      <c r="I986" s="10" t="s">
        <v>601</v>
      </c>
      <c r="J986" s="10" t="str">
        <f>""</f>
        <v/>
      </c>
      <c r="K986" s="10" t="str">
        <f>"PFES1162629839_0001"</f>
        <v>PFES1162629839_0001</v>
      </c>
      <c r="L986" s="10">
        <v>1</v>
      </c>
      <c r="M986" s="10">
        <v>1</v>
      </c>
    </row>
    <row r="987" spans="1:13">
      <c r="A987" s="8">
        <v>43266</v>
      </c>
      <c r="B987" s="9">
        <v>0.47916666666666669</v>
      </c>
      <c r="C987" s="10" t="str">
        <f>"FES1162629788"</f>
        <v>FES1162629788</v>
      </c>
      <c r="D987" s="10" t="s">
        <v>19</v>
      </c>
      <c r="E987" s="10" t="s">
        <v>276</v>
      </c>
      <c r="F987" s="10" t="str">
        <f>"21706363813 "</f>
        <v xml:space="preserve">21706363813 </v>
      </c>
      <c r="G987" s="10" t="str">
        <f t="shared" si="30"/>
        <v>ON1</v>
      </c>
      <c r="H987" s="10" t="s">
        <v>21</v>
      </c>
      <c r="I987" s="10" t="s">
        <v>277</v>
      </c>
      <c r="J987" s="10" t="str">
        <f>""</f>
        <v/>
      </c>
      <c r="K987" s="10" t="str">
        <f>"PFES1162629788_0001"</f>
        <v>PFES1162629788_0001</v>
      </c>
      <c r="L987" s="10">
        <v>1</v>
      </c>
      <c r="M987" s="10">
        <v>1</v>
      </c>
    </row>
    <row r="988" spans="1:13">
      <c r="A988" s="8">
        <v>43266</v>
      </c>
      <c r="B988" s="9">
        <v>0.47916666666666669</v>
      </c>
      <c r="C988" s="10" t="str">
        <f>"FES1162629810"</f>
        <v>FES1162629810</v>
      </c>
      <c r="D988" s="10" t="s">
        <v>19</v>
      </c>
      <c r="E988" s="10" t="s">
        <v>671</v>
      </c>
      <c r="F988" s="10" t="str">
        <f>"217063632826 "</f>
        <v xml:space="preserve">217063632826 </v>
      </c>
      <c r="G988" s="10" t="str">
        <f t="shared" si="30"/>
        <v>ON1</v>
      </c>
      <c r="H988" s="10" t="s">
        <v>21</v>
      </c>
      <c r="I988" s="10" t="s">
        <v>63</v>
      </c>
      <c r="J988" s="10" t="str">
        <f>""</f>
        <v/>
      </c>
      <c r="K988" s="10" t="str">
        <f>"PFES1162629810_0001"</f>
        <v>PFES1162629810_0001</v>
      </c>
      <c r="L988" s="10">
        <v>1</v>
      </c>
      <c r="M988" s="10">
        <v>1</v>
      </c>
    </row>
    <row r="989" spans="1:13">
      <c r="A989" s="8">
        <v>43266</v>
      </c>
      <c r="B989" s="9">
        <v>0.47847222222222219</v>
      </c>
      <c r="C989" s="10" t="str">
        <f>"FES1162629855"</f>
        <v>FES1162629855</v>
      </c>
      <c r="D989" s="10" t="s">
        <v>19</v>
      </c>
      <c r="E989" s="10" t="s">
        <v>672</v>
      </c>
      <c r="F989" s="10" t="str">
        <f>"2170634529 "</f>
        <v xml:space="preserve">2170634529 </v>
      </c>
      <c r="G989" s="10" t="str">
        <f t="shared" si="30"/>
        <v>ON1</v>
      </c>
      <c r="H989" s="10" t="s">
        <v>21</v>
      </c>
      <c r="I989" s="10" t="s">
        <v>356</v>
      </c>
      <c r="J989" s="10" t="str">
        <f>""</f>
        <v/>
      </c>
      <c r="K989" s="10" t="str">
        <f>"PFES1162629855_0001"</f>
        <v>PFES1162629855_0001</v>
      </c>
      <c r="L989" s="10">
        <v>1</v>
      </c>
      <c r="M989" s="10">
        <v>1</v>
      </c>
    </row>
    <row r="990" spans="1:13">
      <c r="A990" s="8">
        <v>43266</v>
      </c>
      <c r="B990" s="9">
        <v>0.4777777777777778</v>
      </c>
      <c r="C990" s="10" t="str">
        <f>"FES1162629779"</f>
        <v>FES1162629779</v>
      </c>
      <c r="D990" s="10" t="s">
        <v>19</v>
      </c>
      <c r="E990" s="10" t="s">
        <v>163</v>
      </c>
      <c r="F990" s="10" t="str">
        <f>"2170635765 "</f>
        <v xml:space="preserve">2170635765 </v>
      </c>
      <c r="G990" s="10" t="str">
        <f t="shared" si="30"/>
        <v>ON1</v>
      </c>
      <c r="H990" s="10" t="s">
        <v>21</v>
      </c>
      <c r="I990" s="10" t="s">
        <v>51</v>
      </c>
      <c r="J990" s="10" t="str">
        <f>""</f>
        <v/>
      </c>
      <c r="K990" s="10" t="str">
        <f>"PFES1162629779_0001"</f>
        <v>PFES1162629779_0001</v>
      </c>
      <c r="L990" s="10">
        <v>1</v>
      </c>
      <c r="M990" s="10">
        <v>1</v>
      </c>
    </row>
    <row r="991" spans="1:13">
      <c r="A991" s="8">
        <v>43266</v>
      </c>
      <c r="B991" s="9">
        <v>0.4777777777777778</v>
      </c>
      <c r="C991" s="10" t="str">
        <f>"FES1162629797"</f>
        <v>FES1162629797</v>
      </c>
      <c r="D991" s="10" t="s">
        <v>19</v>
      </c>
      <c r="E991" s="10" t="s">
        <v>123</v>
      </c>
      <c r="F991" s="10" t="str">
        <f>"2170636825 "</f>
        <v xml:space="preserve">2170636825 </v>
      </c>
      <c r="G991" s="10" t="str">
        <f t="shared" si="30"/>
        <v>ON1</v>
      </c>
      <c r="H991" s="10" t="s">
        <v>21</v>
      </c>
      <c r="I991" s="10" t="s">
        <v>51</v>
      </c>
      <c r="J991" s="10" t="str">
        <f>""</f>
        <v/>
      </c>
      <c r="K991" s="10" t="str">
        <f>"PFES1162629797_0001"</f>
        <v>PFES1162629797_0001</v>
      </c>
      <c r="L991" s="10">
        <v>1</v>
      </c>
      <c r="M991" s="10">
        <v>1</v>
      </c>
    </row>
    <row r="992" spans="1:13">
      <c r="A992" s="8">
        <v>43266</v>
      </c>
      <c r="B992" s="9">
        <v>0.4770833333333333</v>
      </c>
      <c r="C992" s="10" t="str">
        <f>"FES1162629842"</f>
        <v>FES1162629842</v>
      </c>
      <c r="D992" s="10" t="s">
        <v>19</v>
      </c>
      <c r="E992" s="10" t="s">
        <v>302</v>
      </c>
      <c r="F992" s="10" t="str">
        <f>"2170634924 "</f>
        <v xml:space="preserve">2170634924 </v>
      </c>
      <c r="G992" s="10" t="str">
        <f t="shared" si="30"/>
        <v>ON1</v>
      </c>
      <c r="H992" s="10" t="s">
        <v>21</v>
      </c>
      <c r="I992" s="10" t="s">
        <v>303</v>
      </c>
      <c r="J992" s="10" t="str">
        <f>""</f>
        <v/>
      </c>
      <c r="K992" s="10" t="str">
        <f>"PFES1162629842_0001"</f>
        <v>PFES1162629842_0001</v>
      </c>
      <c r="L992" s="10">
        <v>1</v>
      </c>
      <c r="M992" s="10">
        <v>1</v>
      </c>
    </row>
    <row r="993" spans="1:13">
      <c r="A993" s="8">
        <v>43266</v>
      </c>
      <c r="B993" s="9">
        <v>0.47638888888888892</v>
      </c>
      <c r="C993" s="10" t="str">
        <f>"FES1162629852"</f>
        <v>FES1162629852</v>
      </c>
      <c r="D993" s="10" t="s">
        <v>19</v>
      </c>
      <c r="E993" s="10" t="s">
        <v>362</v>
      </c>
      <c r="F993" s="10" t="str">
        <f>"2170634512 "</f>
        <v xml:space="preserve">2170634512 </v>
      </c>
      <c r="G993" s="10" t="str">
        <f t="shared" si="30"/>
        <v>ON1</v>
      </c>
      <c r="H993" s="10" t="s">
        <v>21</v>
      </c>
      <c r="I993" s="10" t="s">
        <v>363</v>
      </c>
      <c r="J993" s="10" t="str">
        <f>""</f>
        <v/>
      </c>
      <c r="K993" s="10" t="str">
        <f>"PFES1162629852_0001"</f>
        <v>PFES1162629852_0001</v>
      </c>
      <c r="L993" s="10">
        <v>1</v>
      </c>
      <c r="M993" s="10">
        <v>1</v>
      </c>
    </row>
    <row r="994" spans="1:13">
      <c r="A994" s="8">
        <v>43266</v>
      </c>
      <c r="B994" s="9">
        <v>0.4597222222222222</v>
      </c>
      <c r="C994" s="10" t="str">
        <f>"FES1162629724"</f>
        <v>FES1162629724</v>
      </c>
      <c r="D994" s="10" t="s">
        <v>19</v>
      </c>
      <c r="E994" s="10" t="s">
        <v>249</v>
      </c>
      <c r="F994" s="10" t="str">
        <f>"2170636762 "</f>
        <v xml:space="preserve">2170636762 </v>
      </c>
      <c r="G994" s="10" t="str">
        <f t="shared" si="30"/>
        <v>ON1</v>
      </c>
      <c r="H994" s="10" t="s">
        <v>21</v>
      </c>
      <c r="I994" s="10" t="s">
        <v>59</v>
      </c>
      <c r="J994" s="10" t="str">
        <f>""</f>
        <v/>
      </c>
      <c r="K994" s="10" t="str">
        <f>"PFES1162629724_0001"</f>
        <v>PFES1162629724_0001</v>
      </c>
      <c r="L994" s="10">
        <v>1</v>
      </c>
      <c r="M994" s="10">
        <v>8</v>
      </c>
    </row>
    <row r="995" spans="1:13">
      <c r="A995" s="8">
        <v>43266</v>
      </c>
      <c r="B995" s="9">
        <v>0.45833333333333331</v>
      </c>
      <c r="C995" s="10" t="str">
        <f>"FES1162629863"</f>
        <v>FES1162629863</v>
      </c>
      <c r="D995" s="10" t="s">
        <v>19</v>
      </c>
      <c r="E995" s="10" t="s">
        <v>149</v>
      </c>
      <c r="F995" s="10" t="str">
        <f>"2170634615 "</f>
        <v xml:space="preserve">2170634615 </v>
      </c>
      <c r="G995" s="10" t="str">
        <f>"DBC"</f>
        <v>DBC</v>
      </c>
      <c r="H995" s="10" t="s">
        <v>21</v>
      </c>
      <c r="I995" s="10" t="s">
        <v>96</v>
      </c>
      <c r="J995" s="10" t="str">
        <f>""</f>
        <v/>
      </c>
      <c r="K995" s="10" t="str">
        <f>"PFES1162629863_0001"</f>
        <v>PFES1162629863_0001</v>
      </c>
      <c r="L995" s="10">
        <v>1</v>
      </c>
      <c r="M995" s="10">
        <v>24</v>
      </c>
    </row>
    <row r="996" spans="1:13">
      <c r="A996" s="8">
        <v>43266</v>
      </c>
      <c r="B996" s="9">
        <v>0.45624999999999999</v>
      </c>
      <c r="C996" s="10" t="str">
        <f>"FES1162629790"</f>
        <v>FES1162629790</v>
      </c>
      <c r="D996" s="10" t="s">
        <v>19</v>
      </c>
      <c r="E996" s="10" t="s">
        <v>247</v>
      </c>
      <c r="F996" s="10" t="str">
        <f>"2170636815 "</f>
        <v xml:space="preserve">2170636815 </v>
      </c>
      <c r="G996" s="10" t="str">
        <f>"ON1"</f>
        <v>ON1</v>
      </c>
      <c r="H996" s="10" t="s">
        <v>21</v>
      </c>
      <c r="I996" s="10" t="s">
        <v>248</v>
      </c>
      <c r="J996" s="10" t="str">
        <f>""</f>
        <v/>
      </c>
      <c r="K996" s="10" t="str">
        <f>"PFES1162629790_0001"</f>
        <v>PFES1162629790_0001</v>
      </c>
      <c r="L996" s="10">
        <v>1</v>
      </c>
      <c r="M996" s="10">
        <v>4</v>
      </c>
    </row>
    <row r="997" spans="1:13">
      <c r="A997" s="8">
        <v>43266</v>
      </c>
      <c r="B997" s="9">
        <v>0.45416666666666666</v>
      </c>
      <c r="C997" s="10" t="str">
        <f>"FES1162629784"</f>
        <v>FES1162629784</v>
      </c>
      <c r="D997" s="10" t="s">
        <v>19</v>
      </c>
      <c r="E997" s="10" t="s">
        <v>235</v>
      </c>
      <c r="F997" s="10" t="str">
        <f>"2170636555 "</f>
        <v xml:space="preserve">2170636555 </v>
      </c>
      <c r="G997" s="10" t="str">
        <f>"ON1"</f>
        <v>ON1</v>
      </c>
      <c r="H997" s="10" t="s">
        <v>21</v>
      </c>
      <c r="I997" s="10" t="s">
        <v>26</v>
      </c>
      <c r="J997" s="10" t="str">
        <f>""</f>
        <v/>
      </c>
      <c r="K997" s="10" t="str">
        <f>"PFES1162629784_0001"</f>
        <v>PFES1162629784_0001</v>
      </c>
      <c r="L997" s="10">
        <v>1</v>
      </c>
      <c r="M997" s="10">
        <v>2</v>
      </c>
    </row>
    <row r="998" spans="1:13">
      <c r="A998" s="8">
        <v>43269</v>
      </c>
      <c r="B998" s="9">
        <v>0.70138888888888884</v>
      </c>
      <c r="C998" s="10" t="str">
        <f>"FES1162630274"</f>
        <v>FES1162630274</v>
      </c>
      <c r="D998" s="10" t="s">
        <v>19</v>
      </c>
      <c r="E998" s="10" t="s">
        <v>149</v>
      </c>
      <c r="F998" s="10" t="str">
        <f>"2170633047 "</f>
        <v xml:space="preserve">2170633047 </v>
      </c>
      <c r="G998" s="10" t="str">
        <f t="shared" ref="G998:G1047" si="31">"ON1"</f>
        <v>ON1</v>
      </c>
      <c r="H998" s="10" t="s">
        <v>21</v>
      </c>
      <c r="I998" s="10" t="s">
        <v>96</v>
      </c>
      <c r="J998" s="10" t="str">
        <f>""</f>
        <v/>
      </c>
      <c r="K998" s="10" t="str">
        <f>"PFES1162630274_0001"</f>
        <v>PFES1162630274_0001</v>
      </c>
      <c r="L998" s="10">
        <v>1</v>
      </c>
      <c r="M998" s="10">
        <v>3</v>
      </c>
    </row>
    <row r="999" spans="1:13">
      <c r="A999" s="8">
        <v>43269</v>
      </c>
      <c r="B999" s="9">
        <v>0.70000000000000007</v>
      </c>
      <c r="C999" s="10" t="str">
        <f>"FES1162630266"</f>
        <v>FES1162630266</v>
      </c>
      <c r="D999" s="10" t="s">
        <v>19</v>
      </c>
      <c r="E999" s="10" t="s">
        <v>673</v>
      </c>
      <c r="F999" s="10" t="str">
        <f>"2170635627 "</f>
        <v xml:space="preserve">2170635627 </v>
      </c>
      <c r="G999" s="10" t="str">
        <f t="shared" si="31"/>
        <v>ON1</v>
      </c>
      <c r="H999" s="10" t="s">
        <v>21</v>
      </c>
      <c r="I999" s="10" t="s">
        <v>674</v>
      </c>
      <c r="J999" s="10" t="str">
        <f>""</f>
        <v/>
      </c>
      <c r="K999" s="10" t="str">
        <f>"PFES1162630266_0001"</f>
        <v>PFES1162630266_0001</v>
      </c>
      <c r="L999" s="10">
        <v>1</v>
      </c>
      <c r="M999" s="10">
        <v>3</v>
      </c>
    </row>
    <row r="1000" spans="1:13">
      <c r="A1000" s="8">
        <v>43269</v>
      </c>
      <c r="B1000" s="9">
        <v>0.69861111111111107</v>
      </c>
      <c r="C1000" s="10" t="str">
        <f>"FES1162630272"</f>
        <v>FES1162630272</v>
      </c>
      <c r="D1000" s="10" t="s">
        <v>19</v>
      </c>
      <c r="E1000" s="10" t="s">
        <v>312</v>
      </c>
      <c r="F1000" s="10" t="str">
        <f>"2170635404 "</f>
        <v xml:space="preserve">2170635404 </v>
      </c>
      <c r="G1000" s="10" t="str">
        <f t="shared" si="31"/>
        <v>ON1</v>
      </c>
      <c r="H1000" s="10" t="s">
        <v>21</v>
      </c>
      <c r="I1000" s="10" t="s">
        <v>313</v>
      </c>
      <c r="J1000" s="10" t="str">
        <f>""</f>
        <v/>
      </c>
      <c r="K1000" s="10" t="str">
        <f>"PFES1162630272_0001"</f>
        <v>PFES1162630272_0001</v>
      </c>
      <c r="L1000" s="10">
        <v>1</v>
      </c>
      <c r="M1000" s="10">
        <v>15</v>
      </c>
    </row>
    <row r="1001" spans="1:13">
      <c r="A1001" s="8">
        <v>43269</v>
      </c>
      <c r="B1001" s="9">
        <v>0.69791666666666663</v>
      </c>
      <c r="C1001" s="10" t="str">
        <f>"FES1162630275"</f>
        <v>FES1162630275</v>
      </c>
      <c r="D1001" s="10" t="s">
        <v>19</v>
      </c>
      <c r="E1001" s="10" t="s">
        <v>47</v>
      </c>
      <c r="F1001" s="10" t="str">
        <f>"2170637270 "</f>
        <v xml:space="preserve">2170637270 </v>
      </c>
      <c r="G1001" s="10" t="str">
        <f t="shared" si="31"/>
        <v>ON1</v>
      </c>
      <c r="H1001" s="10" t="s">
        <v>21</v>
      </c>
      <c r="I1001" s="10" t="s">
        <v>30</v>
      </c>
      <c r="J1001" s="10" t="str">
        <f>""</f>
        <v/>
      </c>
      <c r="K1001" s="10" t="str">
        <f>"PFES1162630275_0001"</f>
        <v>PFES1162630275_0001</v>
      </c>
      <c r="L1001" s="10">
        <v>1</v>
      </c>
      <c r="M1001" s="10">
        <v>1</v>
      </c>
    </row>
    <row r="1002" spans="1:13">
      <c r="A1002" s="8">
        <v>43269</v>
      </c>
      <c r="B1002" s="9">
        <v>0.69791666666666663</v>
      </c>
      <c r="C1002" s="10" t="str">
        <f>"FES1162630273"</f>
        <v>FES1162630273</v>
      </c>
      <c r="D1002" s="10" t="s">
        <v>19</v>
      </c>
      <c r="E1002" s="10" t="s">
        <v>300</v>
      </c>
      <c r="F1002" s="10" t="str">
        <f>"2170636629 "</f>
        <v xml:space="preserve">2170636629 </v>
      </c>
      <c r="G1002" s="10" t="str">
        <f t="shared" si="31"/>
        <v>ON1</v>
      </c>
      <c r="H1002" s="10" t="s">
        <v>21</v>
      </c>
      <c r="I1002" s="10" t="s">
        <v>301</v>
      </c>
      <c r="J1002" s="10" t="str">
        <f>""</f>
        <v/>
      </c>
      <c r="K1002" s="10" t="str">
        <f>"PFES1162630273_0001"</f>
        <v>PFES1162630273_0001</v>
      </c>
      <c r="L1002" s="10">
        <v>1</v>
      </c>
      <c r="M1002" s="10">
        <v>1</v>
      </c>
    </row>
    <row r="1003" spans="1:13">
      <c r="A1003" s="8">
        <v>43269</v>
      </c>
      <c r="B1003" s="9">
        <v>0.6972222222222223</v>
      </c>
      <c r="C1003" s="10" t="str">
        <f>"FES1162629905"</f>
        <v>FES1162629905</v>
      </c>
      <c r="D1003" s="10" t="s">
        <v>19</v>
      </c>
      <c r="E1003" s="10" t="s">
        <v>117</v>
      </c>
      <c r="F1003" s="10" t="str">
        <f>"2170636910 "</f>
        <v xml:space="preserve">2170636910 </v>
      </c>
      <c r="G1003" s="10" t="str">
        <f t="shared" si="31"/>
        <v>ON1</v>
      </c>
      <c r="H1003" s="10" t="s">
        <v>21</v>
      </c>
      <c r="I1003" s="10" t="s">
        <v>118</v>
      </c>
      <c r="J1003" s="10" t="str">
        <f>""</f>
        <v/>
      </c>
      <c r="K1003" s="10" t="str">
        <f>"PFES1162629905_0001"</f>
        <v>PFES1162629905_0001</v>
      </c>
      <c r="L1003" s="10">
        <v>1</v>
      </c>
      <c r="M1003" s="10">
        <v>1</v>
      </c>
    </row>
    <row r="1004" spans="1:13">
      <c r="A1004" s="8">
        <v>43269</v>
      </c>
      <c r="B1004" s="9">
        <v>0.6958333333333333</v>
      </c>
      <c r="C1004" s="10" t="str">
        <f>"FES1162630218"</f>
        <v>FES1162630218</v>
      </c>
      <c r="D1004" s="10" t="s">
        <v>19</v>
      </c>
      <c r="E1004" s="10" t="s">
        <v>675</v>
      </c>
      <c r="F1004" s="10" t="str">
        <f>"2170629899 "</f>
        <v xml:space="preserve">2170629899 </v>
      </c>
      <c r="G1004" s="10" t="str">
        <f t="shared" si="31"/>
        <v>ON1</v>
      </c>
      <c r="H1004" s="10" t="s">
        <v>21</v>
      </c>
      <c r="I1004" s="10" t="s">
        <v>393</v>
      </c>
      <c r="J1004" s="10" t="str">
        <f>""</f>
        <v/>
      </c>
      <c r="K1004" s="10" t="str">
        <f>"PFES1162630218_0001"</f>
        <v>PFES1162630218_0001</v>
      </c>
      <c r="L1004" s="10">
        <v>1</v>
      </c>
      <c r="M1004" s="10">
        <v>1</v>
      </c>
    </row>
    <row r="1005" spans="1:13">
      <c r="A1005" s="8">
        <v>43269</v>
      </c>
      <c r="B1005" s="9">
        <v>0.6958333333333333</v>
      </c>
      <c r="C1005" s="10" t="str">
        <f>"FES1162630225"</f>
        <v>FES1162630225</v>
      </c>
      <c r="D1005" s="10" t="s">
        <v>19</v>
      </c>
      <c r="E1005" s="10" t="s">
        <v>119</v>
      </c>
      <c r="F1005" s="10" t="str">
        <f>"2170637217 "</f>
        <v xml:space="preserve">2170637217 </v>
      </c>
      <c r="G1005" s="10" t="str">
        <f t="shared" si="31"/>
        <v>ON1</v>
      </c>
      <c r="H1005" s="10" t="s">
        <v>21</v>
      </c>
      <c r="I1005" s="10" t="s">
        <v>83</v>
      </c>
      <c r="J1005" s="10" t="str">
        <f>""</f>
        <v/>
      </c>
      <c r="K1005" s="10" t="str">
        <f>"PFES1162630225_0001"</f>
        <v>PFES1162630225_0001</v>
      </c>
      <c r="L1005" s="10">
        <v>1</v>
      </c>
      <c r="M1005" s="10">
        <v>1</v>
      </c>
    </row>
    <row r="1006" spans="1:13">
      <c r="A1006" s="8">
        <v>43269</v>
      </c>
      <c r="B1006" s="9">
        <v>0.69513888888888886</v>
      </c>
      <c r="C1006" s="10" t="str">
        <f>"FES1162630211"</f>
        <v>FES1162630211</v>
      </c>
      <c r="D1006" s="10" t="s">
        <v>19</v>
      </c>
      <c r="E1006" s="10" t="s">
        <v>445</v>
      </c>
      <c r="F1006" s="10" t="str">
        <f>"2170637214 "</f>
        <v xml:space="preserve">2170637214 </v>
      </c>
      <c r="G1006" s="10" t="str">
        <f t="shared" si="31"/>
        <v>ON1</v>
      </c>
      <c r="H1006" s="10" t="s">
        <v>21</v>
      </c>
      <c r="I1006" s="10" t="s">
        <v>446</v>
      </c>
      <c r="J1006" s="10" t="str">
        <f>""</f>
        <v/>
      </c>
      <c r="K1006" s="10" t="str">
        <f>"PFES1162630211_0001"</f>
        <v>PFES1162630211_0001</v>
      </c>
      <c r="L1006" s="10">
        <v>1</v>
      </c>
      <c r="M1006" s="10">
        <v>1</v>
      </c>
    </row>
    <row r="1007" spans="1:13">
      <c r="A1007" s="8">
        <v>43269</v>
      </c>
      <c r="B1007" s="9">
        <v>0.69513888888888886</v>
      </c>
      <c r="C1007" s="10" t="str">
        <f>"FES1162630171"</f>
        <v>FES1162630171</v>
      </c>
      <c r="D1007" s="10" t="s">
        <v>19</v>
      </c>
      <c r="E1007" s="10" t="s">
        <v>62</v>
      </c>
      <c r="F1007" s="10" t="str">
        <f>"2170637192 "</f>
        <v xml:space="preserve">2170637192 </v>
      </c>
      <c r="G1007" s="10" t="str">
        <f t="shared" si="31"/>
        <v>ON1</v>
      </c>
      <c r="H1007" s="10" t="s">
        <v>21</v>
      </c>
      <c r="I1007" s="10" t="s">
        <v>63</v>
      </c>
      <c r="J1007" s="10" t="str">
        <f>""</f>
        <v/>
      </c>
      <c r="K1007" s="10" t="str">
        <f>"PFES1162630171_0001"</f>
        <v>PFES1162630171_0001</v>
      </c>
      <c r="L1007" s="10">
        <v>1</v>
      </c>
      <c r="M1007" s="10">
        <v>1</v>
      </c>
    </row>
    <row r="1008" spans="1:13">
      <c r="A1008" s="8">
        <v>43269</v>
      </c>
      <c r="B1008" s="9">
        <v>0.69513888888888886</v>
      </c>
      <c r="C1008" s="10" t="str">
        <f>"FES1162630223"</f>
        <v>FES1162630223</v>
      </c>
      <c r="D1008" s="10" t="s">
        <v>19</v>
      </c>
      <c r="E1008" s="10" t="s">
        <v>291</v>
      </c>
      <c r="F1008" s="10" t="str">
        <f>"2170637207 "</f>
        <v xml:space="preserve">2170637207 </v>
      </c>
      <c r="G1008" s="10" t="str">
        <f t="shared" si="31"/>
        <v>ON1</v>
      </c>
      <c r="H1008" s="10" t="s">
        <v>21</v>
      </c>
      <c r="I1008" s="10" t="s">
        <v>131</v>
      </c>
      <c r="J1008" s="10" t="str">
        <f>""</f>
        <v/>
      </c>
      <c r="K1008" s="10" t="str">
        <f>"PFES1162630223_0001"</f>
        <v>PFES1162630223_0001</v>
      </c>
      <c r="L1008" s="10">
        <v>1</v>
      </c>
      <c r="M1008" s="10">
        <v>1</v>
      </c>
    </row>
    <row r="1009" spans="1:13">
      <c r="A1009" s="8">
        <v>43269</v>
      </c>
      <c r="B1009" s="9">
        <v>0.69444444444444453</v>
      </c>
      <c r="C1009" s="10" t="str">
        <f>"FES1162630149"</f>
        <v>FES1162630149</v>
      </c>
      <c r="D1009" s="10" t="s">
        <v>19</v>
      </c>
      <c r="E1009" s="10" t="s">
        <v>676</v>
      </c>
      <c r="F1009" s="10" t="str">
        <f>"2170636957 "</f>
        <v xml:space="preserve">2170636957 </v>
      </c>
      <c r="G1009" s="10" t="str">
        <f t="shared" si="31"/>
        <v>ON1</v>
      </c>
      <c r="H1009" s="10" t="s">
        <v>21</v>
      </c>
      <c r="I1009" s="10" t="s">
        <v>26</v>
      </c>
      <c r="J1009" s="10" t="str">
        <f>""</f>
        <v/>
      </c>
      <c r="K1009" s="10" t="str">
        <f>"PFES1162630149_0001"</f>
        <v>PFES1162630149_0001</v>
      </c>
      <c r="L1009" s="10">
        <v>1</v>
      </c>
      <c r="M1009" s="10">
        <v>5</v>
      </c>
    </row>
    <row r="1010" spans="1:13">
      <c r="A1010" s="8">
        <v>43269</v>
      </c>
      <c r="B1010" s="9">
        <v>0.69444444444444453</v>
      </c>
      <c r="C1010" s="10" t="str">
        <f>"FES1162630212"</f>
        <v>FES1162630212</v>
      </c>
      <c r="D1010" s="10" t="s">
        <v>19</v>
      </c>
      <c r="E1010" s="10" t="s">
        <v>677</v>
      </c>
      <c r="F1010" s="10" t="str">
        <f>"2170634439 "</f>
        <v xml:space="preserve">2170634439 </v>
      </c>
      <c r="G1010" s="10" t="str">
        <f t="shared" si="31"/>
        <v>ON1</v>
      </c>
      <c r="H1010" s="10" t="s">
        <v>21</v>
      </c>
      <c r="I1010" s="10" t="s">
        <v>616</v>
      </c>
      <c r="J1010" s="10" t="str">
        <f>""</f>
        <v/>
      </c>
      <c r="K1010" s="10" t="str">
        <f>"PFES1162630212_0001"</f>
        <v>PFES1162630212_0001</v>
      </c>
      <c r="L1010" s="10">
        <v>1</v>
      </c>
      <c r="M1010" s="10">
        <v>1</v>
      </c>
    </row>
    <row r="1011" spans="1:13">
      <c r="A1011" s="8">
        <v>43269</v>
      </c>
      <c r="B1011" s="9">
        <v>0.69444444444444453</v>
      </c>
      <c r="C1011" s="10" t="str">
        <f>"FES1162630207"</f>
        <v>FES1162630207</v>
      </c>
      <c r="D1011" s="10" t="s">
        <v>19</v>
      </c>
      <c r="E1011" s="10" t="s">
        <v>62</v>
      </c>
      <c r="F1011" s="10" t="str">
        <f>"2170637200 "</f>
        <v xml:space="preserve">2170637200 </v>
      </c>
      <c r="G1011" s="10" t="str">
        <f t="shared" si="31"/>
        <v>ON1</v>
      </c>
      <c r="H1011" s="10" t="s">
        <v>21</v>
      </c>
      <c r="I1011" s="10" t="s">
        <v>63</v>
      </c>
      <c r="J1011" s="10" t="str">
        <f>""</f>
        <v/>
      </c>
      <c r="K1011" s="10" t="str">
        <f>"PFES1162630207_0001"</f>
        <v>PFES1162630207_0001</v>
      </c>
      <c r="L1011" s="10">
        <v>1</v>
      </c>
      <c r="M1011" s="10">
        <v>1</v>
      </c>
    </row>
    <row r="1012" spans="1:13">
      <c r="A1012" s="8">
        <v>43269</v>
      </c>
      <c r="B1012" s="9">
        <v>0.69374999999999998</v>
      </c>
      <c r="C1012" s="10" t="str">
        <f>"FES1162630204"</f>
        <v>FES1162630204</v>
      </c>
      <c r="D1012" s="10" t="s">
        <v>19</v>
      </c>
      <c r="E1012" s="10" t="s">
        <v>678</v>
      </c>
      <c r="F1012" s="10" t="str">
        <f>"2170637161 "</f>
        <v xml:space="preserve">2170637161 </v>
      </c>
      <c r="G1012" s="10" t="str">
        <f t="shared" si="31"/>
        <v>ON1</v>
      </c>
      <c r="H1012" s="10" t="s">
        <v>21</v>
      </c>
      <c r="I1012" s="10" t="s">
        <v>112</v>
      </c>
      <c r="J1012" s="10" t="str">
        <f>""</f>
        <v/>
      </c>
      <c r="K1012" s="10" t="str">
        <f>"PFES1162630204_0001"</f>
        <v>PFES1162630204_0001</v>
      </c>
      <c r="L1012" s="10">
        <v>1</v>
      </c>
      <c r="M1012" s="10">
        <v>1</v>
      </c>
    </row>
    <row r="1013" spans="1:13">
      <c r="A1013" s="8">
        <v>43269</v>
      </c>
      <c r="B1013" s="9">
        <v>0.69374999999999998</v>
      </c>
      <c r="C1013" s="10" t="str">
        <f>"FES1162630231"</f>
        <v>FES1162630231</v>
      </c>
      <c r="D1013" s="10" t="s">
        <v>19</v>
      </c>
      <c r="E1013" s="10" t="s">
        <v>677</v>
      </c>
      <c r="F1013" s="10" t="str">
        <f>"2170634439 "</f>
        <v xml:space="preserve">2170634439 </v>
      </c>
      <c r="G1013" s="10" t="str">
        <f t="shared" si="31"/>
        <v>ON1</v>
      </c>
      <c r="H1013" s="10" t="s">
        <v>21</v>
      </c>
      <c r="I1013" s="10" t="s">
        <v>616</v>
      </c>
      <c r="J1013" s="10" t="str">
        <f>""</f>
        <v/>
      </c>
      <c r="K1013" s="10" t="str">
        <f>"PFES1162630231_0001"</f>
        <v>PFES1162630231_0001</v>
      </c>
      <c r="L1013" s="10">
        <v>1</v>
      </c>
      <c r="M1013" s="10">
        <v>1</v>
      </c>
    </row>
    <row r="1014" spans="1:13">
      <c r="A1014" s="8">
        <v>43269</v>
      </c>
      <c r="B1014" s="9">
        <v>0.69305555555555554</v>
      </c>
      <c r="C1014" s="10" t="str">
        <f>"FES1162630097"</f>
        <v>FES1162630097</v>
      </c>
      <c r="D1014" s="10" t="s">
        <v>19</v>
      </c>
      <c r="E1014" s="10" t="s">
        <v>635</v>
      </c>
      <c r="F1014" s="10" t="str">
        <f>"2170634567 "</f>
        <v xml:space="preserve">2170634567 </v>
      </c>
      <c r="G1014" s="10" t="str">
        <f t="shared" si="31"/>
        <v>ON1</v>
      </c>
      <c r="H1014" s="10" t="s">
        <v>21</v>
      </c>
      <c r="I1014" s="10" t="s">
        <v>636</v>
      </c>
      <c r="J1014" s="10" t="str">
        <f>""</f>
        <v/>
      </c>
      <c r="K1014" s="10" t="str">
        <f>"PFES1162630097_0001"</f>
        <v>PFES1162630097_0001</v>
      </c>
      <c r="L1014" s="10">
        <v>1</v>
      </c>
      <c r="M1014" s="10">
        <v>1</v>
      </c>
    </row>
    <row r="1015" spans="1:13">
      <c r="A1015" s="8">
        <v>43269</v>
      </c>
      <c r="B1015" s="9">
        <v>0.69305555555555554</v>
      </c>
      <c r="C1015" s="10" t="str">
        <f>"FES1162630202"</f>
        <v>FES1162630202</v>
      </c>
      <c r="D1015" s="10" t="s">
        <v>19</v>
      </c>
      <c r="E1015" s="10" t="s">
        <v>291</v>
      </c>
      <c r="F1015" s="10" t="str">
        <f>"2170637141 "</f>
        <v xml:space="preserve">2170637141 </v>
      </c>
      <c r="G1015" s="10" t="str">
        <f t="shared" si="31"/>
        <v>ON1</v>
      </c>
      <c r="H1015" s="10" t="s">
        <v>21</v>
      </c>
      <c r="I1015" s="10" t="s">
        <v>292</v>
      </c>
      <c r="J1015" s="10" t="str">
        <f>""</f>
        <v/>
      </c>
      <c r="K1015" s="10" t="str">
        <f>"PFES1162630202_0001"</f>
        <v>PFES1162630202_0001</v>
      </c>
      <c r="L1015" s="10">
        <v>1</v>
      </c>
      <c r="M1015" s="10">
        <v>1</v>
      </c>
    </row>
    <row r="1016" spans="1:13">
      <c r="A1016" s="8">
        <v>43269</v>
      </c>
      <c r="B1016" s="9">
        <v>0.69305555555555554</v>
      </c>
      <c r="C1016" s="10" t="str">
        <f>"FES1162630033"</f>
        <v>FES1162630033</v>
      </c>
      <c r="D1016" s="10" t="s">
        <v>19</v>
      </c>
      <c r="E1016" s="10" t="s">
        <v>516</v>
      </c>
      <c r="F1016" s="10" t="str">
        <f>"2170636401 "</f>
        <v xml:space="preserve">2170636401 </v>
      </c>
      <c r="G1016" s="10" t="str">
        <f t="shared" si="31"/>
        <v>ON1</v>
      </c>
      <c r="H1016" s="10" t="s">
        <v>21</v>
      </c>
      <c r="I1016" s="10" t="s">
        <v>517</v>
      </c>
      <c r="J1016" s="10" t="str">
        <f>""</f>
        <v/>
      </c>
      <c r="K1016" s="10" t="str">
        <f>"PFES1162630033_0001"</f>
        <v>PFES1162630033_0001</v>
      </c>
      <c r="L1016" s="10">
        <v>1</v>
      </c>
      <c r="M1016" s="10">
        <v>7</v>
      </c>
    </row>
    <row r="1017" spans="1:13">
      <c r="A1017" s="8">
        <v>43269</v>
      </c>
      <c r="B1017" s="9">
        <v>0.69236111111111109</v>
      </c>
      <c r="C1017" s="10" t="str">
        <f>"FES1162630210"</f>
        <v>FES1162630210</v>
      </c>
      <c r="D1017" s="10" t="s">
        <v>19</v>
      </c>
      <c r="E1017" s="10" t="s">
        <v>679</v>
      </c>
      <c r="F1017" s="10" t="str">
        <f>"21706370205 "</f>
        <v xml:space="preserve">21706370205 </v>
      </c>
      <c r="G1017" s="10" t="str">
        <f t="shared" si="31"/>
        <v>ON1</v>
      </c>
      <c r="H1017" s="10" t="s">
        <v>21</v>
      </c>
      <c r="I1017" s="10" t="s">
        <v>680</v>
      </c>
      <c r="J1017" s="10" t="str">
        <f>""</f>
        <v/>
      </c>
      <c r="K1017" s="10" t="str">
        <f>"PFES1162630210_0001"</f>
        <v>PFES1162630210_0001</v>
      </c>
      <c r="L1017" s="10">
        <v>1</v>
      </c>
      <c r="M1017" s="10">
        <v>1</v>
      </c>
    </row>
    <row r="1018" spans="1:13">
      <c r="A1018" s="8">
        <v>43269</v>
      </c>
      <c r="B1018" s="9">
        <v>0.69236111111111109</v>
      </c>
      <c r="C1018" s="10" t="str">
        <f>"FES1162630256"</f>
        <v>FES1162630256</v>
      </c>
      <c r="D1018" s="10" t="s">
        <v>19</v>
      </c>
      <c r="E1018" s="10" t="s">
        <v>681</v>
      </c>
      <c r="F1018" s="10" t="str">
        <f>"2170637248 "</f>
        <v xml:space="preserve">2170637248 </v>
      </c>
      <c r="G1018" s="10" t="str">
        <f t="shared" si="31"/>
        <v>ON1</v>
      </c>
      <c r="H1018" s="10" t="s">
        <v>21</v>
      </c>
      <c r="I1018" s="10" t="s">
        <v>569</v>
      </c>
      <c r="J1018" s="10" t="str">
        <f>""</f>
        <v/>
      </c>
      <c r="K1018" s="10" t="str">
        <f>"PFES1162630256_0001"</f>
        <v>PFES1162630256_0001</v>
      </c>
      <c r="L1018" s="10">
        <v>1</v>
      </c>
      <c r="M1018" s="10">
        <v>1</v>
      </c>
    </row>
    <row r="1019" spans="1:13">
      <c r="A1019" s="8">
        <v>43269</v>
      </c>
      <c r="B1019" s="9">
        <v>0.69236111111111109</v>
      </c>
      <c r="C1019" s="10" t="str">
        <f>"FES1162630250"</f>
        <v>FES1162630250</v>
      </c>
      <c r="D1019" s="10" t="s">
        <v>19</v>
      </c>
      <c r="E1019" s="10" t="s">
        <v>682</v>
      </c>
      <c r="F1019" s="10" t="str">
        <f>"2170636823 "</f>
        <v xml:space="preserve">2170636823 </v>
      </c>
      <c r="G1019" s="10" t="str">
        <f t="shared" si="31"/>
        <v>ON1</v>
      </c>
      <c r="H1019" s="10" t="s">
        <v>21</v>
      </c>
      <c r="I1019" s="10" t="s">
        <v>683</v>
      </c>
      <c r="J1019" s="10" t="str">
        <f>""</f>
        <v/>
      </c>
      <c r="K1019" s="10" t="str">
        <f>"PFES1162630250_0001"</f>
        <v>PFES1162630250_0001</v>
      </c>
      <c r="L1019" s="10">
        <v>1</v>
      </c>
      <c r="M1019" s="10">
        <v>3</v>
      </c>
    </row>
    <row r="1020" spans="1:13">
      <c r="A1020" s="8">
        <v>43269</v>
      </c>
      <c r="B1020" s="9">
        <v>0.69236111111111109</v>
      </c>
      <c r="C1020" s="10" t="str">
        <f>"FES1162630261"</f>
        <v>FES1162630261</v>
      </c>
      <c r="D1020" s="10" t="s">
        <v>19</v>
      </c>
      <c r="E1020" s="10" t="s">
        <v>302</v>
      </c>
      <c r="F1020" s="10" t="str">
        <f>"217067257 "</f>
        <v xml:space="preserve">217067257 </v>
      </c>
      <c r="G1020" s="10" t="str">
        <f t="shared" si="31"/>
        <v>ON1</v>
      </c>
      <c r="H1020" s="10" t="s">
        <v>21</v>
      </c>
      <c r="I1020" s="10" t="s">
        <v>303</v>
      </c>
      <c r="J1020" s="10" t="str">
        <f>""</f>
        <v/>
      </c>
      <c r="K1020" s="10" t="str">
        <f>"PFES1162630261_0001"</f>
        <v>PFES1162630261_0001</v>
      </c>
      <c r="L1020" s="10">
        <v>1</v>
      </c>
      <c r="M1020" s="10">
        <v>1</v>
      </c>
    </row>
    <row r="1021" spans="1:13">
      <c r="A1021" s="8">
        <v>43269</v>
      </c>
      <c r="B1021" s="9">
        <v>0.69166666666666676</v>
      </c>
      <c r="C1021" s="10" t="str">
        <f>"FES1162630235"</f>
        <v>FES1162630235</v>
      </c>
      <c r="D1021" s="10" t="s">
        <v>19</v>
      </c>
      <c r="E1021" s="10" t="s">
        <v>684</v>
      </c>
      <c r="F1021" s="10" t="str">
        <f>"2170637229 "</f>
        <v xml:space="preserve">2170637229 </v>
      </c>
      <c r="G1021" s="10" t="str">
        <f t="shared" si="31"/>
        <v>ON1</v>
      </c>
      <c r="H1021" s="10" t="s">
        <v>21</v>
      </c>
      <c r="I1021" s="10" t="s">
        <v>382</v>
      </c>
      <c r="J1021" s="10" t="str">
        <f>""</f>
        <v/>
      </c>
      <c r="K1021" s="10" t="str">
        <f>"PFES1162630235_0001"</f>
        <v>PFES1162630235_0001</v>
      </c>
      <c r="L1021" s="10">
        <v>1</v>
      </c>
      <c r="M1021" s="10">
        <v>1</v>
      </c>
    </row>
    <row r="1022" spans="1:13">
      <c r="A1022" s="8">
        <v>43269</v>
      </c>
      <c r="B1022" s="9">
        <v>0.69166666666666676</v>
      </c>
      <c r="C1022" s="10" t="str">
        <f>"FES1162630263"</f>
        <v>FES1162630263</v>
      </c>
      <c r="D1022" s="10" t="s">
        <v>19</v>
      </c>
      <c r="E1022" s="10" t="s">
        <v>685</v>
      </c>
      <c r="F1022" s="10" t="str">
        <f>"2170624377 "</f>
        <v xml:space="preserve">2170624377 </v>
      </c>
      <c r="G1022" s="10" t="str">
        <f t="shared" si="31"/>
        <v>ON1</v>
      </c>
      <c r="H1022" s="10" t="s">
        <v>21</v>
      </c>
      <c r="I1022" s="10" t="s">
        <v>89</v>
      </c>
      <c r="J1022" s="10" t="str">
        <f>""</f>
        <v/>
      </c>
      <c r="K1022" s="10" t="str">
        <f>"PFES1162630263_0001"</f>
        <v>PFES1162630263_0001</v>
      </c>
      <c r="L1022" s="10">
        <v>1</v>
      </c>
      <c r="M1022" s="10">
        <v>1</v>
      </c>
    </row>
    <row r="1023" spans="1:13">
      <c r="A1023" s="8">
        <v>43269</v>
      </c>
      <c r="B1023" s="9">
        <v>0.69166666666666676</v>
      </c>
      <c r="C1023" s="10" t="str">
        <f>"FES1162630247"</f>
        <v>FES1162630247</v>
      </c>
      <c r="D1023" s="10" t="s">
        <v>19</v>
      </c>
      <c r="E1023" s="10" t="s">
        <v>516</v>
      </c>
      <c r="F1023" s="10" t="str">
        <f>"2170637242 "</f>
        <v xml:space="preserve">2170637242 </v>
      </c>
      <c r="G1023" s="10" t="str">
        <f t="shared" si="31"/>
        <v>ON1</v>
      </c>
      <c r="H1023" s="10" t="s">
        <v>21</v>
      </c>
      <c r="I1023" s="10" t="s">
        <v>517</v>
      </c>
      <c r="J1023" s="10" t="str">
        <f>""</f>
        <v/>
      </c>
      <c r="K1023" s="10" t="str">
        <f>"PFES1162630247_0001"</f>
        <v>PFES1162630247_0001</v>
      </c>
      <c r="L1023" s="10">
        <v>1</v>
      </c>
      <c r="M1023" s="10">
        <v>3</v>
      </c>
    </row>
    <row r="1024" spans="1:13">
      <c r="A1024" s="8">
        <v>43269</v>
      </c>
      <c r="B1024" s="9">
        <v>0.69166666666666676</v>
      </c>
      <c r="C1024" s="10" t="str">
        <f>"FES1162630242"</f>
        <v>FES1162630242</v>
      </c>
      <c r="D1024" s="10" t="s">
        <v>19</v>
      </c>
      <c r="E1024" s="10" t="s">
        <v>352</v>
      </c>
      <c r="F1024" s="10" t="str">
        <f>"2170637233 "</f>
        <v xml:space="preserve">2170637233 </v>
      </c>
      <c r="G1024" s="10" t="str">
        <f t="shared" si="31"/>
        <v>ON1</v>
      </c>
      <c r="H1024" s="10" t="s">
        <v>21</v>
      </c>
      <c r="I1024" s="10" t="s">
        <v>353</v>
      </c>
      <c r="J1024" s="10" t="str">
        <f>""</f>
        <v/>
      </c>
      <c r="K1024" s="10" t="str">
        <f>"PFES1162630242_0001"</f>
        <v>PFES1162630242_0001</v>
      </c>
      <c r="L1024" s="10">
        <v>1</v>
      </c>
      <c r="M1024" s="10">
        <v>1</v>
      </c>
    </row>
    <row r="1025" spans="1:13">
      <c r="A1025" s="8">
        <v>43269</v>
      </c>
      <c r="B1025" s="9">
        <v>0.69097222222222221</v>
      </c>
      <c r="C1025" s="10" t="str">
        <f>"FES1162630253"</f>
        <v>FES1162630253</v>
      </c>
      <c r="D1025" s="10" t="s">
        <v>19</v>
      </c>
      <c r="E1025" s="10" t="s">
        <v>67</v>
      </c>
      <c r="F1025" s="10" t="str">
        <f>"2170635561 "</f>
        <v xml:space="preserve">2170635561 </v>
      </c>
      <c r="G1025" s="10" t="str">
        <f t="shared" si="31"/>
        <v>ON1</v>
      </c>
      <c r="H1025" s="10" t="s">
        <v>21</v>
      </c>
      <c r="I1025" s="10" t="s">
        <v>397</v>
      </c>
      <c r="J1025" s="10" t="str">
        <f>""</f>
        <v/>
      </c>
      <c r="K1025" s="10" t="str">
        <f>"PFES1162630253_0001"</f>
        <v>PFES1162630253_0001</v>
      </c>
      <c r="L1025" s="10">
        <v>1</v>
      </c>
      <c r="M1025" s="10">
        <v>1</v>
      </c>
    </row>
    <row r="1026" spans="1:13">
      <c r="A1026" s="8">
        <v>43269</v>
      </c>
      <c r="B1026" s="9">
        <v>0.69097222222222221</v>
      </c>
      <c r="C1026" s="10" t="str">
        <f>"FES1162630209"</f>
        <v>FES1162630209</v>
      </c>
      <c r="D1026" s="10" t="s">
        <v>19</v>
      </c>
      <c r="E1026" s="10" t="s">
        <v>62</v>
      </c>
      <c r="F1026" s="10" t="str">
        <f>"217063203 "</f>
        <v xml:space="preserve">217063203 </v>
      </c>
      <c r="G1026" s="10" t="str">
        <f t="shared" si="31"/>
        <v>ON1</v>
      </c>
      <c r="H1026" s="10" t="s">
        <v>21</v>
      </c>
      <c r="I1026" s="10" t="s">
        <v>63</v>
      </c>
      <c r="J1026" s="10" t="str">
        <f>""</f>
        <v/>
      </c>
      <c r="K1026" s="10" t="str">
        <f>"PFES1162630209_0001"</f>
        <v>PFES1162630209_0001</v>
      </c>
      <c r="L1026" s="10">
        <v>1</v>
      </c>
      <c r="M1026" s="10">
        <v>1</v>
      </c>
    </row>
    <row r="1027" spans="1:13">
      <c r="A1027" s="8">
        <v>43269</v>
      </c>
      <c r="B1027" s="9">
        <v>0.69097222222222221</v>
      </c>
      <c r="C1027" s="10" t="str">
        <f>"FES1162630229"</f>
        <v>FES1162630229</v>
      </c>
      <c r="D1027" s="10" t="s">
        <v>19</v>
      </c>
      <c r="E1027" s="10" t="s">
        <v>426</v>
      </c>
      <c r="F1027" s="10" t="str">
        <f>"2170637225 "</f>
        <v xml:space="preserve">2170637225 </v>
      </c>
      <c r="G1027" s="10" t="str">
        <f t="shared" si="31"/>
        <v>ON1</v>
      </c>
      <c r="H1027" s="10" t="s">
        <v>21</v>
      </c>
      <c r="I1027" s="10" t="s">
        <v>427</v>
      </c>
      <c r="J1027" s="10" t="str">
        <f>""</f>
        <v/>
      </c>
      <c r="K1027" s="10" t="str">
        <f>"PFES1162630229_0001"</f>
        <v>PFES1162630229_0001</v>
      </c>
      <c r="L1027" s="10">
        <v>1</v>
      </c>
      <c r="M1027" s="10">
        <v>3</v>
      </c>
    </row>
    <row r="1028" spans="1:13">
      <c r="A1028" s="8">
        <v>43269</v>
      </c>
      <c r="B1028" s="9">
        <v>0.69097222222222221</v>
      </c>
      <c r="C1028" s="10" t="str">
        <f>"FES1162630258"</f>
        <v>FES1162630258</v>
      </c>
      <c r="D1028" s="10" t="s">
        <v>19</v>
      </c>
      <c r="E1028" s="10" t="s">
        <v>312</v>
      </c>
      <c r="F1028" s="10" t="str">
        <f>"2170637252 "</f>
        <v xml:space="preserve">2170637252 </v>
      </c>
      <c r="G1028" s="10" t="str">
        <f t="shared" si="31"/>
        <v>ON1</v>
      </c>
      <c r="H1028" s="10" t="s">
        <v>21</v>
      </c>
      <c r="I1028" s="10" t="s">
        <v>313</v>
      </c>
      <c r="J1028" s="10" t="str">
        <f>""</f>
        <v/>
      </c>
      <c r="K1028" s="10" t="str">
        <f>"PFES1162630258_0001"</f>
        <v>PFES1162630258_0001</v>
      </c>
      <c r="L1028" s="10">
        <v>1</v>
      </c>
      <c r="M1028" s="10">
        <v>1</v>
      </c>
    </row>
    <row r="1029" spans="1:13">
      <c r="A1029" s="8">
        <v>43269</v>
      </c>
      <c r="B1029" s="9">
        <v>0.69027777777777777</v>
      </c>
      <c r="C1029" s="10" t="str">
        <f>"FES1162630252"</f>
        <v>FES1162630252</v>
      </c>
      <c r="D1029" s="10" t="s">
        <v>19</v>
      </c>
      <c r="E1029" s="10" t="s">
        <v>686</v>
      </c>
      <c r="F1029" s="10" t="str">
        <f>"217062713 "</f>
        <v xml:space="preserve">217062713 </v>
      </c>
      <c r="G1029" s="10" t="str">
        <f t="shared" si="31"/>
        <v>ON1</v>
      </c>
      <c r="H1029" s="10" t="s">
        <v>21</v>
      </c>
      <c r="I1029" s="10" t="s">
        <v>687</v>
      </c>
      <c r="J1029" s="10" t="str">
        <f>""</f>
        <v/>
      </c>
      <c r="K1029" s="10" t="str">
        <f>"PFES1162630252_0001"</f>
        <v>PFES1162630252_0001</v>
      </c>
      <c r="L1029" s="10">
        <v>1</v>
      </c>
      <c r="M1029" s="10">
        <v>1</v>
      </c>
    </row>
    <row r="1030" spans="1:13">
      <c r="A1030" s="8">
        <v>43269</v>
      </c>
      <c r="B1030" s="9">
        <v>0.69027777777777777</v>
      </c>
      <c r="C1030" s="10" t="str">
        <f>"FES1162630234"</f>
        <v>FES1162630234</v>
      </c>
      <c r="D1030" s="10" t="s">
        <v>19</v>
      </c>
      <c r="E1030" s="10" t="s">
        <v>688</v>
      </c>
      <c r="F1030" s="10" t="str">
        <f>"2170637728 "</f>
        <v xml:space="preserve">2170637728 </v>
      </c>
      <c r="G1030" s="10" t="str">
        <f t="shared" si="31"/>
        <v>ON1</v>
      </c>
      <c r="H1030" s="10" t="s">
        <v>21</v>
      </c>
      <c r="I1030" s="10" t="s">
        <v>110</v>
      </c>
      <c r="J1030" s="10" t="str">
        <f>""</f>
        <v/>
      </c>
      <c r="K1030" s="10" t="str">
        <f>"PFES1162630234_0001"</f>
        <v>PFES1162630234_0001</v>
      </c>
      <c r="L1030" s="10">
        <v>1</v>
      </c>
      <c r="M1030" s="10">
        <v>1</v>
      </c>
    </row>
    <row r="1031" spans="1:13">
      <c r="A1031" s="8">
        <v>43269</v>
      </c>
      <c r="B1031" s="9">
        <v>0.69027777777777777</v>
      </c>
      <c r="C1031" s="10" t="str">
        <f>"FES1162630230"</f>
        <v>FES1162630230</v>
      </c>
      <c r="D1031" s="10" t="s">
        <v>19</v>
      </c>
      <c r="E1031" s="10" t="s">
        <v>250</v>
      </c>
      <c r="F1031" s="10" t="str">
        <f>"2170633849 "</f>
        <v xml:space="preserve">2170633849 </v>
      </c>
      <c r="G1031" s="10" t="str">
        <f t="shared" si="31"/>
        <v>ON1</v>
      </c>
      <c r="H1031" s="10" t="s">
        <v>21</v>
      </c>
      <c r="I1031" s="10" t="s">
        <v>251</v>
      </c>
      <c r="J1031" s="10" t="str">
        <f>""</f>
        <v/>
      </c>
      <c r="K1031" s="10" t="str">
        <f>"PFES1162630230_0001"</f>
        <v>PFES1162630230_0001</v>
      </c>
      <c r="L1031" s="10">
        <v>1</v>
      </c>
      <c r="M1031" s="10">
        <v>11</v>
      </c>
    </row>
    <row r="1032" spans="1:13">
      <c r="A1032" s="8">
        <v>43269</v>
      </c>
      <c r="B1032" s="9">
        <v>0.68958333333333333</v>
      </c>
      <c r="C1032" s="10" t="str">
        <f>"FES1162630147"</f>
        <v>FES1162630147</v>
      </c>
      <c r="D1032" s="10" t="s">
        <v>19</v>
      </c>
      <c r="E1032" s="10" t="s">
        <v>689</v>
      </c>
      <c r="F1032" s="10" t="str">
        <f>"2170637159 "</f>
        <v xml:space="preserve">2170637159 </v>
      </c>
      <c r="G1032" s="10" t="str">
        <f t="shared" si="31"/>
        <v>ON1</v>
      </c>
      <c r="H1032" s="10" t="s">
        <v>21</v>
      </c>
      <c r="I1032" s="10" t="s">
        <v>174</v>
      </c>
      <c r="J1032" s="10" t="str">
        <f>""</f>
        <v/>
      </c>
      <c r="K1032" s="10" t="str">
        <f>"PFES1162630147_0001"</f>
        <v>PFES1162630147_0001</v>
      </c>
      <c r="L1032" s="10">
        <v>1</v>
      </c>
      <c r="M1032" s="10">
        <v>1</v>
      </c>
    </row>
    <row r="1033" spans="1:13">
      <c r="A1033" s="8">
        <v>43269</v>
      </c>
      <c r="B1033" s="9">
        <v>0.68958333333333333</v>
      </c>
      <c r="C1033" s="10" t="str">
        <f>"FES1162630265"</f>
        <v>FES1162630265</v>
      </c>
      <c r="D1033" s="10" t="s">
        <v>19</v>
      </c>
      <c r="E1033" s="10" t="s">
        <v>49</v>
      </c>
      <c r="F1033" s="10" t="str">
        <f>"21706322221 "</f>
        <v xml:space="preserve">21706322221 </v>
      </c>
      <c r="G1033" s="10" t="str">
        <f t="shared" si="31"/>
        <v>ON1</v>
      </c>
      <c r="H1033" s="10" t="s">
        <v>21</v>
      </c>
      <c r="I1033" s="10" t="s">
        <v>32</v>
      </c>
      <c r="J1033" s="10" t="str">
        <f>""</f>
        <v/>
      </c>
      <c r="K1033" s="10" t="str">
        <f>"PFES1162630265_0001"</f>
        <v>PFES1162630265_0001</v>
      </c>
      <c r="L1033" s="10">
        <v>1</v>
      </c>
      <c r="M1033" s="10">
        <v>1</v>
      </c>
    </row>
    <row r="1034" spans="1:13">
      <c r="A1034" s="8">
        <v>43269</v>
      </c>
      <c r="B1034" s="9">
        <v>0.68958333333333333</v>
      </c>
      <c r="C1034" s="10" t="str">
        <f>"FES1162630139"</f>
        <v>FES1162630139</v>
      </c>
      <c r="D1034" s="10" t="s">
        <v>19</v>
      </c>
      <c r="E1034" s="10" t="s">
        <v>639</v>
      </c>
      <c r="F1034" s="10" t="str">
        <f>"2170637149 "</f>
        <v xml:space="preserve">2170637149 </v>
      </c>
      <c r="G1034" s="10" t="str">
        <f t="shared" si="31"/>
        <v>ON1</v>
      </c>
      <c r="H1034" s="10" t="s">
        <v>21</v>
      </c>
      <c r="I1034" s="10" t="s">
        <v>32</v>
      </c>
      <c r="J1034" s="10" t="str">
        <f>""</f>
        <v/>
      </c>
      <c r="K1034" s="10" t="str">
        <f>"PFES1162630139_0001"</f>
        <v>PFES1162630139_0001</v>
      </c>
      <c r="L1034" s="10">
        <v>1</v>
      </c>
      <c r="M1034" s="10">
        <v>1</v>
      </c>
    </row>
    <row r="1035" spans="1:13">
      <c r="A1035" s="8">
        <v>43269</v>
      </c>
      <c r="B1035" s="9">
        <v>0.68888888888888899</v>
      </c>
      <c r="C1035" s="10" t="str">
        <f>"FES1162630221"</f>
        <v>FES1162630221</v>
      </c>
      <c r="D1035" s="10" t="s">
        <v>19</v>
      </c>
      <c r="E1035" s="10" t="s">
        <v>514</v>
      </c>
      <c r="F1035" s="10" t="str">
        <f>"2170624505 "</f>
        <v xml:space="preserve">2170624505 </v>
      </c>
      <c r="G1035" s="10" t="str">
        <f t="shared" si="31"/>
        <v>ON1</v>
      </c>
      <c r="H1035" s="10" t="s">
        <v>21</v>
      </c>
      <c r="I1035" s="10" t="s">
        <v>690</v>
      </c>
      <c r="J1035" s="10" t="str">
        <f>""</f>
        <v/>
      </c>
      <c r="K1035" s="10" t="str">
        <f>"PFES1162630221_0001"</f>
        <v>PFES1162630221_0001</v>
      </c>
      <c r="L1035" s="10">
        <v>1</v>
      </c>
      <c r="M1035" s="10">
        <v>1</v>
      </c>
    </row>
    <row r="1036" spans="1:13">
      <c r="A1036" s="8">
        <v>43269</v>
      </c>
      <c r="B1036" s="9">
        <v>0.68888888888888899</v>
      </c>
      <c r="C1036" s="10" t="str">
        <f>"FES1162630260"</f>
        <v>FES1162630260</v>
      </c>
      <c r="D1036" s="10" t="s">
        <v>19</v>
      </c>
      <c r="E1036" s="10" t="s">
        <v>62</v>
      </c>
      <c r="F1036" s="10" t="str">
        <f>"2170636997 "</f>
        <v xml:space="preserve">2170636997 </v>
      </c>
      <c r="G1036" s="10" t="str">
        <f t="shared" si="31"/>
        <v>ON1</v>
      </c>
      <c r="H1036" s="10" t="s">
        <v>21</v>
      </c>
      <c r="I1036" s="10" t="s">
        <v>63</v>
      </c>
      <c r="J1036" s="10" t="str">
        <f>""</f>
        <v/>
      </c>
      <c r="K1036" s="10" t="str">
        <f>"PFES1162630260_0001"</f>
        <v>PFES1162630260_0001</v>
      </c>
      <c r="L1036" s="10">
        <v>1</v>
      </c>
      <c r="M1036" s="10">
        <v>6</v>
      </c>
    </row>
    <row r="1037" spans="1:13">
      <c r="A1037" s="8">
        <v>43269</v>
      </c>
      <c r="B1037" s="9">
        <v>0.68819444444444444</v>
      </c>
      <c r="C1037" s="10" t="str">
        <f>"FES1162630245"</f>
        <v>FES1162630245</v>
      </c>
      <c r="D1037" s="10" t="s">
        <v>19</v>
      </c>
      <c r="E1037" s="10" t="s">
        <v>366</v>
      </c>
      <c r="F1037" s="10" t="str">
        <f>"2170637239 "</f>
        <v xml:space="preserve">2170637239 </v>
      </c>
      <c r="G1037" s="10" t="str">
        <f t="shared" si="31"/>
        <v>ON1</v>
      </c>
      <c r="H1037" s="10" t="s">
        <v>21</v>
      </c>
      <c r="I1037" s="10" t="s">
        <v>367</v>
      </c>
      <c r="J1037" s="10" t="str">
        <f>""</f>
        <v/>
      </c>
      <c r="K1037" s="10" t="str">
        <f>"PFES1162630245_0001"</f>
        <v>PFES1162630245_0001</v>
      </c>
      <c r="L1037" s="10">
        <v>1</v>
      </c>
      <c r="M1037" s="10">
        <v>4</v>
      </c>
    </row>
    <row r="1038" spans="1:13">
      <c r="A1038" s="8">
        <v>43269</v>
      </c>
      <c r="B1038" s="9">
        <v>0.68819444444444444</v>
      </c>
      <c r="C1038" s="10" t="str">
        <f>"FES1162630203"</f>
        <v>FES1162630203</v>
      </c>
      <c r="D1038" s="10" t="s">
        <v>19</v>
      </c>
      <c r="E1038" s="10" t="s">
        <v>691</v>
      </c>
      <c r="F1038" s="10" t="str">
        <f>"2170637153 "</f>
        <v xml:space="preserve">2170637153 </v>
      </c>
      <c r="G1038" s="10" t="str">
        <f t="shared" si="31"/>
        <v>ON1</v>
      </c>
      <c r="H1038" s="10" t="s">
        <v>21</v>
      </c>
      <c r="I1038" s="10" t="s">
        <v>692</v>
      </c>
      <c r="J1038" s="10" t="str">
        <f>""</f>
        <v/>
      </c>
      <c r="K1038" s="10" t="str">
        <f>"PFES1162630203_0001"</f>
        <v>PFES1162630203_0001</v>
      </c>
      <c r="L1038" s="10">
        <v>1</v>
      </c>
      <c r="M1038" s="10">
        <v>1</v>
      </c>
    </row>
    <row r="1039" spans="1:13">
      <c r="A1039" s="8">
        <v>43269</v>
      </c>
      <c r="B1039" s="9">
        <v>0.6875</v>
      </c>
      <c r="C1039" s="10" t="str">
        <f>"FES1162630233"</f>
        <v>FES1162630233</v>
      </c>
      <c r="D1039" s="10" t="s">
        <v>19</v>
      </c>
      <c r="E1039" s="10" t="s">
        <v>145</v>
      </c>
      <c r="F1039" s="10" t="str">
        <f>"2170637227 "</f>
        <v xml:space="preserve">2170637227 </v>
      </c>
      <c r="G1039" s="10" t="str">
        <f t="shared" si="31"/>
        <v>ON1</v>
      </c>
      <c r="H1039" s="10" t="s">
        <v>21</v>
      </c>
      <c r="I1039" s="10" t="s">
        <v>146</v>
      </c>
      <c r="J1039" s="10" t="str">
        <f>""</f>
        <v/>
      </c>
      <c r="K1039" s="10" t="str">
        <f>"PFES1162630233_0001"</f>
        <v>PFES1162630233_0001</v>
      </c>
      <c r="L1039" s="10">
        <v>1</v>
      </c>
      <c r="M1039" s="10">
        <v>4</v>
      </c>
    </row>
    <row r="1040" spans="1:13">
      <c r="A1040" s="8">
        <v>43269</v>
      </c>
      <c r="B1040" s="9">
        <v>0.68680555555555556</v>
      </c>
      <c r="C1040" s="10" t="str">
        <f>"FES1162630213"</f>
        <v>FES1162630213</v>
      </c>
      <c r="D1040" s="10" t="s">
        <v>19</v>
      </c>
      <c r="E1040" s="10" t="s">
        <v>621</v>
      </c>
      <c r="F1040" s="10" t="str">
        <f>"2170637201 "</f>
        <v xml:space="preserve">2170637201 </v>
      </c>
      <c r="G1040" s="10" t="str">
        <f t="shared" si="31"/>
        <v>ON1</v>
      </c>
      <c r="H1040" s="10" t="s">
        <v>21</v>
      </c>
      <c r="I1040" s="10" t="s">
        <v>622</v>
      </c>
      <c r="J1040" s="10" t="str">
        <f>""</f>
        <v/>
      </c>
      <c r="K1040" s="10" t="str">
        <f>"PFES1162630213_0001"</f>
        <v>PFES1162630213_0001</v>
      </c>
      <c r="L1040" s="10">
        <v>1</v>
      </c>
      <c r="M1040" s="10">
        <v>1</v>
      </c>
    </row>
    <row r="1041" spans="1:13">
      <c r="A1041" s="8">
        <v>43269</v>
      </c>
      <c r="B1041" s="9">
        <v>0.68611111111111101</v>
      </c>
      <c r="C1041" s="10" t="str">
        <f>"FES1162630238"</f>
        <v>FES1162630238</v>
      </c>
      <c r="D1041" s="10" t="s">
        <v>19</v>
      </c>
      <c r="E1041" s="10" t="s">
        <v>149</v>
      </c>
      <c r="F1041" s="10" t="str">
        <f>"2170633227 "</f>
        <v xml:space="preserve">2170633227 </v>
      </c>
      <c r="G1041" s="10" t="str">
        <f t="shared" si="31"/>
        <v>ON1</v>
      </c>
      <c r="H1041" s="10" t="s">
        <v>21</v>
      </c>
      <c r="I1041" s="10" t="s">
        <v>96</v>
      </c>
      <c r="J1041" s="10" t="str">
        <f>""</f>
        <v/>
      </c>
      <c r="K1041" s="10" t="str">
        <f>"PFES1162630238_0001"</f>
        <v>PFES1162630238_0001</v>
      </c>
      <c r="L1041" s="10">
        <v>1</v>
      </c>
      <c r="M1041" s="10">
        <v>3</v>
      </c>
    </row>
    <row r="1042" spans="1:13">
      <c r="A1042" s="8">
        <v>43269</v>
      </c>
      <c r="B1042" s="9">
        <v>0.68611111111111101</v>
      </c>
      <c r="C1042" s="10" t="str">
        <f>"FES1162630158"</f>
        <v>FES1162630158</v>
      </c>
      <c r="D1042" s="10" t="s">
        <v>19</v>
      </c>
      <c r="E1042" s="10" t="s">
        <v>412</v>
      </c>
      <c r="F1042" s="10" t="str">
        <f>"21706314134 "</f>
        <v xml:space="preserve">21706314134 </v>
      </c>
      <c r="G1042" s="10" t="str">
        <f t="shared" si="31"/>
        <v>ON1</v>
      </c>
      <c r="H1042" s="10" t="s">
        <v>21</v>
      </c>
      <c r="I1042" s="10" t="s">
        <v>692</v>
      </c>
      <c r="J1042" s="10" t="str">
        <f>""</f>
        <v/>
      </c>
      <c r="K1042" s="10" t="str">
        <f>"PFES1162630158_0001"</f>
        <v>PFES1162630158_0001</v>
      </c>
      <c r="L1042" s="10">
        <v>1</v>
      </c>
      <c r="M1042" s="10">
        <v>1</v>
      </c>
    </row>
    <row r="1043" spans="1:13">
      <c r="A1043" s="8">
        <v>43269</v>
      </c>
      <c r="B1043" s="9">
        <v>0.68541666666666667</v>
      </c>
      <c r="C1043" s="10" t="str">
        <f>"FES1162630228"</f>
        <v>FES1162630228</v>
      </c>
      <c r="D1043" s="10" t="s">
        <v>19</v>
      </c>
      <c r="E1043" s="10" t="s">
        <v>345</v>
      </c>
      <c r="F1043" s="10" t="str">
        <f>"2170637222 "</f>
        <v xml:space="preserve">2170637222 </v>
      </c>
      <c r="G1043" s="10" t="str">
        <f t="shared" si="31"/>
        <v>ON1</v>
      </c>
      <c r="H1043" s="10" t="s">
        <v>21</v>
      </c>
      <c r="I1043" s="10" t="s">
        <v>228</v>
      </c>
      <c r="J1043" s="10" t="str">
        <f>""</f>
        <v/>
      </c>
      <c r="K1043" s="10" t="str">
        <f>"PFES1162630228_0001"</f>
        <v>PFES1162630228_0001</v>
      </c>
      <c r="L1043" s="10">
        <v>1</v>
      </c>
      <c r="M1043" s="10">
        <v>1</v>
      </c>
    </row>
    <row r="1044" spans="1:13">
      <c r="A1044" s="8">
        <v>43269</v>
      </c>
      <c r="B1044" s="9">
        <v>0.68541666666666667</v>
      </c>
      <c r="C1044" s="10" t="str">
        <f>"FES1162630214"</f>
        <v>FES1162630214</v>
      </c>
      <c r="D1044" s="10" t="s">
        <v>19</v>
      </c>
      <c r="E1044" s="10" t="s">
        <v>693</v>
      </c>
      <c r="F1044" s="10" t="str">
        <f>"2170637208 "</f>
        <v xml:space="preserve">2170637208 </v>
      </c>
      <c r="G1044" s="10" t="str">
        <f t="shared" si="31"/>
        <v>ON1</v>
      </c>
      <c r="H1044" s="10" t="s">
        <v>21</v>
      </c>
      <c r="I1044" s="10" t="s">
        <v>91</v>
      </c>
      <c r="J1044" s="10" t="str">
        <f>""</f>
        <v/>
      </c>
      <c r="K1044" s="10" t="str">
        <f>"PFES1162630214_0001"</f>
        <v>PFES1162630214_0001</v>
      </c>
      <c r="L1044" s="10">
        <v>1</v>
      </c>
      <c r="M1044" s="10">
        <v>1</v>
      </c>
    </row>
    <row r="1045" spans="1:13">
      <c r="A1045" s="8">
        <v>43269</v>
      </c>
      <c r="B1045" s="9">
        <v>0.68541666666666667</v>
      </c>
      <c r="C1045" s="10" t="str">
        <f>"FES1162630271"</f>
        <v>FES1162630271</v>
      </c>
      <c r="D1045" s="10" t="s">
        <v>19</v>
      </c>
      <c r="E1045" s="10" t="s">
        <v>490</v>
      </c>
      <c r="F1045" s="10" t="str">
        <f>"2170617534 "</f>
        <v xml:space="preserve">2170617534 </v>
      </c>
      <c r="G1045" s="10" t="str">
        <f t="shared" si="31"/>
        <v>ON1</v>
      </c>
      <c r="H1045" s="10" t="s">
        <v>21</v>
      </c>
      <c r="I1045" s="10" t="s">
        <v>393</v>
      </c>
      <c r="J1045" s="10" t="str">
        <f>""</f>
        <v/>
      </c>
      <c r="K1045" s="10" t="str">
        <f>"PFES1162630271_0001"</f>
        <v>PFES1162630271_0001</v>
      </c>
      <c r="L1045" s="10">
        <v>1</v>
      </c>
      <c r="M1045" s="10">
        <v>1</v>
      </c>
    </row>
    <row r="1046" spans="1:13">
      <c r="A1046" s="8">
        <v>43269</v>
      </c>
      <c r="B1046" s="9">
        <v>0.68541666666666667</v>
      </c>
      <c r="C1046" s="10" t="str">
        <f>"FES1162630133"</f>
        <v>FES1162630133</v>
      </c>
      <c r="D1046" s="10" t="s">
        <v>19</v>
      </c>
      <c r="E1046" s="10" t="s">
        <v>585</v>
      </c>
      <c r="F1046" s="10" t="str">
        <f>"2170636601 "</f>
        <v xml:space="preserve">2170636601 </v>
      </c>
      <c r="G1046" s="10" t="str">
        <f t="shared" si="31"/>
        <v>ON1</v>
      </c>
      <c r="H1046" s="10" t="s">
        <v>21</v>
      </c>
      <c r="I1046" s="10" t="s">
        <v>433</v>
      </c>
      <c r="J1046" s="10" t="str">
        <f>""</f>
        <v/>
      </c>
      <c r="K1046" s="10" t="str">
        <f>"PFES1162630133_0001"</f>
        <v>PFES1162630133_0001</v>
      </c>
      <c r="L1046" s="10">
        <v>1</v>
      </c>
      <c r="M1046" s="10">
        <v>1</v>
      </c>
    </row>
    <row r="1047" spans="1:13">
      <c r="A1047" s="8">
        <v>43269</v>
      </c>
      <c r="B1047" s="9">
        <v>0.68472222222222223</v>
      </c>
      <c r="C1047" s="10" t="str">
        <f>"FES1162630255"</f>
        <v>FES1162630255</v>
      </c>
      <c r="D1047" s="10" t="s">
        <v>19</v>
      </c>
      <c r="E1047" s="10" t="s">
        <v>33</v>
      </c>
      <c r="F1047" s="10" t="str">
        <f>"217063271 "</f>
        <v xml:space="preserve">217063271 </v>
      </c>
      <c r="G1047" s="10" t="str">
        <f t="shared" si="31"/>
        <v>ON1</v>
      </c>
      <c r="H1047" s="10" t="s">
        <v>21</v>
      </c>
      <c r="I1047" s="10" t="s">
        <v>34</v>
      </c>
      <c r="J1047" s="10" t="str">
        <f>""</f>
        <v/>
      </c>
      <c r="K1047" s="10" t="str">
        <f>"PFES1162630255_0001"</f>
        <v>PFES1162630255_0001</v>
      </c>
      <c r="L1047" s="10">
        <v>1</v>
      </c>
      <c r="M1047" s="10">
        <v>1</v>
      </c>
    </row>
    <row r="1048" spans="1:13">
      <c r="A1048" s="8">
        <v>43269</v>
      </c>
      <c r="B1048" s="9">
        <v>0.68472222222222223</v>
      </c>
      <c r="C1048" s="10" t="str">
        <f>"FES1162630236"</f>
        <v>FES1162630236</v>
      </c>
      <c r="D1048" s="10" t="s">
        <v>19</v>
      </c>
      <c r="E1048" s="10" t="s">
        <v>316</v>
      </c>
      <c r="F1048" s="10" t="str">
        <f>"2170637230 "</f>
        <v xml:space="preserve">2170637230 </v>
      </c>
      <c r="G1048" s="10" t="str">
        <f>"DBC"</f>
        <v>DBC</v>
      </c>
      <c r="H1048" s="10" t="s">
        <v>21</v>
      </c>
      <c r="I1048" s="10" t="s">
        <v>317</v>
      </c>
      <c r="J1048" s="10" t="str">
        <f>"FRAGILE OIL"</f>
        <v>FRAGILE OIL</v>
      </c>
      <c r="K1048" s="10" t="str">
        <f>"PFES1162630236_0001"</f>
        <v>PFES1162630236_0001</v>
      </c>
      <c r="L1048" s="10">
        <v>1</v>
      </c>
      <c r="M1048" s="10">
        <v>1</v>
      </c>
    </row>
    <row r="1049" spans="1:13">
      <c r="A1049" s="8">
        <v>43269</v>
      </c>
      <c r="B1049" s="9">
        <v>0.68472222222222223</v>
      </c>
      <c r="C1049" s="10" t="str">
        <f>"FES1162630264"</f>
        <v>FES1162630264</v>
      </c>
      <c r="D1049" s="10" t="s">
        <v>19</v>
      </c>
      <c r="E1049" s="10" t="s">
        <v>499</v>
      </c>
      <c r="F1049" s="10" t="str">
        <f>"2170618604 "</f>
        <v xml:space="preserve">2170618604 </v>
      </c>
      <c r="G1049" s="10" t="str">
        <f t="shared" ref="G1049:G1070" si="32">"ON1"</f>
        <v>ON1</v>
      </c>
      <c r="H1049" s="10" t="s">
        <v>21</v>
      </c>
      <c r="I1049" s="10" t="s">
        <v>158</v>
      </c>
      <c r="J1049" s="10" t="str">
        <f>""</f>
        <v/>
      </c>
      <c r="K1049" s="10" t="str">
        <f>"PFES1162630264_0001"</f>
        <v>PFES1162630264_0001</v>
      </c>
      <c r="L1049" s="10">
        <v>1</v>
      </c>
      <c r="M1049" s="10">
        <v>1</v>
      </c>
    </row>
    <row r="1050" spans="1:13">
      <c r="A1050" s="8">
        <v>43269</v>
      </c>
      <c r="B1050" s="9">
        <v>0.68402777777777779</v>
      </c>
      <c r="C1050" s="10" t="str">
        <f>"FES1162630227"</f>
        <v>FES1162630227</v>
      </c>
      <c r="D1050" s="10" t="s">
        <v>19</v>
      </c>
      <c r="E1050" s="10" t="s">
        <v>499</v>
      </c>
      <c r="F1050" s="10" t="str">
        <f>"2170633991 "</f>
        <v xml:space="preserve">2170633991 </v>
      </c>
      <c r="G1050" s="10" t="str">
        <f t="shared" si="32"/>
        <v>ON1</v>
      </c>
      <c r="H1050" s="10" t="s">
        <v>21</v>
      </c>
      <c r="I1050" s="10" t="s">
        <v>158</v>
      </c>
      <c r="J1050" s="10" t="str">
        <f>""</f>
        <v/>
      </c>
      <c r="K1050" s="10" t="str">
        <f>"PFES1162630227_0001"</f>
        <v>PFES1162630227_0001</v>
      </c>
      <c r="L1050" s="10">
        <v>1</v>
      </c>
      <c r="M1050" s="10">
        <v>1</v>
      </c>
    </row>
    <row r="1051" spans="1:13">
      <c r="A1051" s="8">
        <v>43269</v>
      </c>
      <c r="B1051" s="9">
        <v>0.68402777777777779</v>
      </c>
      <c r="C1051" s="10" t="str">
        <f>"FES1162630243"</f>
        <v>FES1162630243</v>
      </c>
      <c r="D1051" s="10" t="s">
        <v>19</v>
      </c>
      <c r="E1051" s="10" t="s">
        <v>694</v>
      </c>
      <c r="F1051" s="10" t="str">
        <f>"2170637235 "</f>
        <v xml:space="preserve">2170637235 </v>
      </c>
      <c r="G1051" s="10" t="str">
        <f t="shared" si="32"/>
        <v>ON1</v>
      </c>
      <c r="H1051" s="10" t="s">
        <v>21</v>
      </c>
      <c r="I1051" s="10" t="s">
        <v>112</v>
      </c>
      <c r="J1051" s="10" t="str">
        <f>""</f>
        <v/>
      </c>
      <c r="K1051" s="10" t="str">
        <f>"PFES1162630243_0001"</f>
        <v>PFES1162630243_0001</v>
      </c>
      <c r="L1051" s="10">
        <v>1</v>
      </c>
      <c r="M1051" s="10">
        <v>1</v>
      </c>
    </row>
    <row r="1052" spans="1:13">
      <c r="A1052" s="8">
        <v>43269</v>
      </c>
      <c r="B1052" s="9">
        <v>0.68263888888888891</v>
      </c>
      <c r="C1052" s="10" t="str">
        <f>"FES1162630267"</f>
        <v>FES1162630267</v>
      </c>
      <c r="D1052" s="10" t="s">
        <v>19</v>
      </c>
      <c r="E1052" s="10" t="s">
        <v>656</v>
      </c>
      <c r="F1052" s="10" t="str">
        <f>"2170627025 "</f>
        <v xml:space="preserve">2170627025 </v>
      </c>
      <c r="G1052" s="10" t="str">
        <f t="shared" si="32"/>
        <v>ON1</v>
      </c>
      <c r="H1052" s="10" t="s">
        <v>21</v>
      </c>
      <c r="I1052" s="10" t="s">
        <v>42</v>
      </c>
      <c r="J1052" s="10" t="str">
        <f>""</f>
        <v/>
      </c>
      <c r="K1052" s="10" t="str">
        <f>"PFES1162630267_0001"</f>
        <v>PFES1162630267_0001</v>
      </c>
      <c r="L1052" s="10">
        <v>1</v>
      </c>
      <c r="M1052" s="10">
        <v>1</v>
      </c>
    </row>
    <row r="1053" spans="1:13">
      <c r="A1053" s="8">
        <v>43269</v>
      </c>
      <c r="B1053" s="9">
        <v>0.68263888888888891</v>
      </c>
      <c r="C1053" s="10" t="str">
        <f>"FES1162630248"</f>
        <v>FES1162630248</v>
      </c>
      <c r="D1053" s="10" t="s">
        <v>19</v>
      </c>
      <c r="E1053" s="10" t="s">
        <v>74</v>
      </c>
      <c r="F1053" s="10" t="str">
        <f>"2170637243 "</f>
        <v xml:space="preserve">2170637243 </v>
      </c>
      <c r="G1053" s="10" t="str">
        <f t="shared" si="32"/>
        <v>ON1</v>
      </c>
      <c r="H1053" s="10" t="s">
        <v>21</v>
      </c>
      <c r="I1053" s="10" t="s">
        <v>75</v>
      </c>
      <c r="J1053" s="10" t="str">
        <f>""</f>
        <v/>
      </c>
      <c r="K1053" s="10" t="str">
        <f>"PFES1162630248_0001"</f>
        <v>PFES1162630248_0001</v>
      </c>
      <c r="L1053" s="10">
        <v>1</v>
      </c>
      <c r="M1053" s="10">
        <v>17</v>
      </c>
    </row>
    <row r="1054" spans="1:13">
      <c r="A1054" s="8">
        <v>43269</v>
      </c>
      <c r="B1054" s="9">
        <v>0.68194444444444446</v>
      </c>
      <c r="C1054" s="10" t="str">
        <f>"FES1162630167"</f>
        <v>FES1162630167</v>
      </c>
      <c r="D1054" s="10" t="s">
        <v>19</v>
      </c>
      <c r="E1054" s="10" t="s">
        <v>695</v>
      </c>
      <c r="F1054" s="10" t="str">
        <f>"2170637188 "</f>
        <v xml:space="preserve">2170637188 </v>
      </c>
      <c r="G1054" s="10" t="str">
        <f t="shared" si="32"/>
        <v>ON1</v>
      </c>
      <c r="H1054" s="10" t="s">
        <v>21</v>
      </c>
      <c r="I1054" s="10" t="s">
        <v>174</v>
      </c>
      <c r="J1054" s="10" t="str">
        <f>""</f>
        <v/>
      </c>
      <c r="K1054" s="10" t="str">
        <f>"PFES1162630167_0001"</f>
        <v>PFES1162630167_0001</v>
      </c>
      <c r="L1054" s="10">
        <v>1</v>
      </c>
      <c r="M1054" s="10">
        <v>16</v>
      </c>
    </row>
    <row r="1055" spans="1:13">
      <c r="A1055" s="8">
        <v>43269</v>
      </c>
      <c r="B1055" s="9">
        <v>0.68125000000000002</v>
      </c>
      <c r="C1055" s="10" t="str">
        <f>"FES1162630249"</f>
        <v>FES1162630249</v>
      </c>
      <c r="D1055" s="10" t="s">
        <v>19</v>
      </c>
      <c r="E1055" s="10" t="s">
        <v>514</v>
      </c>
      <c r="F1055" s="10" t="str">
        <f>"2170635376 "</f>
        <v xml:space="preserve">2170635376 </v>
      </c>
      <c r="G1055" s="10" t="str">
        <f t="shared" si="32"/>
        <v>ON1</v>
      </c>
      <c r="H1055" s="10" t="s">
        <v>21</v>
      </c>
      <c r="I1055" s="10" t="s">
        <v>59</v>
      </c>
      <c r="J1055" s="10" t="str">
        <f>""</f>
        <v/>
      </c>
      <c r="K1055" s="10" t="str">
        <f>"PFES1162630249_0001"</f>
        <v>PFES1162630249_0001</v>
      </c>
      <c r="L1055" s="10">
        <v>1</v>
      </c>
      <c r="M1055" s="10">
        <v>3</v>
      </c>
    </row>
    <row r="1056" spans="1:13">
      <c r="A1056" s="8">
        <v>43269</v>
      </c>
      <c r="B1056" s="9">
        <v>0.6791666666666667</v>
      </c>
      <c r="C1056" s="10" t="str">
        <f>"FES1162630237"</f>
        <v>FES1162630237</v>
      </c>
      <c r="D1056" s="10" t="s">
        <v>19</v>
      </c>
      <c r="E1056" s="10" t="s">
        <v>696</v>
      </c>
      <c r="F1056" s="10" t="str">
        <f>"2170637236 "</f>
        <v xml:space="preserve">2170637236 </v>
      </c>
      <c r="G1056" s="10" t="str">
        <f t="shared" si="32"/>
        <v>ON1</v>
      </c>
      <c r="H1056" s="10" t="s">
        <v>21</v>
      </c>
      <c r="I1056" s="10" t="s">
        <v>104</v>
      </c>
      <c r="J1056" s="10" t="str">
        <f>""</f>
        <v/>
      </c>
      <c r="K1056" s="10" t="str">
        <f>"PFES1162630237_0001"</f>
        <v>PFES1162630237_0001</v>
      </c>
      <c r="L1056" s="10">
        <v>1</v>
      </c>
      <c r="M1056" s="10">
        <v>3</v>
      </c>
    </row>
    <row r="1057" spans="1:13">
      <c r="A1057" s="8">
        <v>43269</v>
      </c>
      <c r="B1057" s="9">
        <v>0.6777777777777777</v>
      </c>
      <c r="C1057" s="10" t="str">
        <f>"FES1162630165"</f>
        <v>FES1162630165</v>
      </c>
      <c r="D1057" s="10" t="s">
        <v>19</v>
      </c>
      <c r="E1057" s="10" t="s">
        <v>590</v>
      </c>
      <c r="F1057" s="10" t="str">
        <f>"2170636690 "</f>
        <v xml:space="preserve">2170636690 </v>
      </c>
      <c r="G1057" s="10" t="str">
        <f t="shared" si="32"/>
        <v>ON1</v>
      </c>
      <c r="H1057" s="10" t="s">
        <v>21</v>
      </c>
      <c r="I1057" s="10" t="s">
        <v>66</v>
      </c>
      <c r="J1057" s="10" t="str">
        <f>""</f>
        <v/>
      </c>
      <c r="K1057" s="10" t="str">
        <f>"PFES1162630165_0001"</f>
        <v>PFES1162630165_0001</v>
      </c>
      <c r="L1057" s="10">
        <v>1</v>
      </c>
      <c r="M1057" s="10">
        <v>2</v>
      </c>
    </row>
    <row r="1058" spans="1:13">
      <c r="A1058" s="8">
        <v>43269</v>
      </c>
      <c r="B1058" s="9">
        <v>0.67638888888888893</v>
      </c>
      <c r="C1058" s="10" t="str">
        <f>"FES1162630132"</f>
        <v>FES1162630132</v>
      </c>
      <c r="D1058" s="10" t="s">
        <v>19</v>
      </c>
      <c r="E1058" s="10" t="s">
        <v>252</v>
      </c>
      <c r="F1058" s="10" t="str">
        <f>"2170636241 "</f>
        <v xml:space="preserve">2170636241 </v>
      </c>
      <c r="G1058" s="10" t="str">
        <f t="shared" si="32"/>
        <v>ON1</v>
      </c>
      <c r="H1058" s="10" t="s">
        <v>21</v>
      </c>
      <c r="I1058" s="10" t="s">
        <v>253</v>
      </c>
      <c r="J1058" s="10" t="str">
        <f>""</f>
        <v/>
      </c>
      <c r="K1058" s="10" t="str">
        <f>"PFES1162630132_0001"</f>
        <v>PFES1162630132_0001</v>
      </c>
      <c r="L1058" s="10">
        <v>1</v>
      </c>
      <c r="M1058" s="10">
        <v>2</v>
      </c>
    </row>
    <row r="1059" spans="1:13">
      <c r="A1059" s="8">
        <v>43269</v>
      </c>
      <c r="B1059" s="9">
        <v>0.67569444444444438</v>
      </c>
      <c r="C1059" s="10" t="str">
        <f>"FES1162630131"</f>
        <v>FES1162630131</v>
      </c>
      <c r="D1059" s="10" t="s">
        <v>19</v>
      </c>
      <c r="E1059" s="10" t="s">
        <v>252</v>
      </c>
      <c r="F1059" s="10" t="str">
        <f>"2170636238 "</f>
        <v xml:space="preserve">2170636238 </v>
      </c>
      <c r="G1059" s="10" t="str">
        <f t="shared" si="32"/>
        <v>ON1</v>
      </c>
      <c r="H1059" s="10" t="s">
        <v>21</v>
      </c>
      <c r="I1059" s="10" t="s">
        <v>253</v>
      </c>
      <c r="J1059" s="10" t="str">
        <f>""</f>
        <v/>
      </c>
      <c r="K1059" s="10" t="str">
        <f>"PFES1162630131_0001"</f>
        <v>PFES1162630131_0001</v>
      </c>
      <c r="L1059" s="10">
        <v>1</v>
      </c>
      <c r="M1059" s="10">
        <v>2</v>
      </c>
    </row>
    <row r="1060" spans="1:13">
      <c r="A1060" s="8">
        <v>43269</v>
      </c>
      <c r="B1060" s="9">
        <v>0.67499999999999993</v>
      </c>
      <c r="C1060" s="10" t="str">
        <f>"FES1162630107"</f>
        <v>FES1162630107</v>
      </c>
      <c r="D1060" s="10" t="s">
        <v>19</v>
      </c>
      <c r="E1060" s="10" t="s">
        <v>184</v>
      </c>
      <c r="F1060" s="10" t="str">
        <f>"2170625693 "</f>
        <v xml:space="preserve">2170625693 </v>
      </c>
      <c r="G1060" s="10" t="str">
        <f t="shared" si="32"/>
        <v>ON1</v>
      </c>
      <c r="H1060" s="10" t="s">
        <v>21</v>
      </c>
      <c r="I1060" s="10" t="s">
        <v>134</v>
      </c>
      <c r="J1060" s="10" t="str">
        <f>""</f>
        <v/>
      </c>
      <c r="K1060" s="10" t="str">
        <f>"PFES1162630107_0001"</f>
        <v>PFES1162630107_0001</v>
      </c>
      <c r="L1060" s="10">
        <v>1</v>
      </c>
      <c r="M1060" s="10">
        <v>1</v>
      </c>
    </row>
    <row r="1061" spans="1:13">
      <c r="A1061" s="8">
        <v>43269</v>
      </c>
      <c r="B1061" s="9">
        <v>0.67361111111111116</v>
      </c>
      <c r="C1061" s="10" t="str">
        <f>"FES1162630108"</f>
        <v>FES1162630108</v>
      </c>
      <c r="D1061" s="10" t="s">
        <v>19</v>
      </c>
      <c r="E1061" s="10" t="s">
        <v>184</v>
      </c>
      <c r="F1061" s="10" t="str">
        <f>"2170632498 "</f>
        <v xml:space="preserve">2170632498 </v>
      </c>
      <c r="G1061" s="10" t="str">
        <f t="shared" si="32"/>
        <v>ON1</v>
      </c>
      <c r="H1061" s="10" t="s">
        <v>21</v>
      </c>
      <c r="I1061" s="10" t="s">
        <v>134</v>
      </c>
      <c r="J1061" s="10" t="str">
        <f>""</f>
        <v/>
      </c>
      <c r="K1061" s="10" t="str">
        <f>"PFES1162630108_0001"</f>
        <v>PFES1162630108_0001</v>
      </c>
      <c r="L1061" s="10">
        <v>1</v>
      </c>
      <c r="M1061" s="10">
        <v>1</v>
      </c>
    </row>
    <row r="1062" spans="1:13">
      <c r="A1062" s="8">
        <v>43269</v>
      </c>
      <c r="B1062" s="9">
        <v>0.67291666666666661</v>
      </c>
      <c r="C1062" s="10" t="str">
        <f>"FES1162630195"</f>
        <v>FES1162630195</v>
      </c>
      <c r="D1062" s="10" t="s">
        <v>19</v>
      </c>
      <c r="E1062" s="10" t="s">
        <v>697</v>
      </c>
      <c r="F1062" s="10" t="str">
        <f>"2170633432 "</f>
        <v xml:space="preserve">2170633432 </v>
      </c>
      <c r="G1062" s="10" t="str">
        <f t="shared" si="32"/>
        <v>ON1</v>
      </c>
      <c r="H1062" s="10" t="s">
        <v>21</v>
      </c>
      <c r="I1062" s="10" t="s">
        <v>205</v>
      </c>
      <c r="J1062" s="10" t="str">
        <f>""</f>
        <v/>
      </c>
      <c r="K1062" s="10" t="str">
        <f>"PFES1162630195_0001"</f>
        <v>PFES1162630195_0001</v>
      </c>
      <c r="L1062" s="10">
        <v>1</v>
      </c>
      <c r="M1062" s="10">
        <v>4</v>
      </c>
    </row>
    <row r="1063" spans="1:13">
      <c r="A1063" s="8">
        <v>43269</v>
      </c>
      <c r="B1063" s="9">
        <v>0.67222222222222217</v>
      </c>
      <c r="C1063" s="10" t="str">
        <f>"FES1162630179"</f>
        <v>FES1162630179</v>
      </c>
      <c r="D1063" s="10" t="s">
        <v>19</v>
      </c>
      <c r="E1063" s="10" t="s">
        <v>328</v>
      </c>
      <c r="F1063" s="10" t="str">
        <f>"2170628582 "</f>
        <v xml:space="preserve">2170628582 </v>
      </c>
      <c r="G1063" s="10" t="str">
        <f t="shared" si="32"/>
        <v>ON1</v>
      </c>
      <c r="H1063" s="10" t="s">
        <v>21</v>
      </c>
      <c r="I1063" s="10" t="s">
        <v>329</v>
      </c>
      <c r="J1063" s="10" t="str">
        <f>""</f>
        <v/>
      </c>
      <c r="K1063" s="10" t="str">
        <f>"PFES1162630179_0001"</f>
        <v>PFES1162630179_0001</v>
      </c>
      <c r="L1063" s="10">
        <v>1</v>
      </c>
      <c r="M1063" s="10">
        <v>17</v>
      </c>
    </row>
    <row r="1064" spans="1:13">
      <c r="A1064" s="8">
        <v>43269</v>
      </c>
      <c r="B1064" s="9">
        <v>0.67152777777777783</v>
      </c>
      <c r="C1064" s="10" t="str">
        <f>"FES1162630174"</f>
        <v>FES1162630174</v>
      </c>
      <c r="D1064" s="10" t="s">
        <v>19</v>
      </c>
      <c r="E1064" s="10" t="s">
        <v>698</v>
      </c>
      <c r="F1064" s="10" t="str">
        <f>"2170615639 "</f>
        <v xml:space="preserve">2170615639 </v>
      </c>
      <c r="G1064" s="10" t="str">
        <f t="shared" si="32"/>
        <v>ON1</v>
      </c>
      <c r="H1064" s="10" t="s">
        <v>21</v>
      </c>
      <c r="I1064" s="10" t="s">
        <v>170</v>
      </c>
      <c r="J1064" s="10" t="str">
        <f>""</f>
        <v/>
      </c>
      <c r="K1064" s="10" t="str">
        <f>"PFES1162630174_0001"</f>
        <v>PFES1162630174_0001</v>
      </c>
      <c r="L1064" s="10">
        <v>1</v>
      </c>
      <c r="M1064" s="10">
        <v>1</v>
      </c>
    </row>
    <row r="1065" spans="1:13">
      <c r="A1065" s="8">
        <v>43269</v>
      </c>
      <c r="B1065" s="9">
        <v>0.65138888888888891</v>
      </c>
      <c r="C1065" s="10" t="str">
        <f>"FES1162630129"</f>
        <v>FES1162630129</v>
      </c>
      <c r="D1065" s="10" t="s">
        <v>19</v>
      </c>
      <c r="E1065" s="10" t="s">
        <v>117</v>
      </c>
      <c r="F1065" s="10" t="str">
        <f>"2170635223 "</f>
        <v xml:space="preserve">2170635223 </v>
      </c>
      <c r="G1065" s="10" t="str">
        <f t="shared" si="32"/>
        <v>ON1</v>
      </c>
      <c r="H1065" s="10" t="s">
        <v>21</v>
      </c>
      <c r="I1065" s="10" t="s">
        <v>118</v>
      </c>
      <c r="J1065" s="10" t="str">
        <f>""</f>
        <v/>
      </c>
      <c r="K1065" s="10" t="str">
        <f>"PFES1162630129_0001"</f>
        <v>PFES1162630129_0001</v>
      </c>
      <c r="L1065" s="10">
        <v>2</v>
      </c>
      <c r="M1065" s="10">
        <v>5</v>
      </c>
    </row>
    <row r="1066" spans="1:13">
      <c r="A1066" s="8">
        <v>43269</v>
      </c>
      <c r="B1066" s="9">
        <v>0.65</v>
      </c>
      <c r="C1066" s="10" t="str">
        <f>"FES1162630208"</f>
        <v>FES1162630208</v>
      </c>
      <c r="D1066" s="10" t="s">
        <v>19</v>
      </c>
      <c r="E1066" s="10" t="s">
        <v>399</v>
      </c>
      <c r="F1066" s="10" t="str">
        <f>"2170637202 "</f>
        <v xml:space="preserve">2170637202 </v>
      </c>
      <c r="G1066" s="10" t="str">
        <f t="shared" si="32"/>
        <v>ON1</v>
      </c>
      <c r="H1066" s="10" t="s">
        <v>21</v>
      </c>
      <c r="I1066" s="10" t="s">
        <v>400</v>
      </c>
      <c r="J1066" s="10" t="str">
        <f>""</f>
        <v/>
      </c>
      <c r="K1066" s="10" t="str">
        <f>"PFES1162630208_0001"</f>
        <v>PFES1162630208_0001</v>
      </c>
      <c r="L1066" s="10">
        <v>1</v>
      </c>
      <c r="M1066" s="10">
        <v>6</v>
      </c>
    </row>
    <row r="1067" spans="1:13">
      <c r="A1067" s="8">
        <v>43269</v>
      </c>
      <c r="B1067" s="9">
        <v>0.63958333333333328</v>
      </c>
      <c r="C1067" s="10" t="str">
        <f>"FES1162630192"</f>
        <v>FES1162630192</v>
      </c>
      <c r="D1067" s="10" t="s">
        <v>19</v>
      </c>
      <c r="E1067" s="10" t="s">
        <v>699</v>
      </c>
      <c r="F1067" s="10" t="str">
        <f>"2170632955 "</f>
        <v xml:space="preserve">2170632955 </v>
      </c>
      <c r="G1067" s="10" t="str">
        <f t="shared" si="32"/>
        <v>ON1</v>
      </c>
      <c r="H1067" s="10" t="s">
        <v>21</v>
      </c>
      <c r="I1067" s="10" t="s">
        <v>290</v>
      </c>
      <c r="J1067" s="10" t="str">
        <f>""</f>
        <v/>
      </c>
      <c r="K1067" s="10" t="str">
        <f>"PFES1162630192_0001"</f>
        <v>PFES1162630192_0001</v>
      </c>
      <c r="L1067" s="10">
        <v>1</v>
      </c>
      <c r="M1067" s="10">
        <v>3</v>
      </c>
    </row>
    <row r="1068" spans="1:13">
      <c r="A1068" s="8">
        <v>43269</v>
      </c>
      <c r="B1068" s="9">
        <v>0.63680555555555551</v>
      </c>
      <c r="C1068" s="10" t="str">
        <f>"FES1162630199"</f>
        <v>FES1162630199</v>
      </c>
      <c r="D1068" s="10" t="s">
        <v>19</v>
      </c>
      <c r="E1068" s="10" t="s">
        <v>229</v>
      </c>
      <c r="F1068" s="10" t="str">
        <f>"2170634755 "</f>
        <v xml:space="preserve">2170634755 </v>
      </c>
      <c r="G1068" s="10" t="str">
        <f t="shared" si="32"/>
        <v>ON1</v>
      </c>
      <c r="H1068" s="10" t="s">
        <v>21</v>
      </c>
      <c r="I1068" s="10" t="s">
        <v>230</v>
      </c>
      <c r="J1068" s="10" t="str">
        <f>""</f>
        <v/>
      </c>
      <c r="K1068" s="10" t="str">
        <f>"PFES1162630199_0001"</f>
        <v>PFES1162630199_0001</v>
      </c>
      <c r="L1068" s="10">
        <v>1</v>
      </c>
      <c r="M1068" s="10">
        <v>2</v>
      </c>
    </row>
    <row r="1069" spans="1:13">
      <c r="A1069" s="8">
        <v>43269</v>
      </c>
      <c r="B1069" s="9">
        <v>0.63472222222222219</v>
      </c>
      <c r="C1069" s="10" t="str">
        <f>"FES1162630198"</f>
        <v>FES1162630198</v>
      </c>
      <c r="D1069" s="10" t="s">
        <v>19</v>
      </c>
      <c r="E1069" s="10" t="s">
        <v>700</v>
      </c>
      <c r="F1069" s="10" t="str">
        <f>"2170634317 "</f>
        <v xml:space="preserve">2170634317 </v>
      </c>
      <c r="G1069" s="10" t="str">
        <f t="shared" si="32"/>
        <v>ON1</v>
      </c>
      <c r="H1069" s="10" t="s">
        <v>21</v>
      </c>
      <c r="I1069" s="10" t="s">
        <v>272</v>
      </c>
      <c r="J1069" s="10" t="str">
        <f>""</f>
        <v/>
      </c>
      <c r="K1069" s="10" t="str">
        <f>"PFES1162630198_0001"</f>
        <v>PFES1162630198_0001</v>
      </c>
      <c r="L1069" s="10">
        <v>1</v>
      </c>
      <c r="M1069" s="10">
        <v>3</v>
      </c>
    </row>
    <row r="1070" spans="1:13">
      <c r="A1070" s="8">
        <v>43269</v>
      </c>
      <c r="B1070" s="9">
        <v>0.63124999999999998</v>
      </c>
      <c r="C1070" s="10" t="str">
        <f>"FES1162630215"</f>
        <v>FES1162630215</v>
      </c>
      <c r="D1070" s="10" t="s">
        <v>19</v>
      </c>
      <c r="E1070" s="10" t="s">
        <v>701</v>
      </c>
      <c r="F1070" s="10" t="str">
        <f>"2170637209 "</f>
        <v xml:space="preserve">2170637209 </v>
      </c>
      <c r="G1070" s="10" t="str">
        <f t="shared" si="32"/>
        <v>ON1</v>
      </c>
      <c r="H1070" s="10" t="s">
        <v>21</v>
      </c>
      <c r="I1070" s="10" t="s">
        <v>702</v>
      </c>
      <c r="J1070" s="10" t="str">
        <f>""</f>
        <v/>
      </c>
      <c r="K1070" s="10" t="str">
        <f>"PFES1162630215_0001"</f>
        <v>PFES1162630215_0001</v>
      </c>
      <c r="L1070" s="10">
        <v>1</v>
      </c>
      <c r="M1070" s="10">
        <v>2</v>
      </c>
    </row>
    <row r="1071" spans="1:13">
      <c r="A1071" s="8">
        <v>43269</v>
      </c>
      <c r="B1071" s="9">
        <v>0.61805555555555558</v>
      </c>
      <c r="C1071" s="10" t="str">
        <f>"FES1162630191"</f>
        <v>FES1162630191</v>
      </c>
      <c r="D1071" s="10" t="s">
        <v>19</v>
      </c>
      <c r="E1071" s="10" t="s">
        <v>703</v>
      </c>
      <c r="F1071" s="10" t="str">
        <f>"2170632875 "</f>
        <v xml:space="preserve">2170632875 </v>
      </c>
      <c r="G1071" s="10" t="str">
        <f>"DBC"</f>
        <v>DBC</v>
      </c>
      <c r="H1071" s="10" t="s">
        <v>21</v>
      </c>
      <c r="I1071" s="10" t="s">
        <v>61</v>
      </c>
      <c r="J1071" s="10" t="str">
        <f>""</f>
        <v/>
      </c>
      <c r="K1071" s="10" t="str">
        <f>"PFES1162630191_0001"</f>
        <v>PFES1162630191_0001</v>
      </c>
      <c r="L1071" s="10">
        <v>4</v>
      </c>
      <c r="M1071" s="10">
        <v>40</v>
      </c>
    </row>
    <row r="1072" spans="1:13">
      <c r="A1072" s="8">
        <v>43269</v>
      </c>
      <c r="B1072" s="9">
        <v>0.61736111111111114</v>
      </c>
      <c r="C1072" s="10" t="str">
        <f>"FES1162630201"</f>
        <v>FES1162630201</v>
      </c>
      <c r="D1072" s="10" t="s">
        <v>19</v>
      </c>
      <c r="E1072" s="10" t="s">
        <v>291</v>
      </c>
      <c r="F1072" s="10" t="str">
        <f>"2170637131 "</f>
        <v xml:space="preserve">2170637131 </v>
      </c>
      <c r="G1072" s="10" t="str">
        <f t="shared" ref="G1072:G1077" si="33">"ON1"</f>
        <v>ON1</v>
      </c>
      <c r="H1072" s="10" t="s">
        <v>21</v>
      </c>
      <c r="I1072" s="10" t="s">
        <v>131</v>
      </c>
      <c r="J1072" s="10" t="str">
        <f>""</f>
        <v/>
      </c>
      <c r="K1072" s="10" t="str">
        <f>"PFES1162630201_0001"</f>
        <v>PFES1162630201_0001</v>
      </c>
      <c r="L1072" s="10">
        <v>1</v>
      </c>
      <c r="M1072" s="10">
        <v>1</v>
      </c>
    </row>
    <row r="1073" spans="1:13">
      <c r="A1073" s="8">
        <v>43269</v>
      </c>
      <c r="B1073" s="9">
        <v>0.6166666666666667</v>
      </c>
      <c r="C1073" s="10" t="str">
        <f>"FES1162630205"</f>
        <v>FES1162630205</v>
      </c>
      <c r="D1073" s="10" t="s">
        <v>19</v>
      </c>
      <c r="E1073" s="10" t="s">
        <v>132</v>
      </c>
      <c r="F1073" s="10" t="str">
        <f>"2170637181 "</f>
        <v xml:space="preserve">2170637181 </v>
      </c>
      <c r="G1073" s="10" t="str">
        <f t="shared" si="33"/>
        <v>ON1</v>
      </c>
      <c r="H1073" s="10" t="s">
        <v>21</v>
      </c>
      <c r="I1073" s="10" t="s">
        <v>69</v>
      </c>
      <c r="J1073" s="10" t="str">
        <f>""</f>
        <v/>
      </c>
      <c r="K1073" s="10" t="str">
        <f>"PFES1162630205_0001"</f>
        <v>PFES1162630205_0001</v>
      </c>
      <c r="L1073" s="10">
        <v>1</v>
      </c>
      <c r="M1073" s="10">
        <v>1</v>
      </c>
    </row>
    <row r="1074" spans="1:13">
      <c r="A1074" s="8">
        <v>43269</v>
      </c>
      <c r="B1074" s="9">
        <v>0.6166666666666667</v>
      </c>
      <c r="C1074" s="10" t="str">
        <f>"FES1162630206"</f>
        <v>FES1162630206</v>
      </c>
      <c r="D1074" s="10" t="s">
        <v>19</v>
      </c>
      <c r="E1074" s="10" t="s">
        <v>704</v>
      </c>
      <c r="F1074" s="10" t="str">
        <f>"2170637196 "</f>
        <v xml:space="preserve">2170637196 </v>
      </c>
      <c r="G1074" s="10" t="str">
        <f t="shared" si="33"/>
        <v>ON1</v>
      </c>
      <c r="H1074" s="10" t="s">
        <v>21</v>
      </c>
      <c r="I1074" s="10" t="s">
        <v>285</v>
      </c>
      <c r="J1074" s="10" t="str">
        <f>""</f>
        <v/>
      </c>
      <c r="K1074" s="10" t="str">
        <f>"PFES1162630206_0001"</f>
        <v>PFES1162630206_0001</v>
      </c>
      <c r="L1074" s="10">
        <v>1</v>
      </c>
      <c r="M1074" s="10">
        <v>1</v>
      </c>
    </row>
    <row r="1075" spans="1:13">
      <c r="A1075" s="8">
        <v>43269</v>
      </c>
      <c r="B1075" s="9">
        <v>0.6166666666666667</v>
      </c>
      <c r="C1075" s="10" t="str">
        <f>"FES1162630216"</f>
        <v>FES1162630216</v>
      </c>
      <c r="D1075" s="10" t="s">
        <v>19</v>
      </c>
      <c r="E1075" s="10" t="s">
        <v>74</v>
      </c>
      <c r="F1075" s="10" t="str">
        <f>"2170637211 "</f>
        <v xml:space="preserve">2170637211 </v>
      </c>
      <c r="G1075" s="10" t="str">
        <f t="shared" si="33"/>
        <v>ON1</v>
      </c>
      <c r="H1075" s="10" t="s">
        <v>21</v>
      </c>
      <c r="I1075" s="10" t="s">
        <v>75</v>
      </c>
      <c r="J1075" s="10" t="str">
        <f>""</f>
        <v/>
      </c>
      <c r="K1075" s="10" t="str">
        <f>"PFES1162630216_0001"</f>
        <v>PFES1162630216_0001</v>
      </c>
      <c r="L1075" s="10">
        <v>1</v>
      </c>
      <c r="M1075" s="10">
        <v>1</v>
      </c>
    </row>
    <row r="1076" spans="1:13">
      <c r="A1076" s="8">
        <v>43269</v>
      </c>
      <c r="B1076" s="9">
        <v>0.61597222222222225</v>
      </c>
      <c r="C1076" s="10" t="str">
        <f>"FES1162630103"</f>
        <v>FES1162630103</v>
      </c>
      <c r="D1076" s="10" t="s">
        <v>19</v>
      </c>
      <c r="E1076" s="10" t="s">
        <v>571</v>
      </c>
      <c r="F1076" s="10" t="str">
        <f>"2170637098 "</f>
        <v xml:space="preserve">2170637098 </v>
      </c>
      <c r="G1076" s="10" t="str">
        <f t="shared" si="33"/>
        <v>ON1</v>
      </c>
      <c r="H1076" s="10" t="s">
        <v>21</v>
      </c>
      <c r="I1076" s="10" t="s">
        <v>174</v>
      </c>
      <c r="J1076" s="10" t="str">
        <f>""</f>
        <v/>
      </c>
      <c r="K1076" s="10" t="str">
        <f>"PFES1162630103_0001"</f>
        <v>PFES1162630103_0001</v>
      </c>
      <c r="L1076" s="10">
        <v>1</v>
      </c>
      <c r="M1076" s="10">
        <v>1</v>
      </c>
    </row>
    <row r="1077" spans="1:13">
      <c r="A1077" s="8">
        <v>43269</v>
      </c>
      <c r="B1077" s="9">
        <v>0.61597222222222225</v>
      </c>
      <c r="C1077" s="10" t="str">
        <f>"FES1162630184"</f>
        <v>FES1162630184</v>
      </c>
      <c r="D1077" s="10" t="s">
        <v>19</v>
      </c>
      <c r="E1077" s="10" t="s">
        <v>50</v>
      </c>
      <c r="F1077" s="10" t="str">
        <f>"2170630936 "</f>
        <v xml:space="preserve">2170630936 </v>
      </c>
      <c r="G1077" s="10" t="str">
        <f t="shared" si="33"/>
        <v>ON1</v>
      </c>
      <c r="H1077" s="10" t="s">
        <v>21</v>
      </c>
      <c r="I1077" s="10" t="s">
        <v>51</v>
      </c>
      <c r="J1077" s="10" t="str">
        <f>""</f>
        <v/>
      </c>
      <c r="K1077" s="10" t="str">
        <f>"PFES1162630184_0001"</f>
        <v>PFES1162630184_0001</v>
      </c>
      <c r="L1077" s="10">
        <v>2</v>
      </c>
      <c r="M1077" s="10">
        <v>11</v>
      </c>
    </row>
    <row r="1078" spans="1:13">
      <c r="A1078" s="8">
        <v>43269</v>
      </c>
      <c r="B1078" s="9">
        <v>0.61527777777777781</v>
      </c>
      <c r="C1078" s="10" t="str">
        <f>"FES1162630197"</f>
        <v>FES1162630197</v>
      </c>
      <c r="D1078" s="10" t="s">
        <v>19</v>
      </c>
      <c r="E1078" s="10" t="s">
        <v>29</v>
      </c>
      <c r="F1078" s="10" t="str">
        <f>"2170633769 "</f>
        <v xml:space="preserve">2170633769 </v>
      </c>
      <c r="G1078" s="10" t="str">
        <f>"ON1"</f>
        <v>ON1</v>
      </c>
      <c r="H1078" s="10" t="s">
        <v>21</v>
      </c>
      <c r="I1078" s="10" t="s">
        <v>30</v>
      </c>
      <c r="J1078" s="10" t="str">
        <f>""</f>
        <v/>
      </c>
      <c r="K1078" s="10" t="str">
        <f>"PFES1162630197_0001"</f>
        <v>PFES1162630197_0001</v>
      </c>
      <c r="L1078" s="10">
        <v>2</v>
      </c>
      <c r="M1078" s="10">
        <v>5</v>
      </c>
    </row>
    <row r="1079" spans="1:13">
      <c r="A1079" s="8">
        <v>43269</v>
      </c>
      <c r="B1079" s="9">
        <v>0.61527777777777781</v>
      </c>
      <c r="C1079" s="10" t="str">
        <f>"FES1162630217"</f>
        <v>FES1162630217</v>
      </c>
      <c r="D1079" s="10" t="s">
        <v>19</v>
      </c>
      <c r="E1079" s="10" t="s">
        <v>184</v>
      </c>
      <c r="F1079" s="10" t="str">
        <f>"2170632377 "</f>
        <v xml:space="preserve">2170632377 </v>
      </c>
      <c r="G1079" s="10" t="str">
        <f>"DBC"</f>
        <v>DBC</v>
      </c>
      <c r="H1079" s="10" t="s">
        <v>21</v>
      </c>
      <c r="I1079" s="10" t="s">
        <v>134</v>
      </c>
      <c r="J1079" s="10" t="str">
        <f>""</f>
        <v/>
      </c>
      <c r="K1079" s="10" t="str">
        <f>"PFES1162630217_0001"</f>
        <v>PFES1162630217_0001</v>
      </c>
      <c r="L1079" s="10">
        <v>1</v>
      </c>
      <c r="M1079" s="10">
        <v>23</v>
      </c>
    </row>
    <row r="1080" spans="1:13">
      <c r="A1080" s="8">
        <v>43269</v>
      </c>
      <c r="B1080" s="9">
        <v>0.61458333333333337</v>
      </c>
      <c r="C1080" s="10" t="str">
        <f>"FES1162630186"</f>
        <v>FES1162630186</v>
      </c>
      <c r="D1080" s="10" t="s">
        <v>19</v>
      </c>
      <c r="E1080" s="10" t="s">
        <v>193</v>
      </c>
      <c r="F1080" s="10" t="str">
        <f>"2170632026 "</f>
        <v xml:space="preserve">2170632026 </v>
      </c>
      <c r="G1080" s="10" t="str">
        <f t="shared" ref="G1080:G1141" si="34">"ON1"</f>
        <v>ON1</v>
      </c>
      <c r="H1080" s="10" t="s">
        <v>21</v>
      </c>
      <c r="I1080" s="10" t="s">
        <v>30</v>
      </c>
      <c r="J1080" s="10" t="str">
        <f>""</f>
        <v/>
      </c>
      <c r="K1080" s="10" t="str">
        <f>"PFES1162630186_0001"</f>
        <v>PFES1162630186_0001</v>
      </c>
      <c r="L1080" s="10">
        <v>1</v>
      </c>
      <c r="M1080" s="10">
        <v>11</v>
      </c>
    </row>
    <row r="1081" spans="1:13">
      <c r="A1081" s="8">
        <v>43269</v>
      </c>
      <c r="B1081" s="9">
        <v>0.61458333333333337</v>
      </c>
      <c r="C1081" s="10" t="str">
        <f>"FES1162630194"</f>
        <v>FES1162630194</v>
      </c>
      <c r="D1081" s="10" t="s">
        <v>19</v>
      </c>
      <c r="E1081" s="10" t="s">
        <v>124</v>
      </c>
      <c r="F1081" s="10" t="str">
        <f>"2170633320 "</f>
        <v xml:space="preserve">2170633320 </v>
      </c>
      <c r="G1081" s="10" t="str">
        <f t="shared" si="34"/>
        <v>ON1</v>
      </c>
      <c r="H1081" s="10" t="s">
        <v>21</v>
      </c>
      <c r="I1081" s="10" t="s">
        <v>40</v>
      </c>
      <c r="J1081" s="10" t="str">
        <f>""</f>
        <v/>
      </c>
      <c r="K1081" s="10" t="str">
        <f>"PFES1162630194_0001"</f>
        <v>PFES1162630194_0001</v>
      </c>
      <c r="L1081" s="10">
        <v>1</v>
      </c>
      <c r="M1081" s="10">
        <v>1</v>
      </c>
    </row>
    <row r="1082" spans="1:13">
      <c r="A1082" s="8">
        <v>43269</v>
      </c>
      <c r="B1082" s="9">
        <v>0.61388888888888882</v>
      </c>
      <c r="C1082" s="10" t="str">
        <f>"FES1162630190"</f>
        <v>FES1162630190</v>
      </c>
      <c r="D1082" s="10" t="s">
        <v>19</v>
      </c>
      <c r="E1082" s="10" t="s">
        <v>62</v>
      </c>
      <c r="F1082" s="10" t="str">
        <f>"2170632871 "</f>
        <v xml:space="preserve">2170632871 </v>
      </c>
      <c r="G1082" s="10" t="str">
        <f t="shared" si="34"/>
        <v>ON1</v>
      </c>
      <c r="H1082" s="10" t="s">
        <v>21</v>
      </c>
      <c r="I1082" s="10" t="s">
        <v>63</v>
      </c>
      <c r="J1082" s="10" t="str">
        <f>""</f>
        <v/>
      </c>
      <c r="K1082" s="10" t="str">
        <f>"PFES1162630190_0001"</f>
        <v>PFES1162630190_0001</v>
      </c>
      <c r="L1082" s="10">
        <v>1</v>
      </c>
      <c r="M1082" s="10">
        <v>1</v>
      </c>
    </row>
    <row r="1083" spans="1:13">
      <c r="A1083" s="8">
        <v>43269</v>
      </c>
      <c r="B1083" s="9">
        <v>0.61388888888888882</v>
      </c>
      <c r="C1083" s="10" t="str">
        <f>"FES1162630146"</f>
        <v>FES1162630146</v>
      </c>
      <c r="D1083" s="10" t="s">
        <v>19</v>
      </c>
      <c r="E1083" s="10" t="s">
        <v>705</v>
      </c>
      <c r="F1083" s="10" t="str">
        <f>"2170637158 "</f>
        <v xml:space="preserve">2170637158 </v>
      </c>
      <c r="G1083" s="10" t="str">
        <f t="shared" si="34"/>
        <v>ON1</v>
      </c>
      <c r="H1083" s="10" t="s">
        <v>21</v>
      </c>
      <c r="I1083" s="10" t="s">
        <v>569</v>
      </c>
      <c r="J1083" s="10" t="str">
        <f>""</f>
        <v/>
      </c>
      <c r="K1083" s="10" t="str">
        <f>"PFES1162630146_0001"</f>
        <v>PFES1162630146_0001</v>
      </c>
      <c r="L1083" s="10">
        <v>1</v>
      </c>
      <c r="M1083" s="10">
        <v>7</v>
      </c>
    </row>
    <row r="1084" spans="1:13">
      <c r="A1084" s="8">
        <v>43269</v>
      </c>
      <c r="B1084" s="9">
        <v>0.61319444444444449</v>
      </c>
      <c r="C1084" s="10" t="str">
        <f>"FES1162630177"</f>
        <v>FES1162630177</v>
      </c>
      <c r="D1084" s="10" t="s">
        <v>19</v>
      </c>
      <c r="E1084" s="10" t="s">
        <v>140</v>
      </c>
      <c r="F1084" s="10" t="str">
        <f>"2170626243 "</f>
        <v xml:space="preserve">2170626243 </v>
      </c>
      <c r="G1084" s="10" t="str">
        <f t="shared" si="34"/>
        <v>ON1</v>
      </c>
      <c r="H1084" s="10" t="s">
        <v>21</v>
      </c>
      <c r="I1084" s="10" t="s">
        <v>141</v>
      </c>
      <c r="J1084" s="10" t="str">
        <f>""</f>
        <v/>
      </c>
      <c r="K1084" s="10" t="str">
        <f>"PFES1162630177_0001"</f>
        <v>PFES1162630177_0001</v>
      </c>
      <c r="L1084" s="10">
        <v>1</v>
      </c>
      <c r="M1084" s="10">
        <v>5</v>
      </c>
    </row>
    <row r="1085" spans="1:13">
      <c r="A1085" s="8">
        <v>43269</v>
      </c>
      <c r="B1085" s="9">
        <v>0.61249999999999993</v>
      </c>
      <c r="C1085" s="10" t="str">
        <f>"FES1162630189"</f>
        <v>FES1162630189</v>
      </c>
      <c r="D1085" s="10" t="s">
        <v>19</v>
      </c>
      <c r="E1085" s="10" t="s">
        <v>29</v>
      </c>
      <c r="F1085" s="10" t="str">
        <f>"2170632856 "</f>
        <v xml:space="preserve">2170632856 </v>
      </c>
      <c r="G1085" s="10" t="str">
        <f t="shared" si="34"/>
        <v>ON1</v>
      </c>
      <c r="H1085" s="10" t="s">
        <v>21</v>
      </c>
      <c r="I1085" s="10" t="s">
        <v>30</v>
      </c>
      <c r="J1085" s="10" t="str">
        <f>""</f>
        <v/>
      </c>
      <c r="K1085" s="10" t="str">
        <f>"PFES1162630189_0001"</f>
        <v>PFES1162630189_0001</v>
      </c>
      <c r="L1085" s="10">
        <v>1</v>
      </c>
      <c r="M1085" s="10">
        <v>2</v>
      </c>
    </row>
    <row r="1086" spans="1:13">
      <c r="A1086" s="8">
        <v>43269</v>
      </c>
      <c r="B1086" s="9">
        <v>0.6118055555555556</v>
      </c>
      <c r="C1086" s="10" t="str">
        <f>"FES1162630196"</f>
        <v>FES1162630196</v>
      </c>
      <c r="D1086" s="10" t="s">
        <v>19</v>
      </c>
      <c r="E1086" s="10" t="s">
        <v>706</v>
      </c>
      <c r="F1086" s="10" t="str">
        <f>"2170633633 "</f>
        <v xml:space="preserve">2170633633 </v>
      </c>
      <c r="G1086" s="10" t="str">
        <f t="shared" si="34"/>
        <v>ON1</v>
      </c>
      <c r="H1086" s="10" t="s">
        <v>21</v>
      </c>
      <c r="I1086" s="10" t="s">
        <v>707</v>
      </c>
      <c r="J1086" s="10" t="str">
        <f>""</f>
        <v/>
      </c>
      <c r="K1086" s="10" t="str">
        <f>"PFES1162630196_0001"</f>
        <v>PFES1162630196_0001</v>
      </c>
      <c r="L1086" s="10">
        <v>1</v>
      </c>
      <c r="M1086" s="10">
        <v>4</v>
      </c>
    </row>
    <row r="1087" spans="1:13">
      <c r="A1087" s="8">
        <v>43269</v>
      </c>
      <c r="B1087" s="9">
        <v>0.6118055555555556</v>
      </c>
      <c r="C1087" s="10" t="str">
        <f>"FES1162630178"</f>
        <v>FES1162630178</v>
      </c>
      <c r="D1087" s="10" t="s">
        <v>19</v>
      </c>
      <c r="E1087" s="10" t="s">
        <v>87</v>
      </c>
      <c r="F1087" s="10" t="str">
        <f>"2170628474 "</f>
        <v xml:space="preserve">2170628474 </v>
      </c>
      <c r="G1087" s="10" t="str">
        <f t="shared" si="34"/>
        <v>ON1</v>
      </c>
      <c r="H1087" s="10" t="s">
        <v>21</v>
      </c>
      <c r="I1087" s="10" t="s">
        <v>104</v>
      </c>
      <c r="J1087" s="10" t="str">
        <f>""</f>
        <v/>
      </c>
      <c r="K1087" s="10" t="str">
        <f>"PFES1162630178_0001"</f>
        <v>PFES1162630178_0001</v>
      </c>
      <c r="L1087" s="10">
        <v>1</v>
      </c>
      <c r="M1087" s="10">
        <v>1</v>
      </c>
    </row>
    <row r="1088" spans="1:13">
      <c r="A1088" s="8">
        <v>43269</v>
      </c>
      <c r="B1088" s="9">
        <v>0.6118055555555556</v>
      </c>
      <c r="C1088" s="10" t="str">
        <f>"FES1162629828"</f>
        <v>FES1162629828</v>
      </c>
      <c r="D1088" s="10" t="s">
        <v>19</v>
      </c>
      <c r="E1088" s="10" t="s">
        <v>351</v>
      </c>
      <c r="F1088" s="10" t="str">
        <f>"2170629907 "</f>
        <v xml:space="preserve">2170629907 </v>
      </c>
      <c r="G1088" s="10" t="str">
        <f t="shared" si="34"/>
        <v>ON1</v>
      </c>
      <c r="H1088" s="10" t="s">
        <v>21</v>
      </c>
      <c r="I1088" s="10" t="s">
        <v>174</v>
      </c>
      <c r="J1088" s="10" t="str">
        <f>""</f>
        <v/>
      </c>
      <c r="K1088" s="10" t="str">
        <f>"PFES1162629828_0001"</f>
        <v>PFES1162629828_0001</v>
      </c>
      <c r="L1088" s="10">
        <v>1</v>
      </c>
      <c r="M1088" s="10">
        <v>2</v>
      </c>
    </row>
    <row r="1089" spans="1:13">
      <c r="A1089" s="8">
        <v>43269</v>
      </c>
      <c r="B1089" s="9">
        <v>0.61111111111111105</v>
      </c>
      <c r="C1089" s="10" t="str">
        <f>"FES1162630091"</f>
        <v>FES1162630091</v>
      </c>
      <c r="D1089" s="10" t="s">
        <v>19</v>
      </c>
      <c r="E1089" s="10" t="s">
        <v>571</v>
      </c>
      <c r="F1089" s="10" t="str">
        <f>"2170637090 "</f>
        <v xml:space="preserve">2170637090 </v>
      </c>
      <c r="G1089" s="10" t="str">
        <f t="shared" si="34"/>
        <v>ON1</v>
      </c>
      <c r="H1089" s="10" t="s">
        <v>21</v>
      </c>
      <c r="I1089" s="10" t="s">
        <v>174</v>
      </c>
      <c r="J1089" s="10" t="str">
        <f>""</f>
        <v/>
      </c>
      <c r="K1089" s="10" t="str">
        <f>"PFES1162630091_0001"</f>
        <v>PFES1162630091_0001</v>
      </c>
      <c r="L1089" s="10">
        <v>1</v>
      </c>
      <c r="M1089" s="10">
        <v>2</v>
      </c>
    </row>
    <row r="1090" spans="1:13">
      <c r="A1090" s="8">
        <v>43269</v>
      </c>
      <c r="B1090" s="9">
        <v>0.61041666666666672</v>
      </c>
      <c r="C1090" s="10" t="str">
        <f>"FES1162630160"</f>
        <v>FES1162630160</v>
      </c>
      <c r="D1090" s="10" t="s">
        <v>19</v>
      </c>
      <c r="E1090" s="10" t="s">
        <v>708</v>
      </c>
      <c r="F1090" s="10" t="str">
        <f>"2170637180 "</f>
        <v xml:space="preserve">2170637180 </v>
      </c>
      <c r="G1090" s="10" t="str">
        <f t="shared" si="34"/>
        <v>ON1</v>
      </c>
      <c r="H1090" s="10" t="s">
        <v>21</v>
      </c>
      <c r="I1090" s="10" t="s">
        <v>363</v>
      </c>
      <c r="J1090" s="10" t="str">
        <f>""</f>
        <v/>
      </c>
      <c r="K1090" s="10" t="str">
        <f>"PFES1162630160_0001"</f>
        <v>PFES1162630160_0001</v>
      </c>
      <c r="L1090" s="10">
        <v>1</v>
      </c>
      <c r="M1090" s="10">
        <v>2</v>
      </c>
    </row>
    <row r="1091" spans="1:13">
      <c r="A1091" s="8">
        <v>43269</v>
      </c>
      <c r="B1091" s="9">
        <v>0.61041666666666672</v>
      </c>
      <c r="C1091" s="10" t="str">
        <f>"FES1162630188"</f>
        <v>FES1162630188</v>
      </c>
      <c r="D1091" s="10" t="s">
        <v>19</v>
      </c>
      <c r="E1091" s="10" t="s">
        <v>709</v>
      </c>
      <c r="F1091" s="10" t="str">
        <f>"2170632392 "</f>
        <v xml:space="preserve">2170632392 </v>
      </c>
      <c r="G1091" s="10" t="str">
        <f t="shared" si="34"/>
        <v>ON1</v>
      </c>
      <c r="H1091" s="10" t="s">
        <v>21</v>
      </c>
      <c r="I1091" s="10" t="s">
        <v>710</v>
      </c>
      <c r="J1091" s="10" t="str">
        <f>""</f>
        <v/>
      </c>
      <c r="K1091" s="10" t="str">
        <f>"PFES1162630188_0001"</f>
        <v>PFES1162630188_0001</v>
      </c>
      <c r="L1091" s="10">
        <v>1</v>
      </c>
      <c r="M1091" s="10">
        <v>3</v>
      </c>
    </row>
    <row r="1092" spans="1:13">
      <c r="A1092" s="8">
        <v>43269</v>
      </c>
      <c r="B1092" s="9">
        <v>0.61041666666666672</v>
      </c>
      <c r="C1092" s="10" t="str">
        <f>"FES1162630185"</f>
        <v>FES1162630185</v>
      </c>
      <c r="D1092" s="10" t="s">
        <v>19</v>
      </c>
      <c r="E1092" s="10" t="s">
        <v>711</v>
      </c>
      <c r="F1092" s="10" t="str">
        <f>"21706318888 "</f>
        <v xml:space="preserve">21706318888 </v>
      </c>
      <c r="G1092" s="10" t="str">
        <f t="shared" si="34"/>
        <v>ON1</v>
      </c>
      <c r="H1092" s="10" t="s">
        <v>21</v>
      </c>
      <c r="I1092" s="10" t="s">
        <v>712</v>
      </c>
      <c r="J1092" s="10" t="str">
        <f>""</f>
        <v/>
      </c>
      <c r="K1092" s="10" t="str">
        <f>"PFES1162630185_0001"</f>
        <v>PFES1162630185_0001</v>
      </c>
      <c r="L1092" s="10">
        <v>1</v>
      </c>
      <c r="M1092" s="10">
        <v>14</v>
      </c>
    </row>
    <row r="1093" spans="1:13">
      <c r="A1093" s="8">
        <v>43269</v>
      </c>
      <c r="B1093" s="9">
        <v>0.60972222222222217</v>
      </c>
      <c r="C1093" s="10" t="str">
        <f>"FES1162630183"</f>
        <v>FES1162630183</v>
      </c>
      <c r="D1093" s="10" t="s">
        <v>19</v>
      </c>
      <c r="E1093" s="10" t="s">
        <v>568</v>
      </c>
      <c r="F1093" s="10" t="str">
        <f>"2170630587 "</f>
        <v xml:space="preserve">2170630587 </v>
      </c>
      <c r="G1093" s="10" t="str">
        <f t="shared" si="34"/>
        <v>ON1</v>
      </c>
      <c r="H1093" s="10" t="s">
        <v>21</v>
      </c>
      <c r="I1093" s="10" t="s">
        <v>569</v>
      </c>
      <c r="J1093" s="10" t="str">
        <f>""</f>
        <v/>
      </c>
      <c r="K1093" s="10" t="str">
        <f>"PFES1162630183_0001"</f>
        <v>PFES1162630183_0001</v>
      </c>
      <c r="L1093" s="10">
        <v>1</v>
      </c>
      <c r="M1093" s="10">
        <v>1</v>
      </c>
    </row>
    <row r="1094" spans="1:13">
      <c r="A1094" s="8">
        <v>43269</v>
      </c>
      <c r="B1094" s="9">
        <v>0.60902777777777783</v>
      </c>
      <c r="C1094" s="10" t="str">
        <f>"FES1162630193"</f>
        <v>FES1162630193</v>
      </c>
      <c r="D1094" s="10" t="s">
        <v>19</v>
      </c>
      <c r="E1094" s="10" t="s">
        <v>703</v>
      </c>
      <c r="F1094" s="10" t="str">
        <f>"2170633273 "</f>
        <v xml:space="preserve">2170633273 </v>
      </c>
      <c r="G1094" s="10" t="str">
        <f t="shared" si="34"/>
        <v>ON1</v>
      </c>
      <c r="H1094" s="10" t="s">
        <v>21</v>
      </c>
      <c r="I1094" s="10" t="s">
        <v>61</v>
      </c>
      <c r="J1094" s="10" t="str">
        <f>""</f>
        <v/>
      </c>
      <c r="K1094" s="10" t="str">
        <f>"PFES1162630193_0001"</f>
        <v>PFES1162630193_0001</v>
      </c>
      <c r="L1094" s="10">
        <v>1</v>
      </c>
      <c r="M1094" s="10">
        <v>1</v>
      </c>
    </row>
    <row r="1095" spans="1:13">
      <c r="A1095" s="8">
        <v>43269</v>
      </c>
      <c r="B1095" s="9">
        <v>0.60763888888888895</v>
      </c>
      <c r="C1095" s="10" t="str">
        <f>"FES1162630181"</f>
        <v>FES1162630181</v>
      </c>
      <c r="D1095" s="10" t="s">
        <v>19</v>
      </c>
      <c r="E1095" s="10" t="s">
        <v>235</v>
      </c>
      <c r="F1095" s="10" t="str">
        <f>"2170629318 "</f>
        <v xml:space="preserve">2170629318 </v>
      </c>
      <c r="G1095" s="10" t="str">
        <f t="shared" si="34"/>
        <v>ON1</v>
      </c>
      <c r="H1095" s="10" t="s">
        <v>21</v>
      </c>
      <c r="I1095" s="10" t="s">
        <v>174</v>
      </c>
      <c r="J1095" s="10" t="str">
        <f>""</f>
        <v/>
      </c>
      <c r="K1095" s="10" t="str">
        <f>"PFES1162630181_0001"</f>
        <v>PFES1162630181_0001</v>
      </c>
      <c r="L1095" s="10">
        <v>1</v>
      </c>
      <c r="M1095" s="10">
        <v>8</v>
      </c>
    </row>
    <row r="1096" spans="1:13">
      <c r="A1096" s="8">
        <v>43269</v>
      </c>
      <c r="B1096" s="9">
        <v>0.60069444444444442</v>
      </c>
      <c r="C1096" s="10" t="str">
        <f>"FES1162630152"</f>
        <v>FES1162630152</v>
      </c>
      <c r="D1096" s="10" t="s">
        <v>19</v>
      </c>
      <c r="E1096" s="10" t="s">
        <v>124</v>
      </c>
      <c r="F1096" s="10" t="str">
        <f>"2170637167 "</f>
        <v xml:space="preserve">2170637167 </v>
      </c>
      <c r="G1096" s="10" t="str">
        <f t="shared" si="34"/>
        <v>ON1</v>
      </c>
      <c r="H1096" s="10" t="s">
        <v>21</v>
      </c>
      <c r="I1096" s="10" t="s">
        <v>40</v>
      </c>
      <c r="J1096" s="10" t="str">
        <f>""</f>
        <v/>
      </c>
      <c r="K1096" s="10" t="str">
        <f>"PFES1162630152_0001"</f>
        <v>PFES1162630152_0001</v>
      </c>
      <c r="L1096" s="10">
        <v>1</v>
      </c>
      <c r="M1096" s="10">
        <v>2</v>
      </c>
    </row>
    <row r="1097" spans="1:13">
      <c r="A1097" s="8">
        <v>43269</v>
      </c>
      <c r="B1097" s="9">
        <v>0.59444444444444444</v>
      </c>
      <c r="C1097" s="10" t="str">
        <f>"FES1162630143"</f>
        <v>FES1162630143</v>
      </c>
      <c r="D1097" s="10" t="s">
        <v>19</v>
      </c>
      <c r="E1097" s="10" t="s">
        <v>345</v>
      </c>
      <c r="F1097" s="10" t="str">
        <f>"2170637151 "</f>
        <v xml:space="preserve">2170637151 </v>
      </c>
      <c r="G1097" s="10" t="str">
        <f t="shared" si="34"/>
        <v>ON1</v>
      </c>
      <c r="H1097" s="10" t="s">
        <v>21</v>
      </c>
      <c r="I1097" s="10" t="s">
        <v>228</v>
      </c>
      <c r="J1097" s="10" t="str">
        <f>""</f>
        <v/>
      </c>
      <c r="K1097" s="10" t="str">
        <f>"PFES1162630143_0001"</f>
        <v>PFES1162630143_0001</v>
      </c>
      <c r="L1097" s="10">
        <v>1</v>
      </c>
      <c r="M1097" s="10">
        <v>2</v>
      </c>
    </row>
    <row r="1098" spans="1:13">
      <c r="A1098" s="8">
        <v>43269</v>
      </c>
      <c r="B1098" s="9">
        <v>0.59305555555555556</v>
      </c>
      <c r="C1098" s="10" t="str">
        <f>"FES1162630163"</f>
        <v>FES1162630163</v>
      </c>
      <c r="D1098" s="10" t="s">
        <v>19</v>
      </c>
      <c r="E1098" s="10" t="s">
        <v>713</v>
      </c>
      <c r="F1098" s="10" t="str">
        <f>"2170637184 "</f>
        <v xml:space="preserve">2170637184 </v>
      </c>
      <c r="G1098" s="10" t="str">
        <f t="shared" si="34"/>
        <v>ON1</v>
      </c>
      <c r="H1098" s="10" t="s">
        <v>21</v>
      </c>
      <c r="I1098" s="10" t="s">
        <v>93</v>
      </c>
      <c r="J1098" s="10" t="str">
        <f>""</f>
        <v/>
      </c>
      <c r="K1098" s="10" t="str">
        <f>"PFES1162630163_0001"</f>
        <v>PFES1162630163_0001</v>
      </c>
      <c r="L1098" s="10">
        <v>1</v>
      </c>
      <c r="M1098" s="10">
        <v>1</v>
      </c>
    </row>
    <row r="1099" spans="1:13">
      <c r="A1099" s="8">
        <v>43269</v>
      </c>
      <c r="B1099" s="9">
        <v>0.59305555555555556</v>
      </c>
      <c r="C1099" s="10" t="str">
        <f>"FES1162630169"</f>
        <v>FES1162630169</v>
      </c>
      <c r="D1099" s="10" t="s">
        <v>19</v>
      </c>
      <c r="E1099" s="10" t="s">
        <v>445</v>
      </c>
      <c r="F1099" s="10" t="str">
        <f>"21706370193 "</f>
        <v xml:space="preserve">21706370193 </v>
      </c>
      <c r="G1099" s="10" t="str">
        <f t="shared" si="34"/>
        <v>ON1</v>
      </c>
      <c r="H1099" s="10" t="s">
        <v>21</v>
      </c>
      <c r="I1099" s="10" t="s">
        <v>446</v>
      </c>
      <c r="J1099" s="10" t="str">
        <f>""</f>
        <v/>
      </c>
      <c r="K1099" s="10" t="str">
        <f>"PFES1162630169_0001"</f>
        <v>PFES1162630169_0001</v>
      </c>
      <c r="L1099" s="10">
        <v>1</v>
      </c>
      <c r="M1099" s="10">
        <v>1</v>
      </c>
    </row>
    <row r="1100" spans="1:13">
      <c r="A1100" s="8">
        <v>43269</v>
      </c>
      <c r="B1100" s="9">
        <v>0.59236111111111112</v>
      </c>
      <c r="C1100" s="10" t="str">
        <f>"FES1162630172"</f>
        <v>FES1162630172</v>
      </c>
      <c r="D1100" s="10" t="s">
        <v>19</v>
      </c>
      <c r="E1100" s="10" t="s">
        <v>533</v>
      </c>
      <c r="F1100" s="10" t="str">
        <f>"2170622150 "</f>
        <v xml:space="preserve">2170622150 </v>
      </c>
      <c r="G1100" s="10" t="str">
        <f t="shared" si="34"/>
        <v>ON1</v>
      </c>
      <c r="H1100" s="10" t="s">
        <v>21</v>
      </c>
      <c r="I1100" s="10" t="s">
        <v>393</v>
      </c>
      <c r="J1100" s="10" t="str">
        <f>""</f>
        <v/>
      </c>
      <c r="K1100" s="10" t="str">
        <f>"PFES1162630172_0001"</f>
        <v>PFES1162630172_0001</v>
      </c>
      <c r="L1100" s="10">
        <v>1</v>
      </c>
      <c r="M1100" s="10">
        <v>1</v>
      </c>
    </row>
    <row r="1101" spans="1:13">
      <c r="A1101" s="8">
        <v>43269</v>
      </c>
      <c r="B1101" s="9">
        <v>0.59236111111111112</v>
      </c>
      <c r="C1101" s="10" t="str">
        <f>"FES1162630137"</f>
        <v>FES1162630137</v>
      </c>
      <c r="D1101" s="10" t="s">
        <v>19</v>
      </c>
      <c r="E1101" s="10" t="s">
        <v>714</v>
      </c>
      <c r="F1101" s="10" t="str">
        <f>"2170637105 "</f>
        <v xml:space="preserve">2170637105 </v>
      </c>
      <c r="G1101" s="10" t="str">
        <f t="shared" si="34"/>
        <v>ON1</v>
      </c>
      <c r="H1101" s="10" t="s">
        <v>21</v>
      </c>
      <c r="I1101" s="10" t="s">
        <v>441</v>
      </c>
      <c r="J1101" s="10" t="str">
        <f>""</f>
        <v/>
      </c>
      <c r="K1101" s="10" t="str">
        <f>"PFES1162630137_0001"</f>
        <v>PFES1162630137_0001</v>
      </c>
      <c r="L1101" s="10">
        <v>1</v>
      </c>
      <c r="M1101" s="10">
        <v>6</v>
      </c>
    </row>
    <row r="1102" spans="1:13">
      <c r="A1102" s="8">
        <v>43269</v>
      </c>
      <c r="B1102" s="9">
        <v>0.59236111111111112</v>
      </c>
      <c r="C1102" s="10" t="str">
        <f>"FES1162630170"</f>
        <v>FES1162630170</v>
      </c>
      <c r="D1102" s="10" t="s">
        <v>19</v>
      </c>
      <c r="E1102" s="10" t="s">
        <v>74</v>
      </c>
      <c r="F1102" s="10" t="str">
        <f>"2170637191 "</f>
        <v xml:space="preserve">2170637191 </v>
      </c>
      <c r="G1102" s="10" t="str">
        <f t="shared" si="34"/>
        <v>ON1</v>
      </c>
      <c r="H1102" s="10" t="s">
        <v>21</v>
      </c>
      <c r="I1102" s="10" t="s">
        <v>75</v>
      </c>
      <c r="J1102" s="10" t="str">
        <f>""</f>
        <v/>
      </c>
      <c r="K1102" s="10" t="str">
        <f>"PFES1162630170_0001"</f>
        <v>PFES1162630170_0001</v>
      </c>
      <c r="L1102" s="10">
        <v>1</v>
      </c>
      <c r="M1102" s="10">
        <v>1</v>
      </c>
    </row>
    <row r="1103" spans="1:13">
      <c r="A1103" s="8">
        <v>43269</v>
      </c>
      <c r="B1103" s="9">
        <v>0.59166666666666667</v>
      </c>
      <c r="C1103" s="10" t="str">
        <f>"FES1162630123"</f>
        <v>FES1162630123</v>
      </c>
      <c r="D1103" s="10" t="s">
        <v>19</v>
      </c>
      <c r="E1103" s="10" t="s">
        <v>499</v>
      </c>
      <c r="F1103" s="10" t="str">
        <f>"2170637126 "</f>
        <v xml:space="preserve">2170637126 </v>
      </c>
      <c r="G1103" s="10" t="str">
        <f t="shared" si="34"/>
        <v>ON1</v>
      </c>
      <c r="H1103" s="10" t="s">
        <v>21</v>
      </c>
      <c r="I1103" s="10" t="s">
        <v>158</v>
      </c>
      <c r="J1103" s="10" t="str">
        <f>""</f>
        <v/>
      </c>
      <c r="K1103" s="10" t="str">
        <f>"PFES1162630123_0001"</f>
        <v>PFES1162630123_0001</v>
      </c>
      <c r="L1103" s="10">
        <v>1</v>
      </c>
      <c r="M1103" s="10">
        <v>1</v>
      </c>
    </row>
    <row r="1104" spans="1:13">
      <c r="A1104" s="8">
        <v>43269</v>
      </c>
      <c r="B1104" s="9">
        <v>0.59166666666666667</v>
      </c>
      <c r="C1104" s="10" t="str">
        <f>"FES1162630157"</f>
        <v>FES1162630157</v>
      </c>
      <c r="D1104" s="10" t="s">
        <v>19</v>
      </c>
      <c r="E1104" s="10" t="s">
        <v>665</v>
      </c>
      <c r="F1104" s="10" t="str">
        <f>"2170637178 "</f>
        <v xml:space="preserve">2170637178 </v>
      </c>
      <c r="G1104" s="10" t="str">
        <f t="shared" si="34"/>
        <v>ON1</v>
      </c>
      <c r="H1104" s="10" t="s">
        <v>21</v>
      </c>
      <c r="I1104" s="10" t="s">
        <v>46</v>
      </c>
      <c r="J1104" s="10" t="str">
        <f>""</f>
        <v/>
      </c>
      <c r="K1104" s="10" t="str">
        <f>"PFES1162630157_0001"</f>
        <v>PFES1162630157_0001</v>
      </c>
      <c r="L1104" s="10">
        <v>1</v>
      </c>
      <c r="M1104" s="10">
        <v>1</v>
      </c>
    </row>
    <row r="1105" spans="1:13">
      <c r="A1105" s="8">
        <v>43269</v>
      </c>
      <c r="B1105" s="9">
        <v>0.59166666666666667</v>
      </c>
      <c r="C1105" s="10" t="str">
        <f>"FES1162630119"</f>
        <v>FES1162630119</v>
      </c>
      <c r="D1105" s="10" t="s">
        <v>19</v>
      </c>
      <c r="E1105" s="10" t="s">
        <v>715</v>
      </c>
      <c r="F1105" s="10" t="str">
        <f>"2170637118 "</f>
        <v xml:space="preserve">2170637118 </v>
      </c>
      <c r="G1105" s="10" t="str">
        <f t="shared" si="34"/>
        <v>ON1</v>
      </c>
      <c r="H1105" s="10" t="s">
        <v>21</v>
      </c>
      <c r="I1105" s="10" t="s">
        <v>255</v>
      </c>
      <c r="J1105" s="10" t="str">
        <f>""</f>
        <v/>
      </c>
      <c r="K1105" s="10" t="str">
        <f>"PFES1162630119_0001"</f>
        <v>PFES1162630119_0001</v>
      </c>
      <c r="L1105" s="10">
        <v>1</v>
      </c>
      <c r="M1105" s="10">
        <v>1</v>
      </c>
    </row>
    <row r="1106" spans="1:13">
      <c r="A1106" s="8">
        <v>43269</v>
      </c>
      <c r="B1106" s="9">
        <v>0.59097222222222223</v>
      </c>
      <c r="C1106" s="10" t="str">
        <f>"FES1162630128"</f>
        <v>FES1162630128</v>
      </c>
      <c r="D1106" s="10" t="s">
        <v>19</v>
      </c>
      <c r="E1106" s="10" t="s">
        <v>216</v>
      </c>
      <c r="F1106" s="10" t="str">
        <f>"21706372134 "</f>
        <v xml:space="preserve">21706372134 </v>
      </c>
      <c r="G1106" s="10" t="str">
        <f t="shared" si="34"/>
        <v>ON1</v>
      </c>
      <c r="H1106" s="10" t="s">
        <v>21</v>
      </c>
      <c r="I1106" s="10" t="s">
        <v>110</v>
      </c>
      <c r="J1106" s="10" t="str">
        <f>""</f>
        <v/>
      </c>
      <c r="K1106" s="10" t="str">
        <f>"PFES1162630128_0001"</f>
        <v>PFES1162630128_0001</v>
      </c>
      <c r="L1106" s="10">
        <v>1</v>
      </c>
      <c r="M1106" s="10">
        <v>1</v>
      </c>
    </row>
    <row r="1107" spans="1:13">
      <c r="A1107" s="8">
        <v>43269</v>
      </c>
      <c r="B1107" s="9">
        <v>0.59097222222222223</v>
      </c>
      <c r="C1107" s="10" t="str">
        <f>"FES1162630100"</f>
        <v>FES1162630100</v>
      </c>
      <c r="D1107" s="10" t="s">
        <v>19</v>
      </c>
      <c r="E1107" s="10" t="s">
        <v>507</v>
      </c>
      <c r="F1107" s="10" t="str">
        <f>"2170637092 "</f>
        <v xml:space="preserve">2170637092 </v>
      </c>
      <c r="G1107" s="10" t="str">
        <f t="shared" si="34"/>
        <v>ON1</v>
      </c>
      <c r="H1107" s="10" t="s">
        <v>21</v>
      </c>
      <c r="I1107" s="10" t="s">
        <v>26</v>
      </c>
      <c r="J1107" s="10" t="str">
        <f>""</f>
        <v/>
      </c>
      <c r="K1107" s="10" t="str">
        <f>"PFES1162630100_0001"</f>
        <v>PFES1162630100_0001</v>
      </c>
      <c r="L1107" s="10">
        <v>1</v>
      </c>
      <c r="M1107" s="10">
        <v>3</v>
      </c>
    </row>
    <row r="1108" spans="1:13">
      <c r="A1108" s="8">
        <v>43269</v>
      </c>
      <c r="B1108" s="9">
        <v>0.59097222222222223</v>
      </c>
      <c r="C1108" s="10" t="str">
        <f>"FES1162630145"</f>
        <v>FES1162630145</v>
      </c>
      <c r="D1108" s="10" t="s">
        <v>19</v>
      </c>
      <c r="E1108" s="10" t="s">
        <v>716</v>
      </c>
      <c r="F1108" s="10" t="str">
        <f>"2170627220 "</f>
        <v xml:space="preserve">2170627220 </v>
      </c>
      <c r="G1108" s="10" t="str">
        <f t="shared" si="34"/>
        <v>ON1</v>
      </c>
      <c r="H1108" s="10" t="s">
        <v>21</v>
      </c>
      <c r="I1108" s="10" t="s">
        <v>112</v>
      </c>
      <c r="J1108" s="10" t="str">
        <f>""</f>
        <v/>
      </c>
      <c r="K1108" s="10" t="str">
        <f>"PFES1162630145_0001"</f>
        <v>PFES1162630145_0001</v>
      </c>
      <c r="L1108" s="10">
        <v>1</v>
      </c>
      <c r="M1108" s="10">
        <v>1</v>
      </c>
    </row>
    <row r="1109" spans="1:13">
      <c r="A1109" s="8">
        <v>43269</v>
      </c>
      <c r="B1109" s="9">
        <v>0.59027777777777779</v>
      </c>
      <c r="C1109" s="10" t="str">
        <f>"FES1162630121"</f>
        <v>FES1162630121</v>
      </c>
      <c r="D1109" s="10" t="s">
        <v>19</v>
      </c>
      <c r="E1109" s="10" t="s">
        <v>117</v>
      </c>
      <c r="F1109" s="10" t="str">
        <f>"2170637120 "</f>
        <v xml:space="preserve">2170637120 </v>
      </c>
      <c r="G1109" s="10" t="str">
        <f t="shared" si="34"/>
        <v>ON1</v>
      </c>
      <c r="H1109" s="10" t="s">
        <v>21</v>
      </c>
      <c r="I1109" s="10" t="s">
        <v>118</v>
      </c>
      <c r="J1109" s="10" t="str">
        <f>""</f>
        <v/>
      </c>
      <c r="K1109" s="10" t="str">
        <f>"PFES1162630121_0001"</f>
        <v>PFES1162630121_0001</v>
      </c>
      <c r="L1109" s="10">
        <v>1</v>
      </c>
      <c r="M1109" s="10">
        <v>1</v>
      </c>
    </row>
    <row r="1110" spans="1:13">
      <c r="A1110" s="8">
        <v>43269</v>
      </c>
      <c r="B1110" s="9">
        <v>0.59027777777777779</v>
      </c>
      <c r="C1110" s="10" t="str">
        <f>"FES1162630106"</f>
        <v>FES1162630106</v>
      </c>
      <c r="D1110" s="10" t="s">
        <v>19</v>
      </c>
      <c r="E1110" s="10" t="s">
        <v>310</v>
      </c>
      <c r="F1110" s="10" t="str">
        <f>"2170635317 "</f>
        <v xml:space="preserve">2170635317 </v>
      </c>
      <c r="G1110" s="10" t="str">
        <f t="shared" si="34"/>
        <v>ON1</v>
      </c>
      <c r="H1110" s="10" t="s">
        <v>21</v>
      </c>
      <c r="I1110" s="10" t="s">
        <v>255</v>
      </c>
      <c r="J1110" s="10" t="str">
        <f>""</f>
        <v/>
      </c>
      <c r="K1110" s="10" t="str">
        <f>"PFES1162630106_0001"</f>
        <v>PFES1162630106_0001</v>
      </c>
      <c r="L1110" s="10">
        <v>1</v>
      </c>
      <c r="M1110" s="10">
        <v>1</v>
      </c>
    </row>
    <row r="1111" spans="1:13">
      <c r="A1111" s="8">
        <v>43269</v>
      </c>
      <c r="B1111" s="9">
        <v>0.58958333333333335</v>
      </c>
      <c r="C1111" s="10" t="str">
        <f>"FES1162630112"</f>
        <v>FES1162630112</v>
      </c>
      <c r="D1111" s="10" t="s">
        <v>19</v>
      </c>
      <c r="E1111" s="10" t="s">
        <v>717</v>
      </c>
      <c r="F1111" s="10" t="str">
        <f>"2170637104 "</f>
        <v xml:space="preserve">2170637104 </v>
      </c>
      <c r="G1111" s="10" t="str">
        <f t="shared" si="34"/>
        <v>ON1</v>
      </c>
      <c r="H1111" s="10" t="s">
        <v>21</v>
      </c>
      <c r="I1111" s="10" t="s">
        <v>230</v>
      </c>
      <c r="J1111" s="10" t="str">
        <f>""</f>
        <v/>
      </c>
      <c r="K1111" s="10" t="str">
        <f>"PFES1162630112_0001"</f>
        <v>PFES1162630112_0001</v>
      </c>
      <c r="L1111" s="10">
        <v>1</v>
      </c>
      <c r="M1111" s="10">
        <v>1</v>
      </c>
    </row>
    <row r="1112" spans="1:13">
      <c r="A1112" s="8">
        <v>43269</v>
      </c>
      <c r="B1112" s="9">
        <v>0.58958333333333335</v>
      </c>
      <c r="C1112" s="10" t="str">
        <f>"FES1162630086"</f>
        <v>FES1162630086</v>
      </c>
      <c r="D1112" s="10" t="s">
        <v>19</v>
      </c>
      <c r="E1112" s="10" t="s">
        <v>718</v>
      </c>
      <c r="F1112" s="10" t="str">
        <f>"2170637081 "</f>
        <v xml:space="preserve">2170637081 </v>
      </c>
      <c r="G1112" s="10" t="str">
        <f t="shared" si="34"/>
        <v>ON1</v>
      </c>
      <c r="H1112" s="10" t="s">
        <v>21</v>
      </c>
      <c r="I1112" s="10" t="s">
        <v>46</v>
      </c>
      <c r="J1112" s="10" t="str">
        <f>""</f>
        <v/>
      </c>
      <c r="K1112" s="10" t="str">
        <f>"PFES1162630086_0001"</f>
        <v>PFES1162630086_0001</v>
      </c>
      <c r="L1112" s="10">
        <v>1</v>
      </c>
      <c r="M1112" s="10">
        <v>7</v>
      </c>
    </row>
    <row r="1113" spans="1:13">
      <c r="A1113" s="8">
        <v>43269</v>
      </c>
      <c r="B1113" s="9">
        <v>0.58888888888888891</v>
      </c>
      <c r="C1113" s="10" t="str">
        <f>"FES1162630164"</f>
        <v>FES1162630164</v>
      </c>
      <c r="D1113" s="10" t="s">
        <v>19</v>
      </c>
      <c r="E1113" s="10" t="s">
        <v>37</v>
      </c>
      <c r="F1113" s="10" t="str">
        <f>"2170637185 "</f>
        <v xml:space="preserve">2170637185 </v>
      </c>
      <c r="G1113" s="10" t="str">
        <f t="shared" si="34"/>
        <v>ON1</v>
      </c>
      <c r="H1113" s="10" t="s">
        <v>21</v>
      </c>
      <c r="I1113" s="10" t="s">
        <v>38</v>
      </c>
      <c r="J1113" s="10" t="str">
        <f>""</f>
        <v/>
      </c>
      <c r="K1113" s="10" t="str">
        <f>"PFES1162630164_0001"</f>
        <v>PFES1162630164_0001</v>
      </c>
      <c r="L1113" s="10">
        <v>1</v>
      </c>
      <c r="M1113" s="10">
        <v>1</v>
      </c>
    </row>
    <row r="1114" spans="1:13">
      <c r="A1114" s="8">
        <v>43269</v>
      </c>
      <c r="B1114" s="9">
        <v>0.58888888888888891</v>
      </c>
      <c r="C1114" s="10" t="str">
        <f>"FES1162630148"</f>
        <v>FES1162630148</v>
      </c>
      <c r="D1114" s="10" t="s">
        <v>19</v>
      </c>
      <c r="E1114" s="10" t="s">
        <v>252</v>
      </c>
      <c r="F1114" s="10" t="str">
        <f>"2170632355 "</f>
        <v xml:space="preserve">2170632355 </v>
      </c>
      <c r="G1114" s="10" t="str">
        <f t="shared" si="34"/>
        <v>ON1</v>
      </c>
      <c r="H1114" s="10" t="s">
        <v>21</v>
      </c>
      <c r="I1114" s="10" t="s">
        <v>253</v>
      </c>
      <c r="J1114" s="10" t="str">
        <f>""</f>
        <v/>
      </c>
      <c r="K1114" s="10" t="str">
        <f>"PFES1162630148_0001"</f>
        <v>PFES1162630148_0001</v>
      </c>
      <c r="L1114" s="10">
        <v>1</v>
      </c>
      <c r="M1114" s="10">
        <v>1</v>
      </c>
    </row>
    <row r="1115" spans="1:13">
      <c r="A1115" s="8">
        <v>43269</v>
      </c>
      <c r="B1115" s="9">
        <v>0.58888888888888891</v>
      </c>
      <c r="C1115" s="10" t="str">
        <f>"FES1162630168"</f>
        <v>FES1162630168</v>
      </c>
      <c r="D1115" s="10" t="s">
        <v>19</v>
      </c>
      <c r="E1115" s="10" t="s">
        <v>719</v>
      </c>
      <c r="F1115" s="10" t="str">
        <f>"2170637189 "</f>
        <v xml:space="preserve">2170637189 </v>
      </c>
      <c r="G1115" s="10" t="str">
        <f t="shared" si="34"/>
        <v>ON1</v>
      </c>
      <c r="H1115" s="10" t="s">
        <v>21</v>
      </c>
      <c r="I1115" s="10" t="s">
        <v>129</v>
      </c>
      <c r="J1115" s="10" t="str">
        <f>""</f>
        <v/>
      </c>
      <c r="K1115" s="10" t="str">
        <f>"PFES1162630168_0001"</f>
        <v>PFES1162630168_0001</v>
      </c>
      <c r="L1115" s="10">
        <v>1</v>
      </c>
      <c r="M1115" s="10">
        <v>1</v>
      </c>
    </row>
    <row r="1116" spans="1:13">
      <c r="A1116" s="8">
        <v>43269</v>
      </c>
      <c r="B1116" s="9">
        <v>0.58819444444444446</v>
      </c>
      <c r="C1116" s="10" t="str">
        <f>"FES1162630073"</f>
        <v>FES1162630073</v>
      </c>
      <c r="D1116" s="10" t="s">
        <v>19</v>
      </c>
      <c r="E1116" s="10" t="s">
        <v>546</v>
      </c>
      <c r="F1116" s="10" t="str">
        <f>"2170634841 "</f>
        <v xml:space="preserve">2170634841 </v>
      </c>
      <c r="G1116" s="10" t="str">
        <f t="shared" si="34"/>
        <v>ON1</v>
      </c>
      <c r="H1116" s="10" t="s">
        <v>21</v>
      </c>
      <c r="I1116" s="10" t="s">
        <v>36</v>
      </c>
      <c r="J1116" s="10" t="str">
        <f>""</f>
        <v/>
      </c>
      <c r="K1116" s="10" t="str">
        <f>"PFES1162630073_0001"</f>
        <v>PFES1162630073_0001</v>
      </c>
      <c r="L1116" s="10">
        <v>1</v>
      </c>
      <c r="M1116" s="10">
        <v>1</v>
      </c>
    </row>
    <row r="1117" spans="1:13">
      <c r="A1117" s="8">
        <v>43269</v>
      </c>
      <c r="B1117" s="9">
        <v>0.58819444444444446</v>
      </c>
      <c r="C1117" s="10" t="str">
        <f>"FES1162630154"</f>
        <v>FES1162630154</v>
      </c>
      <c r="D1117" s="10" t="s">
        <v>19</v>
      </c>
      <c r="E1117" s="10" t="s">
        <v>270</v>
      </c>
      <c r="F1117" s="10" t="str">
        <f>"2170634077 "</f>
        <v xml:space="preserve">2170634077 </v>
      </c>
      <c r="G1117" s="10" t="str">
        <f t="shared" si="34"/>
        <v>ON1</v>
      </c>
      <c r="H1117" s="10" t="s">
        <v>21</v>
      </c>
      <c r="I1117" s="10" t="s">
        <v>238</v>
      </c>
      <c r="J1117" s="10" t="str">
        <f>""</f>
        <v/>
      </c>
      <c r="K1117" s="10" t="str">
        <f>"PFES1162630154_0001"</f>
        <v>PFES1162630154_0001</v>
      </c>
      <c r="L1117" s="10">
        <v>1</v>
      </c>
      <c r="M1117" s="10">
        <v>1</v>
      </c>
    </row>
    <row r="1118" spans="1:13">
      <c r="A1118" s="8">
        <v>43269</v>
      </c>
      <c r="B1118" s="9">
        <v>0.58750000000000002</v>
      </c>
      <c r="C1118" s="10" t="str">
        <f>"FES1162630155"</f>
        <v>FES1162630155</v>
      </c>
      <c r="D1118" s="10" t="s">
        <v>19</v>
      </c>
      <c r="E1118" s="10" t="s">
        <v>499</v>
      </c>
      <c r="F1118" s="10" t="str">
        <f>"2170637102 "</f>
        <v xml:space="preserve">2170637102 </v>
      </c>
      <c r="G1118" s="10" t="str">
        <f t="shared" si="34"/>
        <v>ON1</v>
      </c>
      <c r="H1118" s="10" t="s">
        <v>21</v>
      </c>
      <c r="I1118" s="10" t="s">
        <v>158</v>
      </c>
      <c r="J1118" s="10" t="str">
        <f>""</f>
        <v/>
      </c>
      <c r="K1118" s="10" t="str">
        <f>"PFES1162630155_0001"</f>
        <v>PFES1162630155_0001</v>
      </c>
      <c r="L1118" s="10">
        <v>1</v>
      </c>
      <c r="M1118" s="10">
        <v>1</v>
      </c>
    </row>
    <row r="1119" spans="1:13">
      <c r="A1119" s="8">
        <v>43269</v>
      </c>
      <c r="B1119" s="9">
        <v>0.58750000000000002</v>
      </c>
      <c r="C1119" s="10" t="str">
        <f>"FES1162630159"</f>
        <v>FES1162630159</v>
      </c>
      <c r="D1119" s="10" t="s">
        <v>19</v>
      </c>
      <c r="E1119" s="10" t="s">
        <v>117</v>
      </c>
      <c r="F1119" s="10" t="str">
        <f>"2170637179 "</f>
        <v xml:space="preserve">2170637179 </v>
      </c>
      <c r="G1119" s="10" t="str">
        <f t="shared" si="34"/>
        <v>ON1</v>
      </c>
      <c r="H1119" s="10" t="s">
        <v>21</v>
      </c>
      <c r="I1119" s="10" t="s">
        <v>118</v>
      </c>
      <c r="J1119" s="10" t="str">
        <f>""</f>
        <v/>
      </c>
      <c r="K1119" s="10" t="str">
        <f>"PFES1162630159_0001"</f>
        <v>PFES1162630159_0001</v>
      </c>
      <c r="L1119" s="10">
        <v>1</v>
      </c>
      <c r="M1119" s="10">
        <v>1</v>
      </c>
    </row>
    <row r="1120" spans="1:13">
      <c r="A1120" s="8">
        <v>43269</v>
      </c>
      <c r="B1120" s="9">
        <v>0.58680555555555558</v>
      </c>
      <c r="C1120" s="10" t="str">
        <f>"FES1162630161"</f>
        <v>FES1162630161</v>
      </c>
      <c r="D1120" s="10" t="s">
        <v>19</v>
      </c>
      <c r="E1120" s="10" t="s">
        <v>647</v>
      </c>
      <c r="F1120" s="10" t="str">
        <f>"2170637182 "</f>
        <v xml:space="preserve">2170637182 </v>
      </c>
      <c r="G1120" s="10" t="str">
        <f t="shared" si="34"/>
        <v>ON1</v>
      </c>
      <c r="H1120" s="10" t="s">
        <v>21</v>
      </c>
      <c r="I1120" s="10" t="s">
        <v>358</v>
      </c>
      <c r="J1120" s="10" t="str">
        <f>""</f>
        <v/>
      </c>
      <c r="K1120" s="10" t="str">
        <f>"PFES1162630161_0001"</f>
        <v>PFES1162630161_0001</v>
      </c>
      <c r="L1120" s="10">
        <v>1</v>
      </c>
      <c r="M1120" s="10">
        <v>1</v>
      </c>
    </row>
    <row r="1121" spans="1:13">
      <c r="A1121" s="8">
        <v>43269</v>
      </c>
      <c r="B1121" s="9">
        <v>0.58680555555555558</v>
      </c>
      <c r="C1121" s="10" t="str">
        <f>"FES1162630156"</f>
        <v>FES1162630156</v>
      </c>
      <c r="D1121" s="10" t="s">
        <v>19</v>
      </c>
      <c r="E1121" s="10" t="s">
        <v>345</v>
      </c>
      <c r="F1121" s="10" t="str">
        <f>"217063714 "</f>
        <v xml:space="preserve">217063714 </v>
      </c>
      <c r="G1121" s="10" t="str">
        <f t="shared" si="34"/>
        <v>ON1</v>
      </c>
      <c r="H1121" s="10" t="s">
        <v>21</v>
      </c>
      <c r="I1121" s="10" t="s">
        <v>228</v>
      </c>
      <c r="J1121" s="10" t="str">
        <f>""</f>
        <v/>
      </c>
      <c r="K1121" s="10" t="str">
        <f>"PFES1162630156_0001"</f>
        <v>PFES1162630156_0001</v>
      </c>
      <c r="L1121" s="10">
        <v>1</v>
      </c>
      <c r="M1121" s="10">
        <v>1</v>
      </c>
    </row>
    <row r="1122" spans="1:13">
      <c r="A1122" s="8">
        <v>43269</v>
      </c>
      <c r="B1122" s="9">
        <v>0.5854166666666667</v>
      </c>
      <c r="C1122" s="10" t="str">
        <f>"FES11620637103"</f>
        <v>FES11620637103</v>
      </c>
      <c r="D1122" s="10" t="s">
        <v>19</v>
      </c>
      <c r="E1122" s="10" t="s">
        <v>543</v>
      </c>
      <c r="F1122" s="10" t="str">
        <f>"2170637103 "</f>
        <v xml:space="preserve">2170637103 </v>
      </c>
      <c r="G1122" s="10" t="str">
        <f t="shared" si="34"/>
        <v>ON1</v>
      </c>
      <c r="H1122" s="10" t="s">
        <v>21</v>
      </c>
      <c r="I1122" s="10" t="s">
        <v>544</v>
      </c>
      <c r="J1122" s="10" t="str">
        <f>""</f>
        <v/>
      </c>
      <c r="K1122" s="10" t="str">
        <f>"PFES11620637103_0001"</f>
        <v>PFES11620637103_0001</v>
      </c>
      <c r="L1122" s="10">
        <v>1</v>
      </c>
      <c r="M1122" s="10">
        <v>2</v>
      </c>
    </row>
    <row r="1123" spans="1:13">
      <c r="A1123" s="8">
        <v>43269</v>
      </c>
      <c r="B1123" s="9">
        <v>0.55208333333333337</v>
      </c>
      <c r="C1123" s="10" t="str">
        <f>"FES1162630144"</f>
        <v>FES1162630144</v>
      </c>
      <c r="D1123" s="10" t="s">
        <v>19</v>
      </c>
      <c r="E1123" s="10" t="s">
        <v>720</v>
      </c>
      <c r="F1123" s="10" t="str">
        <f>"2170637152 "</f>
        <v xml:space="preserve">2170637152 </v>
      </c>
      <c r="G1123" s="10" t="str">
        <f t="shared" si="34"/>
        <v>ON1</v>
      </c>
      <c r="H1123" s="10" t="s">
        <v>21</v>
      </c>
      <c r="I1123" s="10" t="s">
        <v>578</v>
      </c>
      <c r="J1123" s="10" t="str">
        <f>""</f>
        <v/>
      </c>
      <c r="K1123" s="10" t="str">
        <f>"PFES1162630144_0001"</f>
        <v>PFES1162630144_0001</v>
      </c>
      <c r="L1123" s="10">
        <v>1</v>
      </c>
      <c r="M1123" s="10">
        <v>1</v>
      </c>
    </row>
    <row r="1124" spans="1:13">
      <c r="A1124" s="8">
        <v>43269</v>
      </c>
      <c r="B1124" s="9">
        <v>0.55208333333333337</v>
      </c>
      <c r="C1124" s="10" t="str">
        <f>"FES1162629860"</f>
        <v>FES1162629860</v>
      </c>
      <c r="D1124" s="10" t="s">
        <v>19</v>
      </c>
      <c r="E1124" s="10" t="s">
        <v>289</v>
      </c>
      <c r="F1124" s="10" t="str">
        <f>"2170634574 "</f>
        <v xml:space="preserve">2170634574 </v>
      </c>
      <c r="G1124" s="10" t="str">
        <f t="shared" si="34"/>
        <v>ON1</v>
      </c>
      <c r="H1124" s="10" t="s">
        <v>21</v>
      </c>
      <c r="I1124" s="10" t="s">
        <v>290</v>
      </c>
      <c r="J1124" s="10" t="str">
        <f>""</f>
        <v/>
      </c>
      <c r="K1124" s="10" t="str">
        <f>"PFES1162629860_0001"</f>
        <v>PFES1162629860_0001</v>
      </c>
      <c r="L1124" s="10">
        <v>1</v>
      </c>
      <c r="M1124" s="10">
        <v>1</v>
      </c>
    </row>
    <row r="1125" spans="1:13">
      <c r="A1125" s="8">
        <v>43269</v>
      </c>
      <c r="B1125" s="9">
        <v>0.55138888888888882</v>
      </c>
      <c r="C1125" s="10" t="str">
        <f>"FES1162629861"</f>
        <v>FES1162629861</v>
      </c>
      <c r="D1125" s="10" t="s">
        <v>19</v>
      </c>
      <c r="E1125" s="10" t="s">
        <v>721</v>
      </c>
      <c r="F1125" s="10" t="str">
        <f>"2170634599 "</f>
        <v xml:space="preserve">2170634599 </v>
      </c>
      <c r="G1125" s="10" t="str">
        <f t="shared" si="34"/>
        <v>ON1</v>
      </c>
      <c r="H1125" s="10" t="s">
        <v>21</v>
      </c>
      <c r="I1125" s="10" t="s">
        <v>59</v>
      </c>
      <c r="J1125" s="10" t="str">
        <f>""</f>
        <v/>
      </c>
      <c r="K1125" s="10" t="str">
        <f>"PFES1162629861_0001"</f>
        <v>PFES1162629861_0001</v>
      </c>
      <c r="L1125" s="10">
        <v>1</v>
      </c>
      <c r="M1125" s="10">
        <v>1</v>
      </c>
    </row>
    <row r="1126" spans="1:13">
      <c r="A1126" s="8">
        <v>43269</v>
      </c>
      <c r="B1126" s="9">
        <v>0.55069444444444449</v>
      </c>
      <c r="C1126" s="10" t="str">
        <f>"FES1162630134"</f>
        <v>FES1162630134</v>
      </c>
      <c r="D1126" s="10" t="s">
        <v>19</v>
      </c>
      <c r="E1126" s="10" t="s">
        <v>64</v>
      </c>
      <c r="F1126" s="10" t="str">
        <f>"2170637142 "</f>
        <v xml:space="preserve">2170637142 </v>
      </c>
      <c r="G1126" s="10" t="str">
        <f t="shared" si="34"/>
        <v>ON1</v>
      </c>
      <c r="H1126" s="10" t="s">
        <v>21</v>
      </c>
      <c r="I1126" s="10" t="s">
        <v>40</v>
      </c>
      <c r="J1126" s="10" t="str">
        <f>""</f>
        <v/>
      </c>
      <c r="K1126" s="10" t="str">
        <f>"PFES1162630134_0001"</f>
        <v>PFES1162630134_0001</v>
      </c>
      <c r="L1126" s="10">
        <v>1</v>
      </c>
      <c r="M1126" s="10">
        <v>1</v>
      </c>
    </row>
    <row r="1127" spans="1:13">
      <c r="A1127" s="8">
        <v>43269</v>
      </c>
      <c r="B1127" s="9">
        <v>0.54999999999999993</v>
      </c>
      <c r="C1127" s="10" t="str">
        <f>"FES1162630021"</f>
        <v>FES1162630021</v>
      </c>
      <c r="D1127" s="10" t="s">
        <v>19</v>
      </c>
      <c r="E1127" s="10" t="s">
        <v>722</v>
      </c>
      <c r="F1127" s="10" t="str">
        <f>"2170628638 "</f>
        <v xml:space="preserve">2170628638 </v>
      </c>
      <c r="G1127" s="10" t="str">
        <f t="shared" si="34"/>
        <v>ON1</v>
      </c>
      <c r="H1127" s="10" t="s">
        <v>21</v>
      </c>
      <c r="I1127" s="10" t="s">
        <v>329</v>
      </c>
      <c r="J1127" s="10" t="str">
        <f>""</f>
        <v/>
      </c>
      <c r="K1127" s="10" t="str">
        <f>"PFES1162630021_0001"</f>
        <v>PFES1162630021_0001</v>
      </c>
      <c r="L1127" s="10">
        <v>1</v>
      </c>
      <c r="M1127" s="10">
        <v>1</v>
      </c>
    </row>
    <row r="1128" spans="1:13">
      <c r="A1128" s="8">
        <v>43269</v>
      </c>
      <c r="B1128" s="9">
        <v>0.5493055555555556</v>
      </c>
      <c r="C1128" s="10" t="str">
        <f>"FES1162630045"</f>
        <v>FES1162630045</v>
      </c>
      <c r="D1128" s="10" t="s">
        <v>19</v>
      </c>
      <c r="E1128" s="10" t="s">
        <v>117</v>
      </c>
      <c r="F1128" s="10" t="str">
        <f>"2170637018 "</f>
        <v xml:space="preserve">2170637018 </v>
      </c>
      <c r="G1128" s="10" t="str">
        <f t="shared" si="34"/>
        <v>ON1</v>
      </c>
      <c r="H1128" s="10" t="s">
        <v>21</v>
      </c>
      <c r="I1128" s="10" t="s">
        <v>118</v>
      </c>
      <c r="J1128" s="10" t="str">
        <f>""</f>
        <v/>
      </c>
      <c r="K1128" s="10" t="str">
        <f>"PFES1162630045_0001"</f>
        <v>PFES1162630045_0001</v>
      </c>
      <c r="L1128" s="10">
        <v>1</v>
      </c>
      <c r="M1128" s="10">
        <v>1</v>
      </c>
    </row>
    <row r="1129" spans="1:13">
      <c r="A1129" s="8">
        <v>43269</v>
      </c>
      <c r="B1129" s="9">
        <v>0.5493055555555556</v>
      </c>
      <c r="C1129" s="10" t="str">
        <f>"FES1162630135"</f>
        <v>FES1162630135</v>
      </c>
      <c r="D1129" s="10" t="s">
        <v>19</v>
      </c>
      <c r="E1129" s="10" t="s">
        <v>723</v>
      </c>
      <c r="F1129" s="10" t="str">
        <f>"2170637143 "</f>
        <v xml:space="preserve">2170637143 </v>
      </c>
      <c r="G1129" s="10" t="str">
        <f t="shared" si="34"/>
        <v>ON1</v>
      </c>
      <c r="H1129" s="10" t="s">
        <v>21</v>
      </c>
      <c r="I1129" s="10" t="s">
        <v>724</v>
      </c>
      <c r="J1129" s="10" t="str">
        <f>""</f>
        <v/>
      </c>
      <c r="K1129" s="10" t="str">
        <f>"PFES1162630135_0001"</f>
        <v>PFES1162630135_0001</v>
      </c>
      <c r="L1129" s="10">
        <v>1</v>
      </c>
      <c r="M1129" s="10">
        <v>1</v>
      </c>
    </row>
    <row r="1130" spans="1:13">
      <c r="A1130" s="8">
        <v>43269</v>
      </c>
      <c r="B1130" s="9">
        <v>0.54861111111111105</v>
      </c>
      <c r="C1130" s="10" t="str">
        <f>"FES1162630130"</f>
        <v>FES1162630130</v>
      </c>
      <c r="D1130" s="10" t="s">
        <v>19</v>
      </c>
      <c r="E1130" s="10" t="s">
        <v>638</v>
      </c>
      <c r="F1130" s="10" t="str">
        <f>"2170635597 "</f>
        <v xml:space="preserve">2170635597 </v>
      </c>
      <c r="G1130" s="10" t="str">
        <f t="shared" si="34"/>
        <v>ON1</v>
      </c>
      <c r="H1130" s="10" t="s">
        <v>21</v>
      </c>
      <c r="I1130" s="10" t="s">
        <v>46</v>
      </c>
      <c r="J1130" s="10" t="str">
        <f>""</f>
        <v/>
      </c>
      <c r="K1130" s="10" t="str">
        <f>"PFES1162630130_0001"</f>
        <v>PFES1162630130_0001</v>
      </c>
      <c r="L1130" s="10">
        <v>1</v>
      </c>
      <c r="M1130" s="10">
        <v>1</v>
      </c>
    </row>
    <row r="1131" spans="1:13">
      <c r="A1131" s="8">
        <v>43269</v>
      </c>
      <c r="B1131" s="9">
        <v>0.54861111111111105</v>
      </c>
      <c r="C1131" s="10" t="str">
        <f>"FES1162630078"</f>
        <v>FES1162630078</v>
      </c>
      <c r="D1131" s="10" t="s">
        <v>19</v>
      </c>
      <c r="E1131" s="10" t="s">
        <v>354</v>
      </c>
      <c r="F1131" s="10" t="str">
        <f>"2170637071 "</f>
        <v xml:space="preserve">2170637071 </v>
      </c>
      <c r="G1131" s="10" t="str">
        <f t="shared" si="34"/>
        <v>ON1</v>
      </c>
      <c r="H1131" s="10" t="s">
        <v>21</v>
      </c>
      <c r="I1131" s="10" t="s">
        <v>349</v>
      </c>
      <c r="J1131" s="10" t="str">
        <f>""</f>
        <v/>
      </c>
      <c r="K1131" s="10" t="str">
        <f>"PFES1162630078_0001"</f>
        <v>PFES1162630078_0001</v>
      </c>
      <c r="L1131" s="10">
        <v>1</v>
      </c>
      <c r="M1131" s="10">
        <v>1</v>
      </c>
    </row>
    <row r="1132" spans="1:13">
      <c r="A1132" s="8">
        <v>43269</v>
      </c>
      <c r="B1132" s="9">
        <v>0.54791666666666672</v>
      </c>
      <c r="C1132" s="10" t="str">
        <f>"FES1162629831"</f>
        <v>FES1162629831</v>
      </c>
      <c r="D1132" s="10" t="s">
        <v>19</v>
      </c>
      <c r="E1132" s="10" t="s">
        <v>188</v>
      </c>
      <c r="F1132" s="10" t="str">
        <f>"2170633044 "</f>
        <v xml:space="preserve">2170633044 </v>
      </c>
      <c r="G1132" s="10" t="str">
        <f t="shared" si="34"/>
        <v>ON1</v>
      </c>
      <c r="H1132" s="10" t="s">
        <v>21</v>
      </c>
      <c r="I1132" s="10" t="s">
        <v>189</v>
      </c>
      <c r="J1132" s="10" t="str">
        <f>""</f>
        <v/>
      </c>
      <c r="K1132" s="10" t="str">
        <f>"PFES1162629831_0001"</f>
        <v>PFES1162629831_0001</v>
      </c>
      <c r="L1132" s="10">
        <v>1</v>
      </c>
      <c r="M1132" s="10">
        <v>1</v>
      </c>
    </row>
    <row r="1133" spans="1:13">
      <c r="A1133" s="8">
        <v>43269</v>
      </c>
      <c r="B1133" s="9">
        <v>0.54722222222222217</v>
      </c>
      <c r="C1133" s="10" t="str">
        <f>"FES1162629844"</f>
        <v>FES1162629844</v>
      </c>
      <c r="D1133" s="10" t="s">
        <v>19</v>
      </c>
      <c r="E1133" s="10" t="s">
        <v>49</v>
      </c>
      <c r="F1133" s="10" t="str">
        <f>"2170634345 "</f>
        <v xml:space="preserve">2170634345 </v>
      </c>
      <c r="G1133" s="10" t="str">
        <f t="shared" si="34"/>
        <v>ON1</v>
      </c>
      <c r="H1133" s="10" t="s">
        <v>21</v>
      </c>
      <c r="I1133" s="10" t="s">
        <v>32</v>
      </c>
      <c r="J1133" s="10" t="str">
        <f>""</f>
        <v/>
      </c>
      <c r="K1133" s="10" t="str">
        <f>"PFES1162629844_0001"</f>
        <v>PFES1162629844_0001</v>
      </c>
      <c r="L1133" s="10">
        <v>1</v>
      </c>
      <c r="M1133" s="10">
        <v>1</v>
      </c>
    </row>
    <row r="1134" spans="1:13">
      <c r="A1134" s="8">
        <v>43269</v>
      </c>
      <c r="B1134" s="9">
        <v>0.53819444444444442</v>
      </c>
      <c r="C1134" s="10" t="str">
        <f>"FES1162630048"</f>
        <v>FES1162630048</v>
      </c>
      <c r="D1134" s="10" t="s">
        <v>19</v>
      </c>
      <c r="E1134" s="10" t="s">
        <v>725</v>
      </c>
      <c r="F1134" s="10" t="str">
        <f>"2170637023 "</f>
        <v xml:space="preserve">2170637023 </v>
      </c>
      <c r="G1134" s="10" t="str">
        <f t="shared" si="34"/>
        <v>ON1</v>
      </c>
      <c r="H1134" s="10" t="s">
        <v>21</v>
      </c>
      <c r="I1134" s="10" t="s">
        <v>726</v>
      </c>
      <c r="J1134" s="10" t="str">
        <f>""</f>
        <v/>
      </c>
      <c r="K1134" s="10" t="str">
        <f>"PFES1162630048_0001"</f>
        <v>PFES1162630048_0001</v>
      </c>
      <c r="L1134" s="10">
        <v>1</v>
      </c>
      <c r="M1134" s="10">
        <v>11</v>
      </c>
    </row>
    <row r="1135" spans="1:13">
      <c r="A1135" s="8">
        <v>43269</v>
      </c>
      <c r="B1135" s="9">
        <v>0.53402777777777777</v>
      </c>
      <c r="C1135" s="10" t="str">
        <f>"FES1162628733"</f>
        <v>FES1162628733</v>
      </c>
      <c r="D1135" s="10" t="s">
        <v>19</v>
      </c>
      <c r="E1135" s="10" t="s">
        <v>727</v>
      </c>
      <c r="F1135" s="10" t="str">
        <f>"2170635821 "</f>
        <v xml:space="preserve">2170635821 </v>
      </c>
      <c r="G1135" s="10" t="str">
        <f t="shared" si="34"/>
        <v>ON1</v>
      </c>
      <c r="H1135" s="10" t="s">
        <v>21</v>
      </c>
      <c r="I1135" s="10" t="s">
        <v>634</v>
      </c>
      <c r="J1135" s="10" t="str">
        <f>""</f>
        <v/>
      </c>
      <c r="K1135" s="10" t="str">
        <f>"PFES1162628733_0001"</f>
        <v>PFES1162628733_0001</v>
      </c>
      <c r="L1135" s="10">
        <v>1</v>
      </c>
      <c r="M1135" s="10">
        <v>16</v>
      </c>
    </row>
    <row r="1136" spans="1:13">
      <c r="A1136" s="8">
        <v>43269</v>
      </c>
      <c r="B1136" s="9">
        <v>0.53263888888888888</v>
      </c>
      <c r="C1136" s="10" t="str">
        <f>"FES1162630142"</f>
        <v>FES1162630142</v>
      </c>
      <c r="D1136" s="10" t="s">
        <v>19</v>
      </c>
      <c r="E1136" s="10" t="s">
        <v>728</v>
      </c>
      <c r="F1136" s="10" t="str">
        <f>"2170632493 "</f>
        <v xml:space="preserve">2170632493 </v>
      </c>
      <c r="G1136" s="10" t="str">
        <f t="shared" si="34"/>
        <v>ON1</v>
      </c>
      <c r="H1136" s="10" t="s">
        <v>21</v>
      </c>
      <c r="I1136" s="10" t="s">
        <v>30</v>
      </c>
      <c r="J1136" s="10" t="str">
        <f>""</f>
        <v/>
      </c>
      <c r="K1136" s="10" t="str">
        <f>"PFES1162630142_0001"</f>
        <v>PFES1162630142_0001</v>
      </c>
      <c r="L1136" s="10">
        <v>1</v>
      </c>
      <c r="M1136" s="10">
        <v>2</v>
      </c>
    </row>
    <row r="1137" spans="1:13">
      <c r="A1137" s="8">
        <v>43269</v>
      </c>
      <c r="B1137" s="9">
        <v>0.53055555555555556</v>
      </c>
      <c r="C1137" s="10" t="str">
        <f>"FES1162630141"</f>
        <v>FES1162630141</v>
      </c>
      <c r="D1137" s="10" t="s">
        <v>19</v>
      </c>
      <c r="E1137" s="10" t="s">
        <v>729</v>
      </c>
      <c r="F1137" s="10" t="str">
        <f>"2170635990 "</f>
        <v xml:space="preserve">2170635990 </v>
      </c>
      <c r="G1137" s="10" t="str">
        <f t="shared" si="34"/>
        <v>ON1</v>
      </c>
      <c r="H1137" s="10" t="s">
        <v>21</v>
      </c>
      <c r="I1137" s="10" t="s">
        <v>112</v>
      </c>
      <c r="J1137" s="10" t="str">
        <f>""</f>
        <v/>
      </c>
      <c r="K1137" s="10" t="str">
        <f>"PFES1162630141_0001"</f>
        <v>PFES1162630141_0001</v>
      </c>
      <c r="L1137" s="10">
        <v>1</v>
      </c>
      <c r="M1137" s="10">
        <v>3</v>
      </c>
    </row>
    <row r="1138" spans="1:13">
      <c r="A1138" s="8">
        <v>43269</v>
      </c>
      <c r="B1138" s="9">
        <v>0.52777777777777779</v>
      </c>
      <c r="C1138" s="10" t="str">
        <f>"FES1162630102"</f>
        <v>FES1162630102</v>
      </c>
      <c r="D1138" s="10" t="s">
        <v>19</v>
      </c>
      <c r="E1138" s="10" t="s">
        <v>719</v>
      </c>
      <c r="F1138" s="10" t="str">
        <f>"2170637097 "</f>
        <v xml:space="preserve">2170637097 </v>
      </c>
      <c r="G1138" s="10" t="str">
        <f t="shared" si="34"/>
        <v>ON1</v>
      </c>
      <c r="H1138" s="10" t="s">
        <v>21</v>
      </c>
      <c r="I1138" s="10" t="s">
        <v>129</v>
      </c>
      <c r="J1138" s="10" t="str">
        <f>""</f>
        <v/>
      </c>
      <c r="K1138" s="10" t="str">
        <f>"PFES1162630102_0001"</f>
        <v>PFES1162630102_0001</v>
      </c>
      <c r="L1138" s="10">
        <v>1</v>
      </c>
      <c r="M1138" s="10">
        <v>3</v>
      </c>
    </row>
    <row r="1139" spans="1:13">
      <c r="A1139" s="8">
        <v>43269</v>
      </c>
      <c r="B1139" s="9">
        <v>0.52708333333333335</v>
      </c>
      <c r="C1139" s="10" t="str">
        <f>"FES1162630117"</f>
        <v>FES1162630117</v>
      </c>
      <c r="D1139" s="10" t="s">
        <v>19</v>
      </c>
      <c r="E1139" s="10" t="s">
        <v>730</v>
      </c>
      <c r="F1139" s="10" t="str">
        <f>"2170637116 "</f>
        <v xml:space="preserve">2170637116 </v>
      </c>
      <c r="G1139" s="10" t="str">
        <f t="shared" si="34"/>
        <v>ON1</v>
      </c>
      <c r="H1139" s="10" t="s">
        <v>21</v>
      </c>
      <c r="I1139" s="10" t="s">
        <v>96</v>
      </c>
      <c r="J1139" s="10" t="str">
        <f>""</f>
        <v/>
      </c>
      <c r="K1139" s="10" t="str">
        <f>"PFES1162630117_0001"</f>
        <v>PFES1162630117_0001</v>
      </c>
      <c r="L1139" s="10">
        <v>1</v>
      </c>
      <c r="M1139" s="10">
        <v>3</v>
      </c>
    </row>
    <row r="1140" spans="1:13">
      <c r="A1140" s="8">
        <v>43269</v>
      </c>
      <c r="B1140" s="9">
        <v>0.52500000000000002</v>
      </c>
      <c r="C1140" s="10" t="str">
        <f>"FES1162630094"</f>
        <v>FES1162630094</v>
      </c>
      <c r="D1140" s="10" t="s">
        <v>19</v>
      </c>
      <c r="E1140" s="10" t="s">
        <v>731</v>
      </c>
      <c r="F1140" s="10" t="str">
        <f>"2170634664 "</f>
        <v xml:space="preserve">2170634664 </v>
      </c>
      <c r="G1140" s="10" t="str">
        <f t="shared" si="34"/>
        <v>ON1</v>
      </c>
      <c r="H1140" s="10" t="s">
        <v>21</v>
      </c>
      <c r="I1140" s="10" t="s">
        <v>96</v>
      </c>
      <c r="J1140" s="10" t="str">
        <f>""</f>
        <v/>
      </c>
      <c r="K1140" s="10" t="str">
        <f>"PFES1162630094_0001"</f>
        <v>PFES1162630094_0001</v>
      </c>
      <c r="L1140" s="10">
        <v>1</v>
      </c>
      <c r="M1140" s="10">
        <v>2</v>
      </c>
    </row>
    <row r="1141" spans="1:13">
      <c r="A1141" s="8">
        <v>43269</v>
      </c>
      <c r="B1141" s="9">
        <v>0.52361111111111114</v>
      </c>
      <c r="C1141" s="10" t="str">
        <f>"FES1162630105"</f>
        <v>FES1162630105</v>
      </c>
      <c r="D1141" s="10" t="s">
        <v>19</v>
      </c>
      <c r="E1141" s="10" t="s">
        <v>124</v>
      </c>
      <c r="F1141" s="10" t="str">
        <f>"2170637101 "</f>
        <v xml:space="preserve">2170637101 </v>
      </c>
      <c r="G1141" s="10" t="str">
        <f t="shared" si="34"/>
        <v>ON1</v>
      </c>
      <c r="H1141" s="10" t="s">
        <v>21</v>
      </c>
      <c r="I1141" s="10" t="s">
        <v>200</v>
      </c>
      <c r="J1141" s="10" t="str">
        <f>""</f>
        <v/>
      </c>
      <c r="K1141" s="10" t="str">
        <f>"PFES1162630105_0001"</f>
        <v>PFES1162630105_0001</v>
      </c>
      <c r="L1141" s="10">
        <v>1</v>
      </c>
      <c r="M1141" s="10">
        <v>2</v>
      </c>
    </row>
    <row r="1142" spans="1:13">
      <c r="A1142" s="8">
        <v>43269</v>
      </c>
      <c r="B1142" s="9">
        <v>0.52152777777777781</v>
      </c>
      <c r="C1142" s="10" t="str">
        <f>"FES1162630101"</f>
        <v>FES1162630101</v>
      </c>
      <c r="D1142" s="10" t="s">
        <v>19</v>
      </c>
      <c r="E1142" s="10" t="s">
        <v>732</v>
      </c>
      <c r="F1142" s="10" t="str">
        <f>"2170637093 "</f>
        <v xml:space="preserve">2170637093 </v>
      </c>
      <c r="G1142" s="10" t="str">
        <f>"DBC"</f>
        <v>DBC</v>
      </c>
      <c r="H1142" s="10" t="s">
        <v>21</v>
      </c>
      <c r="I1142" s="10" t="s">
        <v>55</v>
      </c>
      <c r="J1142" s="10" t="str">
        <f>""</f>
        <v/>
      </c>
      <c r="K1142" s="10" t="str">
        <f>"PFES1162630101_0001"</f>
        <v>PFES1162630101_0001</v>
      </c>
      <c r="L1142" s="10">
        <v>1</v>
      </c>
      <c r="M1142" s="10">
        <v>27</v>
      </c>
    </row>
    <row r="1143" spans="1:13">
      <c r="A1143" s="8">
        <v>43269</v>
      </c>
      <c r="B1143" s="9">
        <v>0.52013888888888882</v>
      </c>
      <c r="C1143" s="10" t="str">
        <f>"FES1162630024"</f>
        <v>FES1162630024</v>
      </c>
      <c r="D1143" s="10" t="s">
        <v>19</v>
      </c>
      <c r="E1143" s="10" t="s">
        <v>611</v>
      </c>
      <c r="F1143" s="10" t="str">
        <f>"2170634986 "</f>
        <v xml:space="preserve">2170634986 </v>
      </c>
      <c r="G1143" s="10" t="str">
        <f>"DBC"</f>
        <v>DBC</v>
      </c>
      <c r="H1143" s="10" t="s">
        <v>21</v>
      </c>
      <c r="I1143" s="10" t="s">
        <v>594</v>
      </c>
      <c r="J1143" s="10" t="str">
        <f>""</f>
        <v/>
      </c>
      <c r="K1143" s="10" t="str">
        <f>"PFES1162630024_0001"</f>
        <v>PFES1162630024_0001</v>
      </c>
      <c r="L1143" s="10">
        <v>2</v>
      </c>
      <c r="M1143" s="10">
        <v>30</v>
      </c>
    </row>
    <row r="1144" spans="1:13">
      <c r="A1144" s="8">
        <v>43269</v>
      </c>
      <c r="B1144" s="9">
        <v>0.51874999999999993</v>
      </c>
      <c r="C1144" s="10" t="str">
        <f>"FES1162630093"</f>
        <v>FES1162630093</v>
      </c>
      <c r="D1144" s="10" t="s">
        <v>19</v>
      </c>
      <c r="E1144" s="10" t="s">
        <v>621</v>
      </c>
      <c r="F1144" s="10" t="str">
        <f>"2170637094 "</f>
        <v xml:space="preserve">2170637094 </v>
      </c>
      <c r="G1144" s="10" t="str">
        <f t="shared" ref="G1144:G1190" si="35">"ON1"</f>
        <v>ON1</v>
      </c>
      <c r="H1144" s="10" t="s">
        <v>21</v>
      </c>
      <c r="I1144" s="10" t="s">
        <v>622</v>
      </c>
      <c r="J1144" s="10" t="str">
        <f>""</f>
        <v/>
      </c>
      <c r="K1144" s="10" t="str">
        <f>"PFES1162630093_0001"</f>
        <v>PFES1162630093_0001</v>
      </c>
      <c r="L1144" s="10">
        <v>1</v>
      </c>
      <c r="M1144" s="10">
        <v>2</v>
      </c>
    </row>
    <row r="1145" spans="1:13">
      <c r="A1145" s="8">
        <v>43269</v>
      </c>
      <c r="B1145" s="9">
        <v>0.51736111111111105</v>
      </c>
      <c r="C1145" s="10" t="str">
        <f>"FES1162630083"</f>
        <v>FES1162630083</v>
      </c>
      <c r="D1145" s="10" t="s">
        <v>19</v>
      </c>
      <c r="E1145" s="10" t="s">
        <v>431</v>
      </c>
      <c r="F1145" s="10" t="str">
        <f>"2170637078 "</f>
        <v xml:space="preserve">2170637078 </v>
      </c>
      <c r="G1145" s="10" t="str">
        <f t="shared" si="35"/>
        <v>ON1</v>
      </c>
      <c r="H1145" s="10" t="s">
        <v>21</v>
      </c>
      <c r="I1145" s="10" t="s">
        <v>267</v>
      </c>
      <c r="J1145" s="10" t="str">
        <f>""</f>
        <v/>
      </c>
      <c r="K1145" s="10" t="str">
        <f>"PFES1162630083_0001"</f>
        <v>PFES1162630083_0001</v>
      </c>
      <c r="L1145" s="10">
        <v>1</v>
      </c>
      <c r="M1145" s="10">
        <v>2</v>
      </c>
    </row>
    <row r="1146" spans="1:13">
      <c r="A1146" s="8">
        <v>43269</v>
      </c>
      <c r="B1146" s="9">
        <v>0.51666666666666672</v>
      </c>
      <c r="C1146" s="10" t="str">
        <f>"FES1162630057"</f>
        <v>FES1162630057</v>
      </c>
      <c r="D1146" s="10" t="s">
        <v>19</v>
      </c>
      <c r="E1146" s="10" t="s">
        <v>518</v>
      </c>
      <c r="F1146" s="10" t="str">
        <f>"2170637045 "</f>
        <v xml:space="preserve">2170637045 </v>
      </c>
      <c r="G1146" s="10" t="str">
        <f t="shared" si="35"/>
        <v>ON1</v>
      </c>
      <c r="H1146" s="10" t="s">
        <v>21</v>
      </c>
      <c r="I1146" s="10" t="s">
        <v>519</v>
      </c>
      <c r="J1146" s="10" t="str">
        <f>""</f>
        <v/>
      </c>
      <c r="K1146" s="10" t="str">
        <f>"PFES1162630057_0001"</f>
        <v>PFES1162630057_0001</v>
      </c>
      <c r="L1146" s="10">
        <v>1</v>
      </c>
      <c r="M1146" s="10">
        <v>11</v>
      </c>
    </row>
    <row r="1147" spans="1:13">
      <c r="A1147" s="8">
        <v>43269</v>
      </c>
      <c r="B1147" s="9">
        <v>0.51527777777777783</v>
      </c>
      <c r="C1147" s="10" t="str">
        <f>"FES1162630085"</f>
        <v>FES1162630085</v>
      </c>
      <c r="D1147" s="10" t="s">
        <v>19</v>
      </c>
      <c r="E1147" s="10" t="s">
        <v>431</v>
      </c>
      <c r="F1147" s="10" t="str">
        <f>"2170637080 "</f>
        <v xml:space="preserve">2170637080 </v>
      </c>
      <c r="G1147" s="10" t="str">
        <f t="shared" si="35"/>
        <v>ON1</v>
      </c>
      <c r="H1147" s="10" t="s">
        <v>21</v>
      </c>
      <c r="I1147" s="10" t="s">
        <v>267</v>
      </c>
      <c r="J1147" s="10" t="str">
        <f>""</f>
        <v/>
      </c>
      <c r="K1147" s="10" t="str">
        <f>"PFES1162630085_0001"</f>
        <v>PFES1162630085_0001</v>
      </c>
      <c r="L1147" s="10">
        <v>1</v>
      </c>
      <c r="M1147" s="10">
        <v>5</v>
      </c>
    </row>
    <row r="1148" spans="1:13">
      <c r="A1148" s="8">
        <v>43269</v>
      </c>
      <c r="B1148" s="9">
        <v>0.51388888888888895</v>
      </c>
      <c r="C1148" s="10" t="str">
        <f>"FES1162630043"</f>
        <v>FES1162630043</v>
      </c>
      <c r="D1148" s="10" t="s">
        <v>19</v>
      </c>
      <c r="E1148" s="10" t="s">
        <v>503</v>
      </c>
      <c r="F1148" s="10" t="str">
        <f>"2170637016 "</f>
        <v xml:space="preserve">2170637016 </v>
      </c>
      <c r="G1148" s="10" t="str">
        <f t="shared" si="35"/>
        <v>ON1</v>
      </c>
      <c r="H1148" s="10" t="s">
        <v>21</v>
      </c>
      <c r="I1148" s="10" t="s">
        <v>158</v>
      </c>
      <c r="J1148" s="10" t="str">
        <f>""</f>
        <v/>
      </c>
      <c r="K1148" s="10" t="str">
        <f>"PFES1162630043_0001"</f>
        <v>PFES1162630043_0001</v>
      </c>
      <c r="L1148" s="10">
        <v>1</v>
      </c>
      <c r="M1148" s="10">
        <v>8</v>
      </c>
    </row>
    <row r="1149" spans="1:13">
      <c r="A1149" s="8">
        <v>43269</v>
      </c>
      <c r="B1149" s="9">
        <v>0.51250000000000007</v>
      </c>
      <c r="C1149" s="10" t="str">
        <f>"FES1162630116"</f>
        <v>FES1162630116</v>
      </c>
      <c r="D1149" s="10" t="s">
        <v>19</v>
      </c>
      <c r="E1149" s="10" t="s">
        <v>733</v>
      </c>
      <c r="F1149" s="10" t="str">
        <f>"2170637115 "</f>
        <v xml:space="preserve">2170637115 </v>
      </c>
      <c r="G1149" s="10" t="str">
        <f t="shared" si="35"/>
        <v>ON1</v>
      </c>
      <c r="H1149" s="10" t="s">
        <v>21</v>
      </c>
      <c r="I1149" s="10" t="s">
        <v>93</v>
      </c>
      <c r="J1149" s="10" t="str">
        <f>""</f>
        <v/>
      </c>
      <c r="K1149" s="10" t="str">
        <f>"PFES1162630116_0001"</f>
        <v>PFES1162630116_0001</v>
      </c>
      <c r="L1149" s="10">
        <v>1</v>
      </c>
      <c r="M1149" s="10">
        <v>13</v>
      </c>
    </row>
    <row r="1150" spans="1:13">
      <c r="A1150" s="8">
        <v>43269</v>
      </c>
      <c r="B1150" s="9">
        <v>0.51111111111111118</v>
      </c>
      <c r="C1150" s="10" t="str">
        <f>"FES1162630124"</f>
        <v>FES1162630124</v>
      </c>
      <c r="D1150" s="10" t="s">
        <v>19</v>
      </c>
      <c r="E1150" s="10" t="s">
        <v>60</v>
      </c>
      <c r="F1150" s="10" t="str">
        <f>"2170637128 "</f>
        <v xml:space="preserve">2170637128 </v>
      </c>
      <c r="G1150" s="10" t="str">
        <f t="shared" si="35"/>
        <v>ON1</v>
      </c>
      <c r="H1150" s="10" t="s">
        <v>21</v>
      </c>
      <c r="I1150" s="10" t="s">
        <v>61</v>
      </c>
      <c r="J1150" s="10" t="str">
        <f>""</f>
        <v/>
      </c>
      <c r="K1150" s="10" t="str">
        <f>"PFES1162630124_0001"</f>
        <v>PFES1162630124_0001</v>
      </c>
      <c r="L1150" s="10">
        <v>1</v>
      </c>
      <c r="M1150" s="10">
        <v>4</v>
      </c>
    </row>
    <row r="1151" spans="1:13">
      <c r="A1151" s="8">
        <v>43269</v>
      </c>
      <c r="B1151" s="9">
        <v>0.5083333333333333</v>
      </c>
      <c r="C1151" s="10" t="str">
        <f>"FES1162630104"</f>
        <v>FES1162630104</v>
      </c>
      <c r="D1151" s="10" t="s">
        <v>19</v>
      </c>
      <c r="E1151" s="10" t="s">
        <v>193</v>
      </c>
      <c r="F1151" s="10" t="str">
        <f>"2170637100 "</f>
        <v xml:space="preserve">2170637100 </v>
      </c>
      <c r="G1151" s="10" t="str">
        <f t="shared" si="35"/>
        <v>ON1</v>
      </c>
      <c r="H1151" s="10" t="s">
        <v>21</v>
      </c>
      <c r="I1151" s="10" t="s">
        <v>30</v>
      </c>
      <c r="J1151" s="10" t="str">
        <f>""</f>
        <v/>
      </c>
      <c r="K1151" s="10" t="str">
        <f>"PFES1162630104_0001"</f>
        <v>PFES1162630104_0001</v>
      </c>
      <c r="L1151" s="10">
        <v>1</v>
      </c>
      <c r="M1151" s="10">
        <v>1</v>
      </c>
    </row>
    <row r="1152" spans="1:13">
      <c r="A1152" s="8">
        <v>43269</v>
      </c>
      <c r="B1152" s="9">
        <v>0.5083333333333333</v>
      </c>
      <c r="C1152" s="10" t="str">
        <f>"FES1162630114"</f>
        <v>FES1162630114</v>
      </c>
      <c r="D1152" s="10" t="s">
        <v>19</v>
      </c>
      <c r="E1152" s="10" t="s">
        <v>124</v>
      </c>
      <c r="F1152" s="10" t="str">
        <f>"2170637110 "</f>
        <v xml:space="preserve">2170637110 </v>
      </c>
      <c r="G1152" s="10" t="str">
        <f t="shared" si="35"/>
        <v>ON1</v>
      </c>
      <c r="H1152" s="10" t="s">
        <v>21</v>
      </c>
      <c r="I1152" s="10" t="s">
        <v>40</v>
      </c>
      <c r="J1152" s="10" t="str">
        <f>""</f>
        <v/>
      </c>
      <c r="K1152" s="10" t="str">
        <f>"PFES1162630114_0001"</f>
        <v>PFES1162630114_0001</v>
      </c>
      <c r="L1152" s="10">
        <v>1</v>
      </c>
      <c r="M1152" s="10">
        <v>1</v>
      </c>
    </row>
    <row r="1153" spans="1:13">
      <c r="A1153" s="8">
        <v>43269</v>
      </c>
      <c r="B1153" s="9">
        <v>0.50763888888888886</v>
      </c>
      <c r="C1153" s="10" t="str">
        <f>"FES1162630125"</f>
        <v>FES1162630125</v>
      </c>
      <c r="D1153" s="10" t="s">
        <v>19</v>
      </c>
      <c r="E1153" s="10" t="s">
        <v>62</v>
      </c>
      <c r="F1153" s="10" t="str">
        <f>"2170637129 "</f>
        <v xml:space="preserve">2170637129 </v>
      </c>
      <c r="G1153" s="10" t="str">
        <f t="shared" si="35"/>
        <v>ON1</v>
      </c>
      <c r="H1153" s="10" t="s">
        <v>21</v>
      </c>
      <c r="I1153" s="10" t="s">
        <v>63</v>
      </c>
      <c r="J1153" s="10" t="str">
        <f>""</f>
        <v/>
      </c>
      <c r="K1153" s="10" t="str">
        <f>"PFES1162630125_0001"</f>
        <v>PFES1162630125_0001</v>
      </c>
      <c r="L1153" s="10">
        <v>1</v>
      </c>
      <c r="M1153" s="10">
        <v>1</v>
      </c>
    </row>
    <row r="1154" spans="1:13">
      <c r="A1154" s="8">
        <v>43269</v>
      </c>
      <c r="B1154" s="9">
        <v>0.50694444444444442</v>
      </c>
      <c r="C1154" s="10" t="str">
        <f>"FES1162630120"</f>
        <v>FES1162630120</v>
      </c>
      <c r="D1154" s="10" t="s">
        <v>19</v>
      </c>
      <c r="E1154" s="10" t="s">
        <v>145</v>
      </c>
      <c r="F1154" s="10" t="str">
        <f>"2170637119 "</f>
        <v xml:space="preserve">2170637119 </v>
      </c>
      <c r="G1154" s="10" t="str">
        <f t="shared" si="35"/>
        <v>ON1</v>
      </c>
      <c r="H1154" s="10" t="s">
        <v>21</v>
      </c>
      <c r="I1154" s="10" t="s">
        <v>146</v>
      </c>
      <c r="J1154" s="10" t="str">
        <f>""</f>
        <v/>
      </c>
      <c r="K1154" s="10" t="str">
        <f>"PFES1162630120_0001"</f>
        <v>PFES1162630120_0001</v>
      </c>
      <c r="L1154" s="10">
        <v>1</v>
      </c>
      <c r="M1154" s="10">
        <v>1</v>
      </c>
    </row>
    <row r="1155" spans="1:13">
      <c r="A1155" s="8">
        <v>43269</v>
      </c>
      <c r="B1155" s="9">
        <v>0.50694444444444442</v>
      </c>
      <c r="C1155" s="10" t="str">
        <f>"FES1162630115"</f>
        <v>FES1162630115</v>
      </c>
      <c r="D1155" s="10" t="s">
        <v>19</v>
      </c>
      <c r="E1155" s="10" t="s">
        <v>95</v>
      </c>
      <c r="F1155" s="10" t="str">
        <f>"2170637111 "</f>
        <v xml:space="preserve">2170637111 </v>
      </c>
      <c r="G1155" s="10" t="str">
        <f t="shared" si="35"/>
        <v>ON1</v>
      </c>
      <c r="H1155" s="10" t="s">
        <v>21</v>
      </c>
      <c r="I1155" s="10" t="s">
        <v>96</v>
      </c>
      <c r="J1155" s="10" t="str">
        <f>""</f>
        <v/>
      </c>
      <c r="K1155" s="10" t="str">
        <f>"PFES1162630115_0001"</f>
        <v>PFES1162630115_0001</v>
      </c>
      <c r="L1155" s="10">
        <v>1</v>
      </c>
      <c r="M1155" s="10">
        <v>1</v>
      </c>
    </row>
    <row r="1156" spans="1:13">
      <c r="A1156" s="8">
        <v>43269</v>
      </c>
      <c r="B1156" s="9">
        <v>0.50694444444444442</v>
      </c>
      <c r="C1156" s="10" t="str">
        <f>"FES1162630089"</f>
        <v>FES1162630089</v>
      </c>
      <c r="D1156" s="10" t="s">
        <v>19</v>
      </c>
      <c r="E1156" s="10" t="s">
        <v>621</v>
      </c>
      <c r="F1156" s="10" t="str">
        <f>"2170637085 "</f>
        <v xml:space="preserve">2170637085 </v>
      </c>
      <c r="G1156" s="10" t="str">
        <f t="shared" si="35"/>
        <v>ON1</v>
      </c>
      <c r="H1156" s="10" t="s">
        <v>21</v>
      </c>
      <c r="I1156" s="10" t="s">
        <v>622</v>
      </c>
      <c r="J1156" s="10" t="str">
        <f>""</f>
        <v/>
      </c>
      <c r="K1156" s="10" t="str">
        <f>"PFES1162630089_0001"</f>
        <v>PFES1162630089_0001</v>
      </c>
      <c r="L1156" s="10">
        <v>1</v>
      </c>
      <c r="M1156" s="10">
        <v>1</v>
      </c>
    </row>
    <row r="1157" spans="1:13">
      <c r="A1157" s="8">
        <v>43269</v>
      </c>
      <c r="B1157" s="9">
        <v>0.50624999999999998</v>
      </c>
      <c r="C1157" s="10" t="str">
        <f>"FES1162630044"</f>
        <v>FES1162630044</v>
      </c>
      <c r="D1157" s="10" t="s">
        <v>19</v>
      </c>
      <c r="E1157" s="10" t="s">
        <v>492</v>
      </c>
      <c r="F1157" s="10" t="str">
        <f>"217063017 "</f>
        <v xml:space="preserve">217063017 </v>
      </c>
      <c r="G1157" s="10" t="str">
        <f t="shared" si="35"/>
        <v>ON1</v>
      </c>
      <c r="H1157" s="10" t="s">
        <v>21</v>
      </c>
      <c r="I1157" s="10" t="s">
        <v>277</v>
      </c>
      <c r="J1157" s="10" t="str">
        <f>""</f>
        <v/>
      </c>
      <c r="K1157" s="10" t="str">
        <f>"PFES1162630044_0001"</f>
        <v>PFES1162630044_0001</v>
      </c>
      <c r="L1157" s="10">
        <v>1</v>
      </c>
      <c r="M1157" s="10">
        <v>1</v>
      </c>
    </row>
    <row r="1158" spans="1:13">
      <c r="A1158" s="8">
        <v>43269</v>
      </c>
      <c r="B1158" s="9">
        <v>0.50624999999999998</v>
      </c>
      <c r="C1158" s="10" t="str">
        <f>"FES1162630030"</f>
        <v>FES1162630030</v>
      </c>
      <c r="D1158" s="10" t="s">
        <v>19</v>
      </c>
      <c r="E1158" s="10" t="s">
        <v>734</v>
      </c>
      <c r="F1158" s="10" t="str">
        <f>"2170636091 "</f>
        <v xml:space="preserve">2170636091 </v>
      </c>
      <c r="G1158" s="10" t="str">
        <f t="shared" si="35"/>
        <v>ON1</v>
      </c>
      <c r="H1158" s="10" t="s">
        <v>21</v>
      </c>
      <c r="I1158" s="10" t="s">
        <v>415</v>
      </c>
      <c r="J1158" s="10" t="str">
        <f>""</f>
        <v/>
      </c>
      <c r="K1158" s="10" t="str">
        <f>"PFES1162630030_0001"</f>
        <v>PFES1162630030_0001</v>
      </c>
      <c r="L1158" s="10">
        <v>1</v>
      </c>
      <c r="M1158" s="10">
        <v>1</v>
      </c>
    </row>
    <row r="1159" spans="1:13">
      <c r="A1159" s="8">
        <v>43269</v>
      </c>
      <c r="B1159" s="9">
        <v>0.50555555555555554</v>
      </c>
      <c r="C1159" s="10" t="str">
        <f>"FES1162630056"</f>
        <v>FES1162630056</v>
      </c>
      <c r="D1159" s="10" t="s">
        <v>19</v>
      </c>
      <c r="E1159" s="10" t="s">
        <v>518</v>
      </c>
      <c r="F1159" s="10" t="str">
        <f>"2170637044 "</f>
        <v xml:space="preserve">2170637044 </v>
      </c>
      <c r="G1159" s="10" t="str">
        <f t="shared" si="35"/>
        <v>ON1</v>
      </c>
      <c r="H1159" s="10" t="s">
        <v>21</v>
      </c>
      <c r="I1159" s="10" t="s">
        <v>519</v>
      </c>
      <c r="J1159" s="10" t="str">
        <f>""</f>
        <v/>
      </c>
      <c r="K1159" s="10" t="str">
        <f>"PFES1162630056_0001"</f>
        <v>PFES1162630056_0001</v>
      </c>
      <c r="L1159" s="10">
        <v>1</v>
      </c>
      <c r="M1159" s="10">
        <v>1</v>
      </c>
    </row>
    <row r="1160" spans="1:13">
      <c r="A1160" s="8">
        <v>43269</v>
      </c>
      <c r="B1160" s="9">
        <v>0.50416666666666665</v>
      </c>
      <c r="C1160" s="10" t="str">
        <f>"FES1162630027"</f>
        <v>FES1162630027</v>
      </c>
      <c r="D1160" s="10" t="s">
        <v>19</v>
      </c>
      <c r="E1160" s="10" t="s">
        <v>735</v>
      </c>
      <c r="F1160" s="10" t="str">
        <f>"21706353684 "</f>
        <v xml:space="preserve">21706353684 </v>
      </c>
      <c r="G1160" s="10" t="str">
        <f t="shared" si="35"/>
        <v>ON1</v>
      </c>
      <c r="H1160" s="10" t="s">
        <v>21</v>
      </c>
      <c r="I1160" s="10" t="s">
        <v>230</v>
      </c>
      <c r="J1160" s="10" t="str">
        <f>""</f>
        <v/>
      </c>
      <c r="K1160" s="10" t="str">
        <f>"PFES1162630027_0001"</f>
        <v>PFES1162630027_0001</v>
      </c>
      <c r="L1160" s="10">
        <v>1</v>
      </c>
      <c r="M1160" s="10">
        <v>1</v>
      </c>
    </row>
    <row r="1161" spans="1:13">
      <c r="A1161" s="8">
        <v>43269</v>
      </c>
      <c r="B1161" s="9">
        <v>0.50416666666666665</v>
      </c>
      <c r="C1161" s="10" t="str">
        <f>"FES1162630067"</f>
        <v>FES1162630067</v>
      </c>
      <c r="D1161" s="10" t="s">
        <v>19</v>
      </c>
      <c r="E1161" s="10" t="s">
        <v>67</v>
      </c>
      <c r="F1161" s="10" t="str">
        <f>"2170637059 "</f>
        <v xml:space="preserve">2170637059 </v>
      </c>
      <c r="G1161" s="10" t="str">
        <f t="shared" si="35"/>
        <v>ON1</v>
      </c>
      <c r="H1161" s="10" t="s">
        <v>21</v>
      </c>
      <c r="I1161" s="10" t="s">
        <v>46</v>
      </c>
      <c r="J1161" s="10" t="str">
        <f>""</f>
        <v/>
      </c>
      <c r="K1161" s="10" t="str">
        <f>"PFES1162630067_0001"</f>
        <v>PFES1162630067_0001</v>
      </c>
      <c r="L1161" s="10">
        <v>1</v>
      </c>
      <c r="M1161" s="10">
        <v>1</v>
      </c>
    </row>
    <row r="1162" spans="1:13">
      <c r="A1162" s="8">
        <v>43269</v>
      </c>
      <c r="B1162" s="9">
        <v>0.50416666666666665</v>
      </c>
      <c r="C1162" s="10" t="str">
        <f>"FES1162630051"</f>
        <v>FES1162630051</v>
      </c>
      <c r="D1162" s="10" t="s">
        <v>19</v>
      </c>
      <c r="E1162" s="10" t="s">
        <v>434</v>
      </c>
      <c r="F1162" s="10" t="str">
        <f>"2170637029 "</f>
        <v xml:space="preserve">2170637029 </v>
      </c>
      <c r="G1162" s="10" t="str">
        <f t="shared" si="35"/>
        <v>ON1</v>
      </c>
      <c r="H1162" s="10" t="s">
        <v>21</v>
      </c>
      <c r="I1162" s="10" t="s">
        <v>112</v>
      </c>
      <c r="J1162" s="10" t="str">
        <f>""</f>
        <v/>
      </c>
      <c r="K1162" s="10" t="str">
        <f>"PFES1162630051_0001"</f>
        <v>PFES1162630051_0001</v>
      </c>
      <c r="L1162" s="10">
        <v>1</v>
      </c>
      <c r="M1162" s="10">
        <v>1</v>
      </c>
    </row>
    <row r="1163" spans="1:13">
      <c r="A1163" s="8">
        <v>43269</v>
      </c>
      <c r="B1163" s="9">
        <v>0.50347222222222221</v>
      </c>
      <c r="C1163" s="10" t="str">
        <f>"FES1162630037"</f>
        <v>FES1162630037</v>
      </c>
      <c r="D1163" s="10" t="s">
        <v>19</v>
      </c>
      <c r="E1163" s="10" t="s">
        <v>23</v>
      </c>
      <c r="F1163" s="10" t="str">
        <f>"2170636736 "</f>
        <v xml:space="preserve">2170636736 </v>
      </c>
      <c r="G1163" s="10" t="str">
        <f t="shared" si="35"/>
        <v>ON1</v>
      </c>
      <c r="H1163" s="10" t="s">
        <v>21</v>
      </c>
      <c r="I1163" s="10" t="s">
        <v>24</v>
      </c>
      <c r="J1163" s="10" t="str">
        <f>""</f>
        <v/>
      </c>
      <c r="K1163" s="10" t="str">
        <f>"PFES1162630037_0001"</f>
        <v>PFES1162630037_0001</v>
      </c>
      <c r="L1163" s="10">
        <v>1</v>
      </c>
      <c r="M1163" s="10">
        <v>1</v>
      </c>
    </row>
    <row r="1164" spans="1:13">
      <c r="A1164" s="8">
        <v>43269</v>
      </c>
      <c r="B1164" s="9">
        <v>0.50347222222222221</v>
      </c>
      <c r="C1164" s="10" t="str">
        <f>"FES1162630066"</f>
        <v>FES1162630066</v>
      </c>
      <c r="D1164" s="10" t="s">
        <v>19</v>
      </c>
      <c r="E1164" s="10" t="s">
        <v>736</v>
      </c>
      <c r="F1164" s="10" t="str">
        <f>"2170637075 "</f>
        <v xml:space="preserve">2170637075 </v>
      </c>
      <c r="G1164" s="10" t="str">
        <f t="shared" si="35"/>
        <v>ON1</v>
      </c>
      <c r="H1164" s="10" t="s">
        <v>21</v>
      </c>
      <c r="I1164" s="10" t="s">
        <v>737</v>
      </c>
      <c r="J1164" s="10" t="str">
        <f>""</f>
        <v/>
      </c>
      <c r="K1164" s="10" t="str">
        <f>"PFES1162630066_0001"</f>
        <v>PFES1162630066_0001</v>
      </c>
      <c r="L1164" s="10">
        <v>1</v>
      </c>
      <c r="M1164" s="10">
        <v>1</v>
      </c>
    </row>
    <row r="1165" spans="1:13">
      <c r="A1165" s="8">
        <v>43269</v>
      </c>
      <c r="B1165" s="9">
        <v>0.50277777777777777</v>
      </c>
      <c r="C1165" s="10" t="str">
        <f>"FES1162630099"</f>
        <v>FES1162630099</v>
      </c>
      <c r="D1165" s="10" t="s">
        <v>19</v>
      </c>
      <c r="E1165" s="10" t="s">
        <v>535</v>
      </c>
      <c r="F1165" s="10" t="str">
        <f>"2170637088 "</f>
        <v xml:space="preserve">2170637088 </v>
      </c>
      <c r="G1165" s="10" t="str">
        <f t="shared" si="35"/>
        <v>ON1</v>
      </c>
      <c r="H1165" s="10" t="s">
        <v>21</v>
      </c>
      <c r="I1165" s="10" t="s">
        <v>738</v>
      </c>
      <c r="J1165" s="10" t="str">
        <f>""</f>
        <v/>
      </c>
      <c r="K1165" s="10" t="str">
        <f>"PFES1162630099_0001"</f>
        <v>PFES1162630099_0001</v>
      </c>
      <c r="L1165" s="10">
        <v>1</v>
      </c>
      <c r="M1165" s="10">
        <v>1</v>
      </c>
    </row>
    <row r="1166" spans="1:13">
      <c r="A1166" s="8">
        <v>43269</v>
      </c>
      <c r="B1166" s="9">
        <v>0.50277777777777777</v>
      </c>
      <c r="C1166" s="10" t="str">
        <f>"FES1162630138"</f>
        <v>FES1162630138</v>
      </c>
      <c r="D1166" s="10" t="s">
        <v>19</v>
      </c>
      <c r="E1166" s="10" t="s">
        <v>574</v>
      </c>
      <c r="F1166" s="10" t="str">
        <f>"2170637147 "</f>
        <v xml:space="preserve">2170637147 </v>
      </c>
      <c r="G1166" s="10" t="str">
        <f t="shared" si="35"/>
        <v>ON1</v>
      </c>
      <c r="H1166" s="10" t="s">
        <v>21</v>
      </c>
      <c r="I1166" s="10" t="s">
        <v>83</v>
      </c>
      <c r="J1166" s="10" t="str">
        <f>""</f>
        <v/>
      </c>
      <c r="K1166" s="10" t="str">
        <f>"PFES1162630138_0001"</f>
        <v>PFES1162630138_0001</v>
      </c>
      <c r="L1166" s="10">
        <v>1</v>
      </c>
      <c r="M1166" s="10">
        <v>1</v>
      </c>
    </row>
    <row r="1167" spans="1:13">
      <c r="A1167" s="8">
        <v>43269</v>
      </c>
      <c r="B1167" s="9">
        <v>0.50208333333333333</v>
      </c>
      <c r="C1167" s="10" t="str">
        <f>"FES1162630122"</f>
        <v>FES1162630122</v>
      </c>
      <c r="D1167" s="10" t="s">
        <v>19</v>
      </c>
      <c r="E1167" s="10" t="s">
        <v>739</v>
      </c>
      <c r="F1167" s="10" t="str">
        <f>"2170637125 "</f>
        <v xml:space="preserve">2170637125 </v>
      </c>
      <c r="G1167" s="10" t="str">
        <f t="shared" si="35"/>
        <v>ON1</v>
      </c>
      <c r="H1167" s="10" t="s">
        <v>21</v>
      </c>
      <c r="I1167" s="10" t="s">
        <v>740</v>
      </c>
      <c r="J1167" s="10" t="str">
        <f>""</f>
        <v/>
      </c>
      <c r="K1167" s="10" t="str">
        <f>"PFES1162630122_0001"</f>
        <v>PFES1162630122_0001</v>
      </c>
      <c r="L1167" s="10">
        <v>1</v>
      </c>
      <c r="M1167" s="10">
        <v>1</v>
      </c>
    </row>
    <row r="1168" spans="1:13">
      <c r="A1168" s="8">
        <v>43269</v>
      </c>
      <c r="B1168" s="9">
        <v>0.45694444444444443</v>
      </c>
      <c r="C1168" s="10" t="str">
        <f>"FES1162630060"</f>
        <v>FES1162630060</v>
      </c>
      <c r="D1168" s="10" t="s">
        <v>19</v>
      </c>
      <c r="E1168" s="10" t="s">
        <v>95</v>
      </c>
      <c r="F1168" s="10" t="str">
        <f>"2170637048 "</f>
        <v xml:space="preserve">2170637048 </v>
      </c>
      <c r="G1168" s="10" t="str">
        <f t="shared" si="35"/>
        <v>ON1</v>
      </c>
      <c r="H1168" s="10" t="s">
        <v>21</v>
      </c>
      <c r="I1168" s="10" t="s">
        <v>96</v>
      </c>
      <c r="J1168" s="10" t="str">
        <f>""</f>
        <v/>
      </c>
      <c r="K1168" s="10" t="str">
        <f>"PFES1162630060_0001"</f>
        <v>PFES1162630060_0001</v>
      </c>
      <c r="L1168" s="10">
        <v>1</v>
      </c>
      <c r="M1168" s="10">
        <v>7</v>
      </c>
    </row>
    <row r="1169" spans="1:13">
      <c r="A1169" s="8">
        <v>43269</v>
      </c>
      <c r="B1169" s="9">
        <v>0.45624999999999999</v>
      </c>
      <c r="C1169" s="10" t="str">
        <f>"FES1162630109"</f>
        <v>FES1162630109</v>
      </c>
      <c r="D1169" s="10" t="s">
        <v>19</v>
      </c>
      <c r="E1169" s="10" t="s">
        <v>388</v>
      </c>
      <c r="F1169" s="10" t="str">
        <f>"2170636644 "</f>
        <v xml:space="preserve">2170636644 </v>
      </c>
      <c r="G1169" s="10" t="str">
        <f t="shared" si="35"/>
        <v>ON1</v>
      </c>
      <c r="H1169" s="10" t="s">
        <v>21</v>
      </c>
      <c r="I1169" s="10" t="s">
        <v>389</v>
      </c>
      <c r="J1169" s="10" t="str">
        <f>""</f>
        <v/>
      </c>
      <c r="K1169" s="10" t="str">
        <f>"PFES1162630109_0001"</f>
        <v>PFES1162630109_0001</v>
      </c>
      <c r="L1169" s="10">
        <v>1</v>
      </c>
      <c r="M1169" s="10">
        <v>2</v>
      </c>
    </row>
    <row r="1170" spans="1:13">
      <c r="A1170" s="8">
        <v>43269</v>
      </c>
      <c r="B1170" s="9">
        <v>0.45</v>
      </c>
      <c r="C1170" s="10" t="str">
        <f>"FES1162629862"</f>
        <v>FES1162629862</v>
      </c>
      <c r="D1170" s="10" t="s">
        <v>19</v>
      </c>
      <c r="E1170" s="10" t="s">
        <v>188</v>
      </c>
      <c r="F1170" s="10" t="str">
        <f>"21706346014 "</f>
        <v xml:space="preserve">21706346014 </v>
      </c>
      <c r="G1170" s="10" t="str">
        <f t="shared" si="35"/>
        <v>ON1</v>
      </c>
      <c r="H1170" s="10" t="s">
        <v>21</v>
      </c>
      <c r="I1170" s="10" t="s">
        <v>189</v>
      </c>
      <c r="J1170" s="10" t="str">
        <f>""</f>
        <v/>
      </c>
      <c r="K1170" s="10" t="str">
        <f>"PFES1162629862_0001"</f>
        <v>PFES1162629862_0001</v>
      </c>
      <c r="L1170" s="10">
        <v>1</v>
      </c>
      <c r="M1170" s="10">
        <v>1</v>
      </c>
    </row>
    <row r="1171" spans="1:13">
      <c r="A1171" s="8">
        <v>43269</v>
      </c>
      <c r="B1171" s="9">
        <v>0.45</v>
      </c>
      <c r="C1171" s="10" t="str">
        <f>"FES1162630077"</f>
        <v>FES1162630077</v>
      </c>
      <c r="D1171" s="10" t="s">
        <v>19</v>
      </c>
      <c r="E1171" s="10" t="s">
        <v>121</v>
      </c>
      <c r="F1171" s="10" t="str">
        <f>"2170637070 "</f>
        <v xml:space="preserve">2170637070 </v>
      </c>
      <c r="G1171" s="10" t="str">
        <f t="shared" si="35"/>
        <v>ON1</v>
      </c>
      <c r="H1171" s="10" t="s">
        <v>21</v>
      </c>
      <c r="I1171" s="10" t="s">
        <v>79</v>
      </c>
      <c r="J1171" s="10" t="str">
        <f>""</f>
        <v/>
      </c>
      <c r="K1171" s="10" t="str">
        <f>"PFES1162630077_0001"</f>
        <v>PFES1162630077_0001</v>
      </c>
      <c r="L1171" s="10">
        <v>1</v>
      </c>
      <c r="M1171" s="10">
        <v>1</v>
      </c>
    </row>
    <row r="1172" spans="1:13">
      <c r="A1172" s="8">
        <v>43269</v>
      </c>
      <c r="B1172" s="9">
        <v>0.44722222222222219</v>
      </c>
      <c r="C1172" s="10" t="str">
        <f>"FES1162630064"</f>
        <v>FES1162630064</v>
      </c>
      <c r="D1172" s="10" t="s">
        <v>19</v>
      </c>
      <c r="E1172" s="10" t="s">
        <v>312</v>
      </c>
      <c r="F1172" s="10" t="str">
        <f>"2170637053 "</f>
        <v xml:space="preserve">2170637053 </v>
      </c>
      <c r="G1172" s="10" t="str">
        <f t="shared" si="35"/>
        <v>ON1</v>
      </c>
      <c r="H1172" s="10" t="s">
        <v>21</v>
      </c>
      <c r="I1172" s="10" t="s">
        <v>313</v>
      </c>
      <c r="J1172" s="10" t="str">
        <f>""</f>
        <v/>
      </c>
      <c r="K1172" s="10" t="str">
        <f>"PFES1162630064_0001"</f>
        <v>PFES1162630064_0001</v>
      </c>
      <c r="L1172" s="10">
        <v>1</v>
      </c>
      <c r="M1172" s="10">
        <v>1</v>
      </c>
    </row>
    <row r="1173" spans="1:13">
      <c r="A1173" s="8">
        <v>43269</v>
      </c>
      <c r="B1173" s="9">
        <v>0.44722222222222219</v>
      </c>
      <c r="C1173" s="10" t="str">
        <f>"FES1162630087"</f>
        <v>FES1162630087</v>
      </c>
      <c r="D1173" s="10" t="s">
        <v>19</v>
      </c>
      <c r="E1173" s="10" t="s">
        <v>119</v>
      </c>
      <c r="F1173" s="10" t="str">
        <f>"2170637082 "</f>
        <v xml:space="preserve">2170637082 </v>
      </c>
      <c r="G1173" s="10" t="str">
        <f t="shared" si="35"/>
        <v>ON1</v>
      </c>
      <c r="H1173" s="10" t="s">
        <v>21</v>
      </c>
      <c r="I1173" s="10" t="s">
        <v>83</v>
      </c>
      <c r="J1173" s="10" t="str">
        <f>""</f>
        <v/>
      </c>
      <c r="K1173" s="10" t="str">
        <f>"PFES1162630087_0001"</f>
        <v>PFES1162630087_0001</v>
      </c>
      <c r="L1173" s="10">
        <v>1</v>
      </c>
      <c r="M1173" s="10">
        <v>1</v>
      </c>
    </row>
    <row r="1174" spans="1:13">
      <c r="A1174" s="8">
        <v>43269</v>
      </c>
      <c r="B1174" s="9">
        <v>0.4465277777777778</v>
      </c>
      <c r="C1174" s="10" t="str">
        <f>"FES1162630014"</f>
        <v>FES1162630014</v>
      </c>
      <c r="D1174" s="10" t="s">
        <v>19</v>
      </c>
      <c r="E1174" s="10" t="s">
        <v>741</v>
      </c>
      <c r="F1174" s="10" t="str">
        <f>"2170637034 "</f>
        <v xml:space="preserve">2170637034 </v>
      </c>
      <c r="G1174" s="10" t="str">
        <f t="shared" si="35"/>
        <v>ON1</v>
      </c>
      <c r="H1174" s="10" t="s">
        <v>21</v>
      </c>
      <c r="I1174" s="10" t="s">
        <v>742</v>
      </c>
      <c r="J1174" s="10" t="str">
        <f>""</f>
        <v/>
      </c>
      <c r="K1174" s="10" t="str">
        <f>"PFES1162630014_0001"</f>
        <v>PFES1162630014_0001</v>
      </c>
      <c r="L1174" s="10">
        <v>1</v>
      </c>
      <c r="M1174" s="10">
        <v>1</v>
      </c>
    </row>
    <row r="1175" spans="1:13">
      <c r="A1175" s="8">
        <v>43269</v>
      </c>
      <c r="B1175" s="9">
        <v>0.4465277777777778</v>
      </c>
      <c r="C1175" s="10" t="str">
        <f>"FES1162629974"</f>
        <v>FES1162629974</v>
      </c>
      <c r="D1175" s="10" t="s">
        <v>19</v>
      </c>
      <c r="E1175" s="10" t="s">
        <v>743</v>
      </c>
      <c r="F1175" s="10" t="str">
        <f>"2170636975 "</f>
        <v xml:space="preserve">2170636975 </v>
      </c>
      <c r="G1175" s="10" t="str">
        <f t="shared" si="35"/>
        <v>ON1</v>
      </c>
      <c r="H1175" s="10" t="s">
        <v>21</v>
      </c>
      <c r="I1175" s="10" t="s">
        <v>290</v>
      </c>
      <c r="J1175" s="10" t="str">
        <f>""</f>
        <v/>
      </c>
      <c r="K1175" s="10" t="str">
        <f>"PFES1162629974_0001"</f>
        <v>PFES1162629974_0001</v>
      </c>
      <c r="L1175" s="10">
        <v>1</v>
      </c>
      <c r="M1175" s="10">
        <v>6</v>
      </c>
    </row>
    <row r="1176" spans="1:13">
      <c r="A1176" s="8">
        <v>43269</v>
      </c>
      <c r="B1176" s="9">
        <v>0.44513888888888892</v>
      </c>
      <c r="C1176" s="10" t="str">
        <f>"FES1162629988"</f>
        <v>FES1162629988</v>
      </c>
      <c r="D1176" s="10" t="s">
        <v>19</v>
      </c>
      <c r="E1176" s="10" t="s">
        <v>744</v>
      </c>
      <c r="F1176" s="10" t="str">
        <f>"2170634073 "</f>
        <v xml:space="preserve">2170634073 </v>
      </c>
      <c r="G1176" s="10" t="str">
        <f t="shared" si="35"/>
        <v>ON1</v>
      </c>
      <c r="H1176" s="10" t="s">
        <v>21</v>
      </c>
      <c r="I1176" s="10" t="s">
        <v>209</v>
      </c>
      <c r="J1176" s="10" t="str">
        <f>""</f>
        <v/>
      </c>
      <c r="K1176" s="10" t="str">
        <f>"PFES1162629988_0001"</f>
        <v>PFES1162629988_0001</v>
      </c>
      <c r="L1176" s="10">
        <v>1</v>
      </c>
      <c r="M1176" s="10">
        <v>7</v>
      </c>
    </row>
    <row r="1177" spans="1:13">
      <c r="A1177" s="8">
        <v>43269</v>
      </c>
      <c r="B1177" s="9">
        <v>0.44444444444444442</v>
      </c>
      <c r="C1177" s="10" t="str">
        <f>"FES1162630040"</f>
        <v>FES1162630040</v>
      </c>
      <c r="D1177" s="10" t="s">
        <v>19</v>
      </c>
      <c r="E1177" s="10" t="s">
        <v>745</v>
      </c>
      <c r="F1177" s="10" t="str">
        <f>"2170637009 "</f>
        <v xml:space="preserve">2170637009 </v>
      </c>
      <c r="G1177" s="10" t="str">
        <f t="shared" si="35"/>
        <v>ON1</v>
      </c>
      <c r="H1177" s="10" t="s">
        <v>21</v>
      </c>
      <c r="I1177" s="10" t="s">
        <v>85</v>
      </c>
      <c r="J1177" s="10" t="str">
        <f>""</f>
        <v/>
      </c>
      <c r="K1177" s="10" t="str">
        <f>"PFES1162630040_0001"</f>
        <v>PFES1162630040_0001</v>
      </c>
      <c r="L1177" s="10">
        <v>1</v>
      </c>
      <c r="M1177" s="10">
        <v>1</v>
      </c>
    </row>
    <row r="1178" spans="1:13">
      <c r="A1178" s="8">
        <v>43269</v>
      </c>
      <c r="B1178" s="9">
        <v>0.44444444444444442</v>
      </c>
      <c r="C1178" s="10" t="str">
        <f>"FES1162629954"</f>
        <v>FES1162629954</v>
      </c>
      <c r="D1178" s="10" t="s">
        <v>19</v>
      </c>
      <c r="E1178" s="10" t="s">
        <v>67</v>
      </c>
      <c r="F1178" s="10" t="str">
        <f>"2170636889 "</f>
        <v xml:space="preserve">2170636889 </v>
      </c>
      <c r="G1178" s="10" t="str">
        <f t="shared" si="35"/>
        <v>ON1</v>
      </c>
      <c r="H1178" s="10" t="s">
        <v>21</v>
      </c>
      <c r="I1178" s="10" t="s">
        <v>32</v>
      </c>
      <c r="J1178" s="10" t="str">
        <f>""</f>
        <v/>
      </c>
      <c r="K1178" s="10" t="str">
        <f>"PFES1162629954_0001"</f>
        <v>PFES1162629954_0001</v>
      </c>
      <c r="L1178" s="10">
        <v>1</v>
      </c>
      <c r="M1178" s="10">
        <v>7</v>
      </c>
    </row>
    <row r="1179" spans="1:13">
      <c r="A1179" s="8">
        <v>43269</v>
      </c>
      <c r="B1179" s="9">
        <v>0.44305555555555554</v>
      </c>
      <c r="C1179" s="10" t="str">
        <f>"FES1162630025"</f>
        <v>FES1162630025</v>
      </c>
      <c r="D1179" s="10" t="s">
        <v>19</v>
      </c>
      <c r="E1179" s="10" t="s">
        <v>660</v>
      </c>
      <c r="F1179" s="10" t="str">
        <f>"2170635403 "</f>
        <v xml:space="preserve">2170635403 </v>
      </c>
      <c r="G1179" s="10" t="str">
        <f t="shared" si="35"/>
        <v>ON1</v>
      </c>
      <c r="H1179" s="10" t="s">
        <v>21</v>
      </c>
      <c r="I1179" s="10" t="s">
        <v>93</v>
      </c>
      <c r="J1179" s="10" t="str">
        <f>""</f>
        <v/>
      </c>
      <c r="K1179" s="10" t="str">
        <f>"PFES1162630025_0001"</f>
        <v>PFES1162630025_0001</v>
      </c>
      <c r="L1179" s="10">
        <v>1</v>
      </c>
      <c r="M1179" s="10">
        <v>1</v>
      </c>
    </row>
    <row r="1180" spans="1:13">
      <c r="A1180" s="8">
        <v>43269</v>
      </c>
      <c r="B1180" s="9">
        <v>0.44305555555555554</v>
      </c>
      <c r="C1180" s="10" t="str">
        <f>"FES1162629916"</f>
        <v>FES1162629916</v>
      </c>
      <c r="D1180" s="10" t="s">
        <v>19</v>
      </c>
      <c r="E1180" s="10" t="s">
        <v>640</v>
      </c>
      <c r="F1180" s="10" t="str">
        <f>"2170636929 "</f>
        <v xml:space="preserve">2170636929 </v>
      </c>
      <c r="G1180" s="10" t="str">
        <f t="shared" si="35"/>
        <v>ON1</v>
      </c>
      <c r="H1180" s="10" t="s">
        <v>21</v>
      </c>
      <c r="I1180" s="10" t="s">
        <v>641</v>
      </c>
      <c r="J1180" s="10" t="str">
        <f>""</f>
        <v/>
      </c>
      <c r="K1180" s="10" t="str">
        <f>"PFES1162629916_0001"</f>
        <v>PFES1162629916_0001</v>
      </c>
      <c r="L1180" s="10">
        <v>1</v>
      </c>
      <c r="M1180" s="10">
        <v>4</v>
      </c>
    </row>
    <row r="1181" spans="1:13">
      <c r="A1181" s="8">
        <v>43269</v>
      </c>
      <c r="B1181" s="9">
        <v>0.44166666666666665</v>
      </c>
      <c r="C1181" s="10" t="str">
        <f>"FES1162630075"</f>
        <v>FES1162630075</v>
      </c>
      <c r="D1181" s="10" t="s">
        <v>19</v>
      </c>
      <c r="E1181" s="10" t="s">
        <v>746</v>
      </c>
      <c r="F1181" s="10" t="str">
        <f>"2170637069 "</f>
        <v xml:space="preserve">2170637069 </v>
      </c>
      <c r="G1181" s="10" t="str">
        <f t="shared" si="35"/>
        <v>ON1</v>
      </c>
      <c r="H1181" s="10" t="s">
        <v>21</v>
      </c>
      <c r="I1181" s="10" t="s">
        <v>747</v>
      </c>
      <c r="J1181" s="10" t="str">
        <f>""</f>
        <v/>
      </c>
      <c r="K1181" s="10" t="str">
        <f>"PFES1162630075_0001"</f>
        <v>PFES1162630075_0001</v>
      </c>
      <c r="L1181" s="10">
        <v>1</v>
      </c>
      <c r="M1181" s="10">
        <v>2</v>
      </c>
    </row>
    <row r="1182" spans="1:13">
      <c r="A1182" s="8">
        <v>43269</v>
      </c>
      <c r="B1182" s="9">
        <v>0.44027777777777777</v>
      </c>
      <c r="C1182" s="10" t="str">
        <f>"FES1162630071"</f>
        <v>FES1162630071</v>
      </c>
      <c r="D1182" s="10" t="s">
        <v>19</v>
      </c>
      <c r="E1182" s="10" t="s">
        <v>119</v>
      </c>
      <c r="F1182" s="10" t="str">
        <f>"2170637063 "</f>
        <v xml:space="preserve">2170637063 </v>
      </c>
      <c r="G1182" s="10" t="str">
        <f t="shared" si="35"/>
        <v>ON1</v>
      </c>
      <c r="H1182" s="10" t="s">
        <v>21</v>
      </c>
      <c r="I1182" s="10" t="s">
        <v>83</v>
      </c>
      <c r="J1182" s="10" t="str">
        <f>""</f>
        <v/>
      </c>
      <c r="K1182" s="10" t="str">
        <f>"PFES1162630071_0001"</f>
        <v>PFES1162630071_0001</v>
      </c>
      <c r="L1182" s="10">
        <v>1</v>
      </c>
      <c r="M1182" s="10">
        <v>3</v>
      </c>
    </row>
    <row r="1183" spans="1:13">
      <c r="A1183" s="8">
        <v>43269</v>
      </c>
      <c r="B1183" s="9">
        <v>0.44027777777777777</v>
      </c>
      <c r="C1183" s="10" t="str">
        <f>"FES1162630065"</f>
        <v>FES1162630065</v>
      </c>
      <c r="D1183" s="10" t="s">
        <v>19</v>
      </c>
      <c r="E1183" s="10" t="s">
        <v>316</v>
      </c>
      <c r="F1183" s="10" t="str">
        <f>"2170637055 "</f>
        <v xml:space="preserve">2170637055 </v>
      </c>
      <c r="G1183" s="10" t="str">
        <f t="shared" si="35"/>
        <v>ON1</v>
      </c>
      <c r="H1183" s="10" t="s">
        <v>21</v>
      </c>
      <c r="I1183" s="10" t="s">
        <v>317</v>
      </c>
      <c r="J1183" s="10" t="str">
        <f>""</f>
        <v/>
      </c>
      <c r="K1183" s="10" t="str">
        <f>"PFES1162630065_0001"</f>
        <v>PFES1162630065_0001</v>
      </c>
      <c r="L1183" s="10">
        <v>1</v>
      </c>
      <c r="M1183" s="10">
        <v>1</v>
      </c>
    </row>
    <row r="1184" spans="1:13">
      <c r="A1184" s="8">
        <v>43269</v>
      </c>
      <c r="B1184" s="9">
        <v>0.43958333333333338</v>
      </c>
      <c r="C1184" s="10" t="str">
        <f>"FES1162630049"</f>
        <v>FES1162630049</v>
      </c>
      <c r="D1184" s="10" t="s">
        <v>19</v>
      </c>
      <c r="E1184" s="10" t="s">
        <v>675</v>
      </c>
      <c r="F1184" s="10" t="str">
        <f>"2170637201 "</f>
        <v xml:space="preserve">2170637201 </v>
      </c>
      <c r="G1184" s="10" t="str">
        <f t="shared" si="35"/>
        <v>ON1</v>
      </c>
      <c r="H1184" s="10" t="s">
        <v>21</v>
      </c>
      <c r="I1184" s="10" t="s">
        <v>393</v>
      </c>
      <c r="J1184" s="10" t="str">
        <f>""</f>
        <v/>
      </c>
      <c r="K1184" s="10" t="str">
        <f>"PFES1162630049_0001"</f>
        <v>PFES1162630049_0001</v>
      </c>
      <c r="L1184" s="10">
        <v>1</v>
      </c>
      <c r="M1184" s="10">
        <v>1</v>
      </c>
    </row>
    <row r="1185" spans="1:13">
      <c r="A1185" s="8">
        <v>43269</v>
      </c>
      <c r="B1185" s="9">
        <v>0.43958333333333338</v>
      </c>
      <c r="C1185" s="10" t="str">
        <f>"FES1162630074"</f>
        <v>FES1162630074</v>
      </c>
      <c r="D1185" s="10" t="s">
        <v>19</v>
      </c>
      <c r="E1185" s="10" t="s">
        <v>64</v>
      </c>
      <c r="F1185" s="10" t="str">
        <f>"2170637067 "</f>
        <v xml:space="preserve">2170637067 </v>
      </c>
      <c r="G1185" s="10" t="str">
        <f t="shared" si="35"/>
        <v>ON1</v>
      </c>
      <c r="H1185" s="10" t="s">
        <v>21</v>
      </c>
      <c r="I1185" s="10" t="s">
        <v>40</v>
      </c>
      <c r="J1185" s="10" t="str">
        <f>""</f>
        <v/>
      </c>
      <c r="K1185" s="10" t="str">
        <f>"PFES1162630074_0001"</f>
        <v>PFES1162630074_0001</v>
      </c>
      <c r="L1185" s="10">
        <v>1</v>
      </c>
      <c r="M1185" s="10">
        <v>14</v>
      </c>
    </row>
    <row r="1186" spans="1:13">
      <c r="A1186" s="8">
        <v>43269</v>
      </c>
      <c r="B1186" s="9">
        <v>0.43888888888888888</v>
      </c>
      <c r="C1186" s="10" t="str">
        <f>"FES1162630082"</f>
        <v>FES1162630082</v>
      </c>
      <c r="D1186" s="10" t="s">
        <v>19</v>
      </c>
      <c r="E1186" s="10" t="s">
        <v>64</v>
      </c>
      <c r="F1186" s="10" t="str">
        <f>"2170637077 "</f>
        <v xml:space="preserve">2170637077 </v>
      </c>
      <c r="G1186" s="10" t="str">
        <f t="shared" si="35"/>
        <v>ON1</v>
      </c>
      <c r="H1186" s="10" t="s">
        <v>21</v>
      </c>
      <c r="I1186" s="10" t="s">
        <v>40</v>
      </c>
      <c r="J1186" s="10" t="str">
        <f>""</f>
        <v/>
      </c>
      <c r="K1186" s="10" t="str">
        <f>"PFES1162630082_0001"</f>
        <v>PFES1162630082_0001</v>
      </c>
      <c r="L1186" s="10">
        <v>1</v>
      </c>
      <c r="M1186" s="10">
        <v>1</v>
      </c>
    </row>
    <row r="1187" spans="1:13">
      <c r="A1187" s="8">
        <v>43269</v>
      </c>
      <c r="B1187" s="9">
        <v>0.43888888888888888</v>
      </c>
      <c r="C1187" s="10" t="str">
        <f>"FES1162630052"</f>
        <v>FES1162630052</v>
      </c>
      <c r="D1187" s="10" t="s">
        <v>19</v>
      </c>
      <c r="E1187" s="10" t="s">
        <v>748</v>
      </c>
      <c r="F1187" s="10" t="str">
        <f>"2170637033 "</f>
        <v xml:space="preserve">2170637033 </v>
      </c>
      <c r="G1187" s="10" t="str">
        <f t="shared" si="35"/>
        <v>ON1</v>
      </c>
      <c r="H1187" s="10" t="s">
        <v>21</v>
      </c>
      <c r="I1187" s="10" t="s">
        <v>106</v>
      </c>
      <c r="J1187" s="10" t="str">
        <f>""</f>
        <v/>
      </c>
      <c r="K1187" s="10" t="str">
        <f>"PFES1162630052_0001"</f>
        <v>PFES1162630052_0001</v>
      </c>
      <c r="L1187" s="10">
        <v>1</v>
      </c>
      <c r="M1187" s="10">
        <v>5</v>
      </c>
    </row>
    <row r="1188" spans="1:13">
      <c r="A1188" s="8">
        <v>43269</v>
      </c>
      <c r="B1188" s="9">
        <v>0.43888888888888888</v>
      </c>
      <c r="C1188" s="10" t="str">
        <f>"FES1162630062"</f>
        <v>FES1162630062</v>
      </c>
      <c r="D1188" s="10" t="s">
        <v>19</v>
      </c>
      <c r="E1188" s="10" t="s">
        <v>128</v>
      </c>
      <c r="F1188" s="10" t="str">
        <f>"2170637051 "</f>
        <v xml:space="preserve">2170637051 </v>
      </c>
      <c r="G1188" s="10" t="str">
        <f t="shared" si="35"/>
        <v>ON1</v>
      </c>
      <c r="H1188" s="10" t="s">
        <v>21</v>
      </c>
      <c r="I1188" s="10" t="s">
        <v>129</v>
      </c>
      <c r="J1188" s="10" t="str">
        <f>""</f>
        <v/>
      </c>
      <c r="K1188" s="10" t="str">
        <f>"PFES1162630062_0001"</f>
        <v>PFES1162630062_0001</v>
      </c>
      <c r="L1188" s="10">
        <v>1</v>
      </c>
      <c r="M1188" s="10">
        <v>1</v>
      </c>
    </row>
    <row r="1189" spans="1:13">
      <c r="A1189" s="8">
        <v>43269</v>
      </c>
      <c r="B1189" s="9">
        <v>0.4381944444444445</v>
      </c>
      <c r="C1189" s="10" t="str">
        <f>"FES1162630080"</f>
        <v>FES1162630080</v>
      </c>
      <c r="D1189" s="10" t="s">
        <v>19</v>
      </c>
      <c r="E1189" s="10" t="s">
        <v>64</v>
      </c>
      <c r="F1189" s="10" t="str">
        <f>"2170637073 "</f>
        <v xml:space="preserve">2170637073 </v>
      </c>
      <c r="G1189" s="10" t="str">
        <f t="shared" si="35"/>
        <v>ON1</v>
      </c>
      <c r="H1189" s="10" t="s">
        <v>21</v>
      </c>
      <c r="I1189" s="10" t="s">
        <v>40</v>
      </c>
      <c r="J1189" s="10" t="str">
        <f>""</f>
        <v/>
      </c>
      <c r="K1189" s="10" t="str">
        <f>"PFES1162630080_0001"</f>
        <v>PFES1162630080_0001</v>
      </c>
      <c r="L1189" s="10">
        <v>1</v>
      </c>
      <c r="M1189" s="10">
        <v>1</v>
      </c>
    </row>
    <row r="1190" spans="1:13">
      <c r="A1190" s="8">
        <v>43269</v>
      </c>
      <c r="B1190" s="9">
        <v>0.4375</v>
      </c>
      <c r="C1190" s="10" t="str">
        <f>"FES1162630034"</f>
        <v>FES1162630034</v>
      </c>
      <c r="D1190" s="10" t="s">
        <v>19</v>
      </c>
      <c r="E1190" s="10" t="s">
        <v>345</v>
      </c>
      <c r="F1190" s="10" t="str">
        <f>"2170636410 "</f>
        <v xml:space="preserve">2170636410 </v>
      </c>
      <c r="G1190" s="10" t="str">
        <f t="shared" si="35"/>
        <v>ON1</v>
      </c>
      <c r="H1190" s="10" t="s">
        <v>21</v>
      </c>
      <c r="I1190" s="10" t="s">
        <v>228</v>
      </c>
      <c r="J1190" s="10" t="str">
        <f>""</f>
        <v/>
      </c>
      <c r="K1190" s="10" t="str">
        <f>"PFES1162630034_0001"</f>
        <v>PFES1162630034_0001</v>
      </c>
      <c r="L1190" s="10">
        <v>1</v>
      </c>
      <c r="M1190" s="10">
        <v>1</v>
      </c>
    </row>
    <row r="1191" spans="1:13">
      <c r="A1191" s="8">
        <v>43269</v>
      </c>
      <c r="B1191" s="9">
        <v>0.4375</v>
      </c>
      <c r="C1191" s="10" t="str">
        <f>"FES1162630041"</f>
        <v>FES1162630041</v>
      </c>
      <c r="D1191" s="10" t="s">
        <v>19</v>
      </c>
      <c r="E1191" s="10" t="s">
        <v>398</v>
      </c>
      <c r="F1191" s="10" t="str">
        <f>"2170637012 "</f>
        <v xml:space="preserve">2170637012 </v>
      </c>
      <c r="G1191" s="10" t="str">
        <f>"DBC"</f>
        <v>DBC</v>
      </c>
      <c r="H1191" s="10" t="s">
        <v>21</v>
      </c>
      <c r="I1191" s="10" t="s">
        <v>303</v>
      </c>
      <c r="J1191" s="10" t="str">
        <f>"FRAGILE OIL"</f>
        <v>FRAGILE OIL</v>
      </c>
      <c r="K1191" s="10" t="str">
        <f>"PFES1162630041_0001"</f>
        <v>PFES1162630041_0001</v>
      </c>
      <c r="L1191" s="10">
        <v>1</v>
      </c>
      <c r="M1191" s="10">
        <v>4</v>
      </c>
    </row>
    <row r="1192" spans="1:13">
      <c r="A1192" s="8">
        <v>43269</v>
      </c>
      <c r="B1192" s="9">
        <v>0.4368055555555555</v>
      </c>
      <c r="C1192" s="10" t="str">
        <f>"FES1162630088"</f>
        <v>FES1162630088</v>
      </c>
      <c r="D1192" s="10" t="s">
        <v>19</v>
      </c>
      <c r="E1192" s="10" t="s">
        <v>124</v>
      </c>
      <c r="F1192" s="10" t="str">
        <f>"2170637084 "</f>
        <v xml:space="preserve">2170637084 </v>
      </c>
      <c r="G1192" s="10" t="str">
        <f t="shared" ref="G1192:G1218" si="36">"ON1"</f>
        <v>ON1</v>
      </c>
      <c r="H1192" s="10" t="s">
        <v>21</v>
      </c>
      <c r="I1192" s="10" t="s">
        <v>40</v>
      </c>
      <c r="J1192" s="10" t="str">
        <f>""</f>
        <v/>
      </c>
      <c r="K1192" s="10" t="str">
        <f>"PFES1162630088_0001"</f>
        <v>PFES1162630088_0001</v>
      </c>
      <c r="L1192" s="10">
        <v>1</v>
      </c>
      <c r="M1192" s="10">
        <v>1</v>
      </c>
    </row>
    <row r="1193" spans="1:13">
      <c r="A1193" s="8">
        <v>43269</v>
      </c>
      <c r="B1193" s="9">
        <v>0.4368055555555555</v>
      </c>
      <c r="C1193" s="10" t="str">
        <f>"FES1162630039"</f>
        <v>FES1162630039</v>
      </c>
      <c r="D1193" s="10" t="s">
        <v>19</v>
      </c>
      <c r="E1193" s="10" t="s">
        <v>749</v>
      </c>
      <c r="F1193" s="10" t="str">
        <f>"2170637007 "</f>
        <v xml:space="preserve">2170637007 </v>
      </c>
      <c r="G1193" s="10" t="str">
        <f t="shared" si="36"/>
        <v>ON1</v>
      </c>
      <c r="H1193" s="10" t="s">
        <v>21</v>
      </c>
      <c r="I1193" s="10" t="s">
        <v>30</v>
      </c>
      <c r="J1193" s="10" t="str">
        <f>""</f>
        <v/>
      </c>
      <c r="K1193" s="10" t="str">
        <f>"PFES1162630039_0001"</f>
        <v>PFES1162630039_0001</v>
      </c>
      <c r="L1193" s="10">
        <v>1</v>
      </c>
      <c r="M1193" s="10">
        <v>1</v>
      </c>
    </row>
    <row r="1194" spans="1:13">
      <c r="A1194" s="8">
        <v>43269</v>
      </c>
      <c r="B1194" s="9">
        <v>0.43611111111111112</v>
      </c>
      <c r="C1194" s="10" t="str">
        <f>"FES1162630058"</f>
        <v>FES1162630058</v>
      </c>
      <c r="D1194" s="10" t="s">
        <v>19</v>
      </c>
      <c r="E1194" s="10" t="s">
        <v>143</v>
      </c>
      <c r="F1194" s="10" t="str">
        <f>"2170637046 "</f>
        <v xml:space="preserve">2170637046 </v>
      </c>
      <c r="G1194" s="10" t="str">
        <f t="shared" si="36"/>
        <v>ON1</v>
      </c>
      <c r="H1194" s="10" t="s">
        <v>21</v>
      </c>
      <c r="I1194" s="10" t="s">
        <v>144</v>
      </c>
      <c r="J1194" s="10" t="str">
        <f>""</f>
        <v/>
      </c>
      <c r="K1194" s="10" t="str">
        <f>"PFES1162630058_0001"</f>
        <v>PFES1162630058_0001</v>
      </c>
      <c r="L1194" s="10">
        <v>1</v>
      </c>
      <c r="M1194" s="10">
        <v>1</v>
      </c>
    </row>
    <row r="1195" spans="1:13">
      <c r="A1195" s="8">
        <v>43269</v>
      </c>
      <c r="B1195" s="9">
        <v>0.43611111111111112</v>
      </c>
      <c r="C1195" s="10" t="str">
        <f>"FES1162630011"</f>
        <v>FES1162630011</v>
      </c>
      <c r="D1195" s="10" t="s">
        <v>19</v>
      </c>
      <c r="E1195" s="10" t="s">
        <v>750</v>
      </c>
      <c r="F1195" s="10" t="str">
        <f>"2170637025 "</f>
        <v xml:space="preserve">2170637025 </v>
      </c>
      <c r="G1195" s="10" t="str">
        <f t="shared" si="36"/>
        <v>ON1</v>
      </c>
      <c r="H1195" s="10" t="s">
        <v>21</v>
      </c>
      <c r="I1195" s="10" t="s">
        <v>641</v>
      </c>
      <c r="J1195" s="10" t="str">
        <f>""</f>
        <v/>
      </c>
      <c r="K1195" s="10" t="str">
        <f>"PFES1162630011_0001"</f>
        <v>PFES1162630011_0001</v>
      </c>
      <c r="L1195" s="10">
        <v>1</v>
      </c>
      <c r="M1195" s="10">
        <v>1</v>
      </c>
    </row>
    <row r="1196" spans="1:13">
      <c r="A1196" s="8">
        <v>43269</v>
      </c>
      <c r="B1196" s="9">
        <v>0.43541666666666662</v>
      </c>
      <c r="C1196" s="10" t="str">
        <f>"FES1162630029"</f>
        <v>FES1162630029</v>
      </c>
      <c r="D1196" s="10" t="s">
        <v>19</v>
      </c>
      <c r="E1196" s="10" t="s">
        <v>293</v>
      </c>
      <c r="F1196" s="10" t="str">
        <f>"2170636068 "</f>
        <v xml:space="preserve">2170636068 </v>
      </c>
      <c r="G1196" s="10" t="str">
        <f t="shared" si="36"/>
        <v>ON1</v>
      </c>
      <c r="H1196" s="10" t="s">
        <v>21</v>
      </c>
      <c r="I1196" s="10" t="s">
        <v>61</v>
      </c>
      <c r="J1196" s="10" t="str">
        <f>""</f>
        <v/>
      </c>
      <c r="K1196" s="10" t="str">
        <f>"PFES1162630029_0001"</f>
        <v>PFES1162630029_0001</v>
      </c>
      <c r="L1196" s="10">
        <v>1</v>
      </c>
      <c r="M1196" s="10">
        <v>3</v>
      </c>
    </row>
    <row r="1197" spans="1:13">
      <c r="A1197" s="8">
        <v>43269</v>
      </c>
      <c r="B1197" s="9">
        <v>0.43541666666666662</v>
      </c>
      <c r="C1197" s="10" t="str">
        <f>"FES1162630053"</f>
        <v>FES1162630053</v>
      </c>
      <c r="D1197" s="10" t="s">
        <v>19</v>
      </c>
      <c r="E1197" s="10" t="s">
        <v>268</v>
      </c>
      <c r="F1197" s="10" t="str">
        <f>"2170637035 "</f>
        <v xml:space="preserve">2170637035 </v>
      </c>
      <c r="G1197" s="10" t="str">
        <f t="shared" si="36"/>
        <v>ON1</v>
      </c>
      <c r="H1197" s="10" t="s">
        <v>21</v>
      </c>
      <c r="I1197" s="10" t="s">
        <v>269</v>
      </c>
      <c r="J1197" s="10" t="str">
        <f>""</f>
        <v/>
      </c>
      <c r="K1197" s="10" t="str">
        <f>"PFES1162630053_0001"</f>
        <v>PFES1162630053_0001</v>
      </c>
      <c r="L1197" s="10">
        <v>1</v>
      </c>
      <c r="M1197" s="10">
        <v>1</v>
      </c>
    </row>
    <row r="1198" spans="1:13">
      <c r="A1198" s="8">
        <v>43269</v>
      </c>
      <c r="B1198" s="9">
        <v>0.43472222222222223</v>
      </c>
      <c r="C1198" s="10" t="str">
        <f>"FES1162630022"</f>
        <v>FES1162630022</v>
      </c>
      <c r="D1198" s="10" t="s">
        <v>19</v>
      </c>
      <c r="E1198" s="10" t="s">
        <v>751</v>
      </c>
      <c r="F1198" s="10" t="str">
        <f>"2170632674 "</f>
        <v xml:space="preserve">2170632674 </v>
      </c>
      <c r="G1198" s="10" t="str">
        <f t="shared" si="36"/>
        <v>ON1</v>
      </c>
      <c r="H1198" s="10" t="s">
        <v>21</v>
      </c>
      <c r="I1198" s="10" t="s">
        <v>752</v>
      </c>
      <c r="J1198" s="10" t="str">
        <f>""</f>
        <v/>
      </c>
      <c r="K1198" s="10" t="str">
        <f>"PFES1162630022_0001"</f>
        <v>PFES1162630022_0001</v>
      </c>
      <c r="L1198" s="10">
        <v>1</v>
      </c>
      <c r="M1198" s="10">
        <v>3</v>
      </c>
    </row>
    <row r="1199" spans="1:13">
      <c r="A1199" s="8">
        <v>43269</v>
      </c>
      <c r="B1199" s="9">
        <v>0.43333333333333335</v>
      </c>
      <c r="C1199" s="10" t="str">
        <f>"FES1162630059"</f>
        <v>FES1162630059</v>
      </c>
      <c r="D1199" s="10" t="s">
        <v>19</v>
      </c>
      <c r="E1199" s="10" t="s">
        <v>362</v>
      </c>
      <c r="F1199" s="10" t="str">
        <f>"21706037047 "</f>
        <v xml:space="preserve">21706037047 </v>
      </c>
      <c r="G1199" s="10" t="str">
        <f t="shared" si="36"/>
        <v>ON1</v>
      </c>
      <c r="H1199" s="10" t="s">
        <v>21</v>
      </c>
      <c r="I1199" s="10" t="s">
        <v>363</v>
      </c>
      <c r="J1199" s="10" t="str">
        <f>""</f>
        <v/>
      </c>
      <c r="K1199" s="10" t="str">
        <f>"PFES1162630059_0001"</f>
        <v>PFES1162630059_0001</v>
      </c>
      <c r="L1199" s="10">
        <v>1</v>
      </c>
      <c r="M1199" s="10">
        <v>1</v>
      </c>
    </row>
    <row r="1200" spans="1:13">
      <c r="A1200" s="8">
        <v>43269</v>
      </c>
      <c r="B1200" s="9">
        <v>0.43263888888888885</v>
      </c>
      <c r="C1200" s="10" t="str">
        <f>"FES1162630050"</f>
        <v>FES1162630050</v>
      </c>
      <c r="D1200" s="10" t="s">
        <v>19</v>
      </c>
      <c r="E1200" s="10" t="s">
        <v>509</v>
      </c>
      <c r="F1200" s="10" t="str">
        <f>"2170637027 "</f>
        <v xml:space="preserve">2170637027 </v>
      </c>
      <c r="G1200" s="10" t="str">
        <f t="shared" si="36"/>
        <v>ON1</v>
      </c>
      <c r="H1200" s="10" t="s">
        <v>21</v>
      </c>
      <c r="I1200" s="10" t="s">
        <v>53</v>
      </c>
      <c r="J1200" s="10" t="str">
        <f>""</f>
        <v/>
      </c>
      <c r="K1200" s="10" t="str">
        <f>"PFES1162630050_0001"</f>
        <v>PFES1162630050_0001</v>
      </c>
      <c r="L1200" s="10">
        <v>1</v>
      </c>
      <c r="M1200" s="10">
        <v>1</v>
      </c>
    </row>
    <row r="1201" spans="1:13">
      <c r="A1201" s="8">
        <v>43269</v>
      </c>
      <c r="B1201" s="9">
        <v>0.43263888888888885</v>
      </c>
      <c r="C1201" s="10" t="str">
        <f>"FES1162630072"</f>
        <v>FES1162630072</v>
      </c>
      <c r="D1201" s="10" t="s">
        <v>19</v>
      </c>
      <c r="E1201" s="10" t="s">
        <v>753</v>
      </c>
      <c r="F1201" s="10" t="str">
        <f>"2170637065 "</f>
        <v xml:space="preserve">2170637065 </v>
      </c>
      <c r="G1201" s="10" t="str">
        <f t="shared" si="36"/>
        <v>ON1</v>
      </c>
      <c r="H1201" s="10" t="s">
        <v>21</v>
      </c>
      <c r="I1201" s="10" t="s">
        <v>754</v>
      </c>
      <c r="J1201" s="10" t="str">
        <f>""</f>
        <v/>
      </c>
      <c r="K1201" s="10" t="str">
        <f>"PFES1162630072_0001"</f>
        <v>PFES1162630072_0001</v>
      </c>
      <c r="L1201" s="10">
        <v>1</v>
      </c>
      <c r="M1201" s="10">
        <v>1</v>
      </c>
    </row>
    <row r="1202" spans="1:13">
      <c r="A1202" s="8">
        <v>43269</v>
      </c>
      <c r="B1202" s="9">
        <v>0.43263888888888885</v>
      </c>
      <c r="C1202" s="10" t="str">
        <f>"FES1162630032"</f>
        <v>FES1162630032</v>
      </c>
      <c r="D1202" s="10" t="s">
        <v>19</v>
      </c>
      <c r="E1202" s="10" t="s">
        <v>235</v>
      </c>
      <c r="F1202" s="10" t="str">
        <f>"2170636249 "</f>
        <v xml:space="preserve">2170636249 </v>
      </c>
      <c r="G1202" s="10" t="str">
        <f t="shared" si="36"/>
        <v>ON1</v>
      </c>
      <c r="H1202" s="10" t="s">
        <v>21</v>
      </c>
      <c r="I1202" s="10" t="s">
        <v>26</v>
      </c>
      <c r="J1202" s="10" t="str">
        <f>""</f>
        <v/>
      </c>
      <c r="K1202" s="10" t="str">
        <f>"PFES1162630032_0001"</f>
        <v>PFES1162630032_0001</v>
      </c>
      <c r="L1202" s="10">
        <v>1</v>
      </c>
      <c r="M1202" s="10">
        <v>1</v>
      </c>
    </row>
    <row r="1203" spans="1:13">
      <c r="A1203" s="8">
        <v>43269</v>
      </c>
      <c r="B1203" s="9">
        <v>0.43194444444444446</v>
      </c>
      <c r="C1203" s="10" t="str">
        <f>"FES1162630028"</f>
        <v>FES1162630028</v>
      </c>
      <c r="D1203" s="10" t="s">
        <v>19</v>
      </c>
      <c r="E1203" s="10" t="s">
        <v>242</v>
      </c>
      <c r="F1203" s="10" t="str">
        <f>"21706369 "</f>
        <v xml:space="preserve">21706369 </v>
      </c>
      <c r="G1203" s="10" t="str">
        <f t="shared" si="36"/>
        <v>ON1</v>
      </c>
      <c r="H1203" s="10" t="s">
        <v>21</v>
      </c>
      <c r="I1203" s="10" t="s">
        <v>55</v>
      </c>
      <c r="J1203" s="10" t="str">
        <f>""</f>
        <v/>
      </c>
      <c r="K1203" s="10" t="str">
        <f>"PFES1162630028_0001"</f>
        <v>PFES1162630028_0001</v>
      </c>
      <c r="L1203" s="10">
        <v>1</v>
      </c>
      <c r="M1203" s="10">
        <v>1</v>
      </c>
    </row>
    <row r="1204" spans="1:13">
      <c r="A1204" s="8">
        <v>43269</v>
      </c>
      <c r="B1204" s="9">
        <v>0.43124999999999997</v>
      </c>
      <c r="C1204" s="10" t="str">
        <f>"FES1162630042"</f>
        <v>FES1162630042</v>
      </c>
      <c r="D1204" s="10" t="s">
        <v>19</v>
      </c>
      <c r="E1204" s="10" t="s">
        <v>531</v>
      </c>
      <c r="F1204" s="10" t="str">
        <f>"2170637014 "</f>
        <v xml:space="preserve">2170637014 </v>
      </c>
      <c r="G1204" s="10" t="str">
        <f t="shared" si="36"/>
        <v>ON1</v>
      </c>
      <c r="H1204" s="10" t="s">
        <v>21</v>
      </c>
      <c r="I1204" s="10" t="s">
        <v>265</v>
      </c>
      <c r="J1204" s="10" t="str">
        <f>""</f>
        <v/>
      </c>
      <c r="K1204" s="10" t="str">
        <f>"PFES1162630042_0001"</f>
        <v>PFES1162630042_0001</v>
      </c>
      <c r="L1204" s="10">
        <v>1</v>
      </c>
      <c r="M1204" s="10">
        <v>1</v>
      </c>
    </row>
    <row r="1205" spans="1:13">
      <c r="A1205" s="8">
        <v>43269</v>
      </c>
      <c r="B1205" s="9">
        <v>0.43124999999999997</v>
      </c>
      <c r="C1205" s="10" t="str">
        <f>"FES1162630023"</f>
        <v>FES1162630023</v>
      </c>
      <c r="D1205" s="10" t="s">
        <v>19</v>
      </c>
      <c r="E1205" s="10" t="s">
        <v>755</v>
      </c>
      <c r="F1205" s="10" t="str">
        <f>"21706349909 "</f>
        <v xml:space="preserve">21706349909 </v>
      </c>
      <c r="G1205" s="10" t="str">
        <f t="shared" si="36"/>
        <v>ON1</v>
      </c>
      <c r="H1205" s="10" t="s">
        <v>21</v>
      </c>
      <c r="I1205" s="10" t="s">
        <v>569</v>
      </c>
      <c r="J1205" s="10" t="str">
        <f>""</f>
        <v/>
      </c>
      <c r="K1205" s="10" t="str">
        <f>"PFES1162630023_0001"</f>
        <v>PFES1162630023_0001</v>
      </c>
      <c r="L1205" s="10">
        <v>1</v>
      </c>
      <c r="M1205" s="10">
        <v>1</v>
      </c>
    </row>
    <row r="1206" spans="1:13">
      <c r="A1206" s="8">
        <v>43269</v>
      </c>
      <c r="B1206" s="9">
        <v>0.42986111111111108</v>
      </c>
      <c r="C1206" s="10" t="str">
        <f>"FES1162630031"</f>
        <v>FES1162630031</v>
      </c>
      <c r="D1206" s="10" t="s">
        <v>19</v>
      </c>
      <c r="E1206" s="10" t="s">
        <v>304</v>
      </c>
      <c r="F1206" s="10" t="str">
        <f>"2170636164 "</f>
        <v xml:space="preserve">2170636164 </v>
      </c>
      <c r="G1206" s="10" t="str">
        <f t="shared" si="36"/>
        <v>ON1</v>
      </c>
      <c r="H1206" s="10" t="s">
        <v>21</v>
      </c>
      <c r="I1206" s="10" t="s">
        <v>305</v>
      </c>
      <c r="J1206" s="10" t="str">
        <f>""</f>
        <v/>
      </c>
      <c r="K1206" s="10" t="str">
        <f>"PFES1162630031_0001"</f>
        <v>PFES1162630031_0001</v>
      </c>
      <c r="L1206" s="10">
        <v>1</v>
      </c>
      <c r="M1206" s="10">
        <v>1</v>
      </c>
    </row>
    <row r="1207" spans="1:13">
      <c r="A1207" s="8">
        <v>43269</v>
      </c>
      <c r="B1207" s="9">
        <v>0.4291666666666667</v>
      </c>
      <c r="C1207" s="10" t="str">
        <f>"FES1162630047"</f>
        <v>FES1162630047</v>
      </c>
      <c r="D1207" s="10" t="s">
        <v>19</v>
      </c>
      <c r="E1207" s="10" t="s">
        <v>60</v>
      </c>
      <c r="F1207" s="10" t="str">
        <f>"21706370321 "</f>
        <v xml:space="preserve">21706370321 </v>
      </c>
      <c r="G1207" s="10" t="str">
        <f t="shared" si="36"/>
        <v>ON1</v>
      </c>
      <c r="H1207" s="10" t="s">
        <v>21</v>
      </c>
      <c r="I1207" s="10" t="s">
        <v>61</v>
      </c>
      <c r="J1207" s="10" t="str">
        <f>""</f>
        <v/>
      </c>
      <c r="K1207" s="10" t="str">
        <f>"PFES1162630047_0001"</f>
        <v>PFES1162630047_0001</v>
      </c>
      <c r="L1207" s="10">
        <v>1</v>
      </c>
      <c r="M1207" s="10">
        <v>1</v>
      </c>
    </row>
    <row r="1208" spans="1:13">
      <c r="A1208" s="8">
        <v>43270</v>
      </c>
      <c r="B1208" s="9">
        <v>0.70000000000000007</v>
      </c>
      <c r="C1208" s="10" t="str">
        <f>"FES1162630536"</f>
        <v>FES1162630536</v>
      </c>
      <c r="D1208" s="10" t="s">
        <v>19</v>
      </c>
      <c r="E1208" s="10" t="s">
        <v>191</v>
      </c>
      <c r="F1208" s="10" t="str">
        <f>"2170637484 "</f>
        <v xml:space="preserve">2170637484 </v>
      </c>
      <c r="G1208" s="10" t="str">
        <f t="shared" si="36"/>
        <v>ON1</v>
      </c>
      <c r="H1208" s="10" t="s">
        <v>21</v>
      </c>
      <c r="I1208" s="10" t="s">
        <v>192</v>
      </c>
      <c r="J1208" s="10" t="str">
        <f>""</f>
        <v/>
      </c>
      <c r="K1208" s="10" t="str">
        <f>"PFES1162630536_0001"</f>
        <v>PFES1162630536_0001</v>
      </c>
      <c r="L1208" s="10">
        <v>1</v>
      </c>
      <c r="M1208" s="10">
        <v>7</v>
      </c>
    </row>
    <row r="1209" spans="1:13">
      <c r="A1209" s="8">
        <v>43270</v>
      </c>
      <c r="B1209" s="9">
        <v>0.69861111111111107</v>
      </c>
      <c r="C1209" s="10" t="str">
        <f>"FES1162630483"</f>
        <v>FES1162630483</v>
      </c>
      <c r="D1209" s="10" t="s">
        <v>19</v>
      </c>
      <c r="E1209" s="10" t="s">
        <v>377</v>
      </c>
      <c r="F1209" s="10" t="str">
        <f>"2170636972 "</f>
        <v xml:space="preserve">2170636972 </v>
      </c>
      <c r="G1209" s="10" t="str">
        <f t="shared" si="36"/>
        <v>ON1</v>
      </c>
      <c r="H1209" s="10" t="s">
        <v>21</v>
      </c>
      <c r="I1209" s="10" t="s">
        <v>378</v>
      </c>
      <c r="J1209" s="10" t="str">
        <f>""</f>
        <v/>
      </c>
      <c r="K1209" s="10" t="str">
        <f>"PFES1162630483_0001"</f>
        <v>PFES1162630483_0001</v>
      </c>
      <c r="L1209" s="10">
        <v>1</v>
      </c>
      <c r="M1209" s="10">
        <v>4</v>
      </c>
    </row>
    <row r="1210" spans="1:13">
      <c r="A1210" s="8">
        <v>43270</v>
      </c>
      <c r="B1210" s="9">
        <v>0.69791666666666663</v>
      </c>
      <c r="C1210" s="10" t="str">
        <f>"FES1162630454"</f>
        <v>FES1162630454</v>
      </c>
      <c r="D1210" s="10" t="s">
        <v>19</v>
      </c>
      <c r="E1210" s="10" t="s">
        <v>416</v>
      </c>
      <c r="F1210" s="10" t="str">
        <f>"2170637380 "</f>
        <v xml:space="preserve">2170637380 </v>
      </c>
      <c r="G1210" s="10" t="str">
        <f t="shared" si="36"/>
        <v>ON1</v>
      </c>
      <c r="H1210" s="10" t="s">
        <v>21</v>
      </c>
      <c r="I1210" s="10" t="s">
        <v>265</v>
      </c>
      <c r="J1210" s="10" t="str">
        <f>""</f>
        <v/>
      </c>
      <c r="K1210" s="10" t="str">
        <f>"PFES1162630454_0001"</f>
        <v>PFES1162630454_0001</v>
      </c>
      <c r="L1210" s="10">
        <v>1</v>
      </c>
      <c r="M1210" s="10">
        <v>3</v>
      </c>
    </row>
    <row r="1211" spans="1:13">
      <c r="A1211" s="8">
        <v>43270</v>
      </c>
      <c r="B1211" s="9">
        <v>0.69652777777777775</v>
      </c>
      <c r="C1211" s="10" t="str">
        <f>"FES1162630552"</f>
        <v>FES1162630552</v>
      </c>
      <c r="D1211" s="10" t="s">
        <v>19</v>
      </c>
      <c r="E1211" s="10" t="s">
        <v>756</v>
      </c>
      <c r="F1211" s="10" t="str">
        <f>"2170637481 "</f>
        <v xml:space="preserve">2170637481 </v>
      </c>
      <c r="G1211" s="10" t="str">
        <f t="shared" si="36"/>
        <v>ON1</v>
      </c>
      <c r="H1211" s="10" t="s">
        <v>21</v>
      </c>
      <c r="I1211" s="10" t="s">
        <v>26</v>
      </c>
      <c r="J1211" s="10" t="str">
        <f>""</f>
        <v/>
      </c>
      <c r="K1211" s="10" t="str">
        <f>"PFES1162630552_0001"</f>
        <v>PFES1162630552_0001</v>
      </c>
      <c r="L1211" s="10">
        <v>1</v>
      </c>
      <c r="M1211" s="10">
        <v>3</v>
      </c>
    </row>
    <row r="1212" spans="1:13">
      <c r="A1212" s="8">
        <v>43270</v>
      </c>
      <c r="B1212" s="9">
        <v>0.69513888888888886</v>
      </c>
      <c r="C1212" s="10" t="str">
        <f>"FES1162630534"</f>
        <v>FES1162630534</v>
      </c>
      <c r="D1212" s="10" t="s">
        <v>19</v>
      </c>
      <c r="E1212" s="10" t="s">
        <v>757</v>
      </c>
      <c r="F1212" s="10" t="str">
        <f>"2170637404 "</f>
        <v xml:space="preserve">2170637404 </v>
      </c>
      <c r="G1212" s="10" t="str">
        <f t="shared" si="36"/>
        <v>ON1</v>
      </c>
      <c r="H1212" s="10" t="s">
        <v>21</v>
      </c>
      <c r="I1212" s="10" t="s">
        <v>569</v>
      </c>
      <c r="J1212" s="10" t="str">
        <f>""</f>
        <v/>
      </c>
      <c r="K1212" s="10" t="str">
        <f>"PFES1162630534_0001"</f>
        <v>PFES1162630534_0001</v>
      </c>
      <c r="L1212" s="10">
        <v>1</v>
      </c>
      <c r="M1212" s="10">
        <v>16</v>
      </c>
    </row>
    <row r="1213" spans="1:13">
      <c r="A1213" s="8">
        <v>43270</v>
      </c>
      <c r="B1213" s="9">
        <v>0.69444444444444453</v>
      </c>
      <c r="C1213" s="10" t="str">
        <f>"FES1162630559"</f>
        <v>FES1162630559</v>
      </c>
      <c r="D1213" s="10" t="s">
        <v>19</v>
      </c>
      <c r="E1213" s="10" t="s">
        <v>758</v>
      </c>
      <c r="F1213" s="10" t="str">
        <f>"2170637401 "</f>
        <v xml:space="preserve">2170637401 </v>
      </c>
      <c r="G1213" s="10" t="str">
        <f t="shared" si="36"/>
        <v>ON1</v>
      </c>
      <c r="H1213" s="10" t="s">
        <v>21</v>
      </c>
      <c r="I1213" s="10" t="s">
        <v>759</v>
      </c>
      <c r="J1213" s="10" t="str">
        <f>""</f>
        <v/>
      </c>
      <c r="K1213" s="10" t="str">
        <f>"PFES1162630559_0001"</f>
        <v>PFES1162630559_0001</v>
      </c>
      <c r="L1213" s="10">
        <v>1</v>
      </c>
      <c r="M1213" s="10">
        <v>3</v>
      </c>
    </row>
    <row r="1214" spans="1:13">
      <c r="A1214" s="8">
        <v>43270</v>
      </c>
      <c r="B1214" s="9">
        <v>0.69374999999999998</v>
      </c>
      <c r="C1214" s="10" t="str">
        <f>"FES1162630550"</f>
        <v>FES1162630550</v>
      </c>
      <c r="D1214" s="10" t="s">
        <v>19</v>
      </c>
      <c r="E1214" s="10" t="s">
        <v>760</v>
      </c>
      <c r="F1214" s="10" t="str">
        <f>"2170637244 "</f>
        <v xml:space="preserve">2170637244 </v>
      </c>
      <c r="G1214" s="10" t="str">
        <f t="shared" si="36"/>
        <v>ON1</v>
      </c>
      <c r="H1214" s="10" t="s">
        <v>21</v>
      </c>
      <c r="I1214" s="10" t="s">
        <v>158</v>
      </c>
      <c r="J1214" s="10" t="str">
        <f>""</f>
        <v/>
      </c>
      <c r="K1214" s="10" t="str">
        <f>"PFES1162630550_0001"</f>
        <v>PFES1162630550_0001</v>
      </c>
      <c r="L1214" s="10">
        <v>1</v>
      </c>
      <c r="M1214" s="10">
        <v>2</v>
      </c>
    </row>
    <row r="1215" spans="1:13">
      <c r="A1215" s="8">
        <v>43270</v>
      </c>
      <c r="B1215" s="9">
        <v>0.69305555555555554</v>
      </c>
      <c r="C1215" s="10" t="str">
        <f>"FES1162630540"</f>
        <v>FES1162630540</v>
      </c>
      <c r="D1215" s="10" t="s">
        <v>19</v>
      </c>
      <c r="E1215" s="10" t="s">
        <v>193</v>
      </c>
      <c r="F1215" s="10" t="str">
        <f>"2170637268 "</f>
        <v xml:space="preserve">2170637268 </v>
      </c>
      <c r="G1215" s="10" t="str">
        <f t="shared" si="36"/>
        <v>ON1</v>
      </c>
      <c r="H1215" s="10" t="s">
        <v>21</v>
      </c>
      <c r="I1215" s="10" t="s">
        <v>30</v>
      </c>
      <c r="J1215" s="10" t="str">
        <f>""</f>
        <v/>
      </c>
      <c r="K1215" s="10" t="str">
        <f>"PFES1162630540_0001"</f>
        <v>PFES1162630540_0001</v>
      </c>
      <c r="L1215" s="10">
        <v>1</v>
      </c>
      <c r="M1215" s="10">
        <v>3</v>
      </c>
    </row>
    <row r="1216" spans="1:13">
      <c r="A1216" s="8">
        <v>43270</v>
      </c>
      <c r="B1216" s="9">
        <v>0.69236111111111109</v>
      </c>
      <c r="C1216" s="10" t="str">
        <f>"FES1162630541"</f>
        <v>FES1162630541</v>
      </c>
      <c r="D1216" s="10" t="s">
        <v>19</v>
      </c>
      <c r="E1216" s="10" t="s">
        <v>621</v>
      </c>
      <c r="F1216" s="10" t="str">
        <f>"2170637489 "</f>
        <v xml:space="preserve">2170637489 </v>
      </c>
      <c r="G1216" s="10" t="str">
        <f t="shared" si="36"/>
        <v>ON1</v>
      </c>
      <c r="H1216" s="10" t="s">
        <v>21</v>
      </c>
      <c r="I1216" s="10" t="s">
        <v>622</v>
      </c>
      <c r="J1216" s="10" t="str">
        <f>""</f>
        <v/>
      </c>
      <c r="K1216" s="10" t="str">
        <f>"PFES1162630541_0001"</f>
        <v>PFES1162630541_0001</v>
      </c>
      <c r="L1216" s="10">
        <v>1</v>
      </c>
      <c r="M1216" s="10">
        <v>2</v>
      </c>
    </row>
    <row r="1217" spans="1:13">
      <c r="A1217" s="8">
        <v>43270</v>
      </c>
      <c r="B1217" s="9">
        <v>0.69236111111111109</v>
      </c>
      <c r="C1217" s="10" t="str">
        <f>"FES1162630558"</f>
        <v>FES1162630558</v>
      </c>
      <c r="D1217" s="10" t="s">
        <v>19</v>
      </c>
      <c r="E1217" s="10" t="s">
        <v>761</v>
      </c>
      <c r="F1217" s="10" t="str">
        <f>"2017063504 "</f>
        <v xml:space="preserve">2017063504 </v>
      </c>
      <c r="G1217" s="10" t="str">
        <f t="shared" si="36"/>
        <v>ON1</v>
      </c>
      <c r="H1217" s="10" t="s">
        <v>21</v>
      </c>
      <c r="I1217" s="10" t="s">
        <v>104</v>
      </c>
      <c r="J1217" s="10" t="str">
        <f>"AS PER TONY"</f>
        <v>AS PER TONY</v>
      </c>
      <c r="K1217" s="10" t="str">
        <f>"PFES1162630558_0001"</f>
        <v>PFES1162630558_0001</v>
      </c>
      <c r="L1217" s="10">
        <v>1</v>
      </c>
      <c r="M1217" s="10">
        <v>1</v>
      </c>
    </row>
    <row r="1218" spans="1:13">
      <c r="A1218" s="8">
        <v>43270</v>
      </c>
      <c r="B1218" s="9">
        <v>0.69236111111111109</v>
      </c>
      <c r="C1218" s="10" t="str">
        <f>"FES1162630555"</f>
        <v>FES1162630555</v>
      </c>
      <c r="D1218" s="10" t="s">
        <v>19</v>
      </c>
      <c r="E1218" s="10" t="s">
        <v>74</v>
      </c>
      <c r="F1218" s="10" t="str">
        <f>"2170637500 "</f>
        <v xml:space="preserve">2170637500 </v>
      </c>
      <c r="G1218" s="10" t="str">
        <f t="shared" si="36"/>
        <v>ON1</v>
      </c>
      <c r="H1218" s="10" t="s">
        <v>21</v>
      </c>
      <c r="I1218" s="10" t="s">
        <v>75</v>
      </c>
      <c r="J1218" s="10" t="str">
        <f>""</f>
        <v/>
      </c>
      <c r="K1218" s="10" t="str">
        <f>"PFES1162630555_0001"</f>
        <v>PFES1162630555_0001</v>
      </c>
      <c r="L1218" s="10">
        <v>1</v>
      </c>
      <c r="M1218" s="10">
        <v>2</v>
      </c>
    </row>
    <row r="1219" spans="1:13">
      <c r="A1219" s="8">
        <v>43270</v>
      </c>
      <c r="B1219" s="9">
        <v>0.69097222222222221</v>
      </c>
      <c r="C1219" s="10" t="str">
        <f>"FES1162630488"</f>
        <v>FES1162630488</v>
      </c>
      <c r="D1219" s="10" t="s">
        <v>19</v>
      </c>
      <c r="E1219" s="10" t="s">
        <v>762</v>
      </c>
      <c r="F1219" s="10" t="str">
        <f>"2170637413 "</f>
        <v xml:space="preserve">2170637413 </v>
      </c>
      <c r="G1219" s="10" t="str">
        <f>"DBC"</f>
        <v>DBC</v>
      </c>
      <c r="H1219" s="10" t="s">
        <v>21</v>
      </c>
      <c r="I1219" s="10" t="s">
        <v>353</v>
      </c>
      <c r="J1219" s="10" t="str">
        <f>"GREASE"</f>
        <v>GREASE</v>
      </c>
      <c r="K1219" s="10" t="str">
        <f>"PFES1162630488_0001"</f>
        <v>PFES1162630488_0001</v>
      </c>
      <c r="L1219" s="10">
        <v>1</v>
      </c>
      <c r="M1219" s="10">
        <v>1</v>
      </c>
    </row>
    <row r="1220" spans="1:13">
      <c r="A1220" s="8">
        <v>43270</v>
      </c>
      <c r="B1220" s="9">
        <v>0.69097222222222221</v>
      </c>
      <c r="C1220" s="10" t="str">
        <f>"FES1162630533"</f>
        <v>FES1162630533</v>
      </c>
      <c r="D1220" s="10" t="s">
        <v>19</v>
      </c>
      <c r="E1220" s="10" t="s">
        <v>263</v>
      </c>
      <c r="F1220" s="10" t="str">
        <f>"2170634716 "</f>
        <v xml:space="preserve">2170634716 </v>
      </c>
      <c r="G1220" s="10" t="str">
        <f t="shared" ref="G1220:G1251" si="37">"ON1"</f>
        <v>ON1</v>
      </c>
      <c r="H1220" s="10" t="s">
        <v>21</v>
      </c>
      <c r="I1220" s="10" t="s">
        <v>230</v>
      </c>
      <c r="J1220" s="10" t="str">
        <f>""</f>
        <v/>
      </c>
      <c r="K1220" s="10" t="str">
        <f>"PFES1162630533_0001"</f>
        <v>PFES1162630533_0001</v>
      </c>
      <c r="L1220" s="10">
        <v>1</v>
      </c>
      <c r="M1220" s="10">
        <v>1</v>
      </c>
    </row>
    <row r="1221" spans="1:13">
      <c r="A1221" s="8">
        <v>43270</v>
      </c>
      <c r="B1221" s="9">
        <v>0.68958333333333333</v>
      </c>
      <c r="C1221" s="10" t="str">
        <f>"FES1162630440"</f>
        <v>FES1162630440</v>
      </c>
      <c r="D1221" s="10" t="s">
        <v>19</v>
      </c>
      <c r="E1221" s="10" t="s">
        <v>565</v>
      </c>
      <c r="F1221" s="10" t="str">
        <f>"2170637365 "</f>
        <v xml:space="preserve">2170637365 </v>
      </c>
      <c r="G1221" s="10" t="str">
        <f t="shared" si="37"/>
        <v>ON1</v>
      </c>
      <c r="H1221" s="10" t="s">
        <v>21</v>
      </c>
      <c r="I1221" s="10" t="s">
        <v>26</v>
      </c>
      <c r="J1221" s="10" t="str">
        <f>""</f>
        <v/>
      </c>
      <c r="K1221" s="10" t="str">
        <f>"PFES1162630440_0001"</f>
        <v>PFES1162630440_0001</v>
      </c>
      <c r="L1221" s="10">
        <v>1</v>
      </c>
      <c r="M1221" s="10">
        <v>2</v>
      </c>
    </row>
    <row r="1222" spans="1:13">
      <c r="A1222" s="8">
        <v>43270</v>
      </c>
      <c r="B1222" s="9">
        <v>0.68888888888888899</v>
      </c>
      <c r="C1222" s="10" t="str">
        <f>"FES1162630477"</f>
        <v>FES1162630477</v>
      </c>
      <c r="D1222" s="10" t="s">
        <v>19</v>
      </c>
      <c r="E1222" s="10" t="s">
        <v>547</v>
      </c>
      <c r="F1222" s="10" t="str">
        <f>"2170637409 "</f>
        <v xml:space="preserve">2170637409 </v>
      </c>
      <c r="G1222" s="10" t="str">
        <f t="shared" si="37"/>
        <v>ON1</v>
      </c>
      <c r="H1222" s="10" t="s">
        <v>21</v>
      </c>
      <c r="I1222" s="10" t="s">
        <v>763</v>
      </c>
      <c r="J1222" s="10" t="str">
        <f>""</f>
        <v/>
      </c>
      <c r="K1222" s="10" t="str">
        <f>"PFES1162630477_0001"</f>
        <v>PFES1162630477_0001</v>
      </c>
      <c r="L1222" s="10">
        <v>1</v>
      </c>
      <c r="M1222" s="10">
        <v>3</v>
      </c>
    </row>
    <row r="1223" spans="1:13">
      <c r="A1223" s="8">
        <v>43270</v>
      </c>
      <c r="B1223" s="9">
        <v>0.68819444444444444</v>
      </c>
      <c r="C1223" s="10" t="str">
        <f>"FES1162630551"</f>
        <v>FES1162630551</v>
      </c>
      <c r="D1223" s="10" t="s">
        <v>19</v>
      </c>
      <c r="E1223" s="10" t="s">
        <v>456</v>
      </c>
      <c r="F1223" s="10" t="str">
        <f>"2170637480 "</f>
        <v xml:space="preserve">2170637480 </v>
      </c>
      <c r="G1223" s="10" t="str">
        <f t="shared" si="37"/>
        <v>ON1</v>
      </c>
      <c r="H1223" s="10" t="s">
        <v>21</v>
      </c>
      <c r="I1223" s="10" t="s">
        <v>764</v>
      </c>
      <c r="J1223" s="10" t="str">
        <f>""</f>
        <v/>
      </c>
      <c r="K1223" s="10" t="str">
        <f>"PFES1162630551_0001"</f>
        <v>PFES1162630551_0001</v>
      </c>
      <c r="L1223" s="10">
        <v>1</v>
      </c>
      <c r="M1223" s="10">
        <v>8</v>
      </c>
    </row>
    <row r="1224" spans="1:13">
      <c r="A1224" s="8">
        <v>43270</v>
      </c>
      <c r="B1224" s="9">
        <v>0.68680555555555556</v>
      </c>
      <c r="C1224" s="10" t="str">
        <f>"FES1162630563"</f>
        <v>FES1162630563</v>
      </c>
      <c r="D1224" s="10" t="s">
        <v>19</v>
      </c>
      <c r="E1224" s="10" t="s">
        <v>434</v>
      </c>
      <c r="F1224" s="10" t="str">
        <f>"2170637510 "</f>
        <v xml:space="preserve">2170637510 </v>
      </c>
      <c r="G1224" s="10" t="str">
        <f t="shared" si="37"/>
        <v>ON1</v>
      </c>
      <c r="H1224" s="10" t="s">
        <v>21</v>
      </c>
      <c r="I1224" s="10" t="s">
        <v>112</v>
      </c>
      <c r="J1224" s="10" t="str">
        <f>""</f>
        <v/>
      </c>
      <c r="K1224" s="10" t="str">
        <f>"PFES1162630563_0001"</f>
        <v>PFES1162630563_0001</v>
      </c>
      <c r="L1224" s="10">
        <v>1</v>
      </c>
      <c r="M1224" s="10">
        <v>1</v>
      </c>
    </row>
    <row r="1225" spans="1:13">
      <c r="A1225" s="8">
        <v>43270</v>
      </c>
      <c r="B1225" s="9">
        <v>0.68680555555555556</v>
      </c>
      <c r="C1225" s="10" t="str">
        <f>"FES1162630362"</f>
        <v>FES1162630362</v>
      </c>
      <c r="D1225" s="10" t="s">
        <v>19</v>
      </c>
      <c r="E1225" s="10" t="s">
        <v>123</v>
      </c>
      <c r="F1225" s="10" t="str">
        <f>"2170635005 "</f>
        <v xml:space="preserve">2170635005 </v>
      </c>
      <c r="G1225" s="10" t="str">
        <f t="shared" si="37"/>
        <v>ON1</v>
      </c>
      <c r="H1225" s="10" t="s">
        <v>21</v>
      </c>
      <c r="I1225" s="10" t="s">
        <v>51</v>
      </c>
      <c r="J1225" s="10" t="str">
        <f>""</f>
        <v/>
      </c>
      <c r="K1225" s="10" t="str">
        <f>"PFES1162630362_0001"</f>
        <v>PFES1162630362_0001</v>
      </c>
      <c r="L1225" s="10">
        <v>1</v>
      </c>
      <c r="M1225" s="10">
        <v>3</v>
      </c>
    </row>
    <row r="1226" spans="1:13">
      <c r="A1226" s="8">
        <v>43270</v>
      </c>
      <c r="B1226" s="9">
        <v>0.68611111111111101</v>
      </c>
      <c r="C1226" s="10" t="str">
        <f>"FES1162630561"</f>
        <v>FES1162630561</v>
      </c>
      <c r="D1226" s="10" t="s">
        <v>19</v>
      </c>
      <c r="E1226" s="10" t="s">
        <v>64</v>
      </c>
      <c r="F1226" s="10" t="str">
        <f>"2170637170 "</f>
        <v xml:space="preserve">2170637170 </v>
      </c>
      <c r="G1226" s="10" t="str">
        <f t="shared" si="37"/>
        <v>ON1</v>
      </c>
      <c r="H1226" s="10" t="s">
        <v>21</v>
      </c>
      <c r="I1226" s="10" t="s">
        <v>40</v>
      </c>
      <c r="J1226" s="10" t="str">
        <f>""</f>
        <v/>
      </c>
      <c r="K1226" s="10" t="str">
        <f>"PFES1162630561_0001"</f>
        <v>PFES1162630561_0001</v>
      </c>
      <c r="L1226" s="10">
        <v>1</v>
      </c>
      <c r="M1226" s="10">
        <v>1</v>
      </c>
    </row>
    <row r="1227" spans="1:13">
      <c r="A1227" s="8">
        <v>43270</v>
      </c>
      <c r="B1227" s="9">
        <v>0.68611111111111101</v>
      </c>
      <c r="C1227" s="10" t="str">
        <f>"FES1162630545"</f>
        <v>FES1162630545</v>
      </c>
      <c r="D1227" s="10" t="s">
        <v>19</v>
      </c>
      <c r="E1227" s="10" t="s">
        <v>29</v>
      </c>
      <c r="F1227" s="10" t="str">
        <f>"2170637493 "</f>
        <v xml:space="preserve">2170637493 </v>
      </c>
      <c r="G1227" s="10" t="str">
        <f t="shared" si="37"/>
        <v>ON1</v>
      </c>
      <c r="H1227" s="10" t="s">
        <v>21</v>
      </c>
      <c r="I1227" s="10" t="s">
        <v>30</v>
      </c>
      <c r="J1227" s="10" t="str">
        <f>""</f>
        <v/>
      </c>
      <c r="K1227" s="10" t="str">
        <f>"PFES1162630545_0001"</f>
        <v>PFES1162630545_0001</v>
      </c>
      <c r="L1227" s="10">
        <v>1</v>
      </c>
      <c r="M1227" s="10">
        <v>1</v>
      </c>
    </row>
    <row r="1228" spans="1:13">
      <c r="A1228" s="8">
        <v>43270</v>
      </c>
      <c r="B1228" s="9">
        <v>0.68611111111111101</v>
      </c>
      <c r="C1228" s="10" t="str">
        <f>"FES1162630531"</f>
        <v>FES1162630531</v>
      </c>
      <c r="D1228" s="10" t="s">
        <v>19</v>
      </c>
      <c r="E1228" s="10" t="s">
        <v>765</v>
      </c>
      <c r="F1228" s="10" t="str">
        <f>"2170637479 "</f>
        <v xml:space="preserve">2170637479 </v>
      </c>
      <c r="G1228" s="10" t="str">
        <f t="shared" si="37"/>
        <v>ON1</v>
      </c>
      <c r="H1228" s="10" t="s">
        <v>21</v>
      </c>
      <c r="I1228" s="10" t="s">
        <v>26</v>
      </c>
      <c r="J1228" s="10" t="str">
        <f>""</f>
        <v/>
      </c>
      <c r="K1228" s="10" t="str">
        <f>"PFES1162630531_0001"</f>
        <v>PFES1162630531_0001</v>
      </c>
      <c r="L1228" s="10">
        <v>1</v>
      </c>
      <c r="M1228" s="10">
        <v>1</v>
      </c>
    </row>
    <row r="1229" spans="1:13">
      <c r="A1229" s="8">
        <v>43270</v>
      </c>
      <c r="B1229" s="9">
        <v>0.68333333333333324</v>
      </c>
      <c r="C1229" s="10" t="str">
        <f>"FES1162630523"</f>
        <v>FES1162630523</v>
      </c>
      <c r="D1229" s="10" t="s">
        <v>19</v>
      </c>
      <c r="E1229" s="10" t="s">
        <v>408</v>
      </c>
      <c r="F1229" s="10" t="str">
        <f>"217063764 "</f>
        <v xml:space="preserve">217063764 </v>
      </c>
      <c r="G1229" s="10" t="str">
        <f t="shared" si="37"/>
        <v>ON1</v>
      </c>
      <c r="H1229" s="10" t="s">
        <v>21</v>
      </c>
      <c r="I1229" s="10" t="s">
        <v>297</v>
      </c>
      <c r="J1229" s="10" t="str">
        <f>""</f>
        <v/>
      </c>
      <c r="K1229" s="10" t="str">
        <f>"PFES1162630523_0001"</f>
        <v>PFES1162630523_0001</v>
      </c>
      <c r="L1229" s="10">
        <v>1</v>
      </c>
      <c r="M1229" s="10">
        <v>1</v>
      </c>
    </row>
    <row r="1230" spans="1:13">
      <c r="A1230" s="8">
        <v>43270</v>
      </c>
      <c r="B1230" s="9">
        <v>0.68333333333333324</v>
      </c>
      <c r="C1230" s="10" t="str">
        <f>"FES1162630530"</f>
        <v>FES1162630530</v>
      </c>
      <c r="D1230" s="10" t="s">
        <v>19</v>
      </c>
      <c r="E1230" s="10" t="s">
        <v>119</v>
      </c>
      <c r="F1230" s="10" t="str">
        <f>"2170637478 "</f>
        <v xml:space="preserve">2170637478 </v>
      </c>
      <c r="G1230" s="10" t="str">
        <f t="shared" si="37"/>
        <v>ON1</v>
      </c>
      <c r="H1230" s="10" t="s">
        <v>21</v>
      </c>
      <c r="I1230" s="10" t="s">
        <v>83</v>
      </c>
      <c r="J1230" s="10" t="str">
        <f>""</f>
        <v/>
      </c>
      <c r="K1230" s="10" t="str">
        <f>"PFES1162630530_0001"</f>
        <v>PFES1162630530_0001</v>
      </c>
      <c r="L1230" s="10">
        <v>1</v>
      </c>
      <c r="M1230" s="10">
        <v>1</v>
      </c>
    </row>
    <row r="1231" spans="1:13">
      <c r="A1231" s="8">
        <v>43270</v>
      </c>
      <c r="B1231" s="9">
        <v>0.68333333333333324</v>
      </c>
      <c r="C1231" s="10" t="str">
        <f>"FES1162630519"</f>
        <v>FES1162630519</v>
      </c>
      <c r="D1231" s="10" t="s">
        <v>19</v>
      </c>
      <c r="E1231" s="10" t="s">
        <v>557</v>
      </c>
      <c r="F1231" s="10" t="str">
        <f>"2170637428 "</f>
        <v xml:space="preserve">2170637428 </v>
      </c>
      <c r="G1231" s="10" t="str">
        <f t="shared" si="37"/>
        <v>ON1</v>
      </c>
      <c r="H1231" s="10" t="s">
        <v>21</v>
      </c>
      <c r="I1231" s="10" t="s">
        <v>558</v>
      </c>
      <c r="J1231" s="10" t="str">
        <f>""</f>
        <v/>
      </c>
      <c r="K1231" s="10" t="str">
        <f>"PFES1162630519_0001"</f>
        <v>PFES1162630519_0001</v>
      </c>
      <c r="L1231" s="10">
        <v>1</v>
      </c>
      <c r="M1231" s="10">
        <v>4</v>
      </c>
    </row>
    <row r="1232" spans="1:13">
      <c r="A1232" s="8">
        <v>43270</v>
      </c>
      <c r="B1232" s="9">
        <v>0.68333333333333324</v>
      </c>
      <c r="C1232" s="10" t="str">
        <f>"FES1162630539"</f>
        <v>FES1162630539</v>
      </c>
      <c r="D1232" s="10" t="s">
        <v>19</v>
      </c>
      <c r="E1232" s="10" t="s">
        <v>29</v>
      </c>
      <c r="F1232" s="10" t="str">
        <f>"2170637487 "</f>
        <v xml:space="preserve">2170637487 </v>
      </c>
      <c r="G1232" s="10" t="str">
        <f t="shared" si="37"/>
        <v>ON1</v>
      </c>
      <c r="H1232" s="10" t="s">
        <v>21</v>
      </c>
      <c r="I1232" s="10" t="s">
        <v>30</v>
      </c>
      <c r="J1232" s="10" t="str">
        <f>""</f>
        <v/>
      </c>
      <c r="K1232" s="10" t="str">
        <f>"PFES1162630539_0001"</f>
        <v>PFES1162630539_0001</v>
      </c>
      <c r="L1232" s="10">
        <v>1</v>
      </c>
      <c r="M1232" s="10">
        <v>1</v>
      </c>
    </row>
    <row r="1233" spans="1:13">
      <c r="A1233" s="8">
        <v>43270</v>
      </c>
      <c r="B1233" s="9">
        <v>0.68263888888888891</v>
      </c>
      <c r="C1233" s="10" t="str">
        <f>"FES1162630465"</f>
        <v>FES1162630465</v>
      </c>
      <c r="D1233" s="10" t="s">
        <v>19</v>
      </c>
      <c r="E1233" s="10" t="s">
        <v>766</v>
      </c>
      <c r="F1233" s="10" t="str">
        <f>"2170637400 "</f>
        <v xml:space="preserve">2170637400 </v>
      </c>
      <c r="G1233" s="10" t="str">
        <f t="shared" si="37"/>
        <v>ON1</v>
      </c>
      <c r="H1233" s="10" t="s">
        <v>21</v>
      </c>
      <c r="I1233" s="10" t="s">
        <v>767</v>
      </c>
      <c r="J1233" s="10" t="str">
        <f>""</f>
        <v/>
      </c>
      <c r="K1233" s="10" t="str">
        <f>"PFES1162630465_0001"</f>
        <v>PFES1162630465_0001</v>
      </c>
      <c r="L1233" s="10">
        <v>1</v>
      </c>
      <c r="M1233" s="10">
        <v>1</v>
      </c>
    </row>
    <row r="1234" spans="1:13">
      <c r="A1234" s="8">
        <v>43270</v>
      </c>
      <c r="B1234" s="9">
        <v>0.68263888888888891</v>
      </c>
      <c r="C1234" s="10" t="str">
        <f>"FES1162630556"</f>
        <v>FES1162630556</v>
      </c>
      <c r="D1234" s="10" t="s">
        <v>19</v>
      </c>
      <c r="E1234" s="10" t="s">
        <v>123</v>
      </c>
      <c r="F1234" s="10" t="str">
        <f>"2170637501 "</f>
        <v xml:space="preserve">2170637501 </v>
      </c>
      <c r="G1234" s="10" t="str">
        <f t="shared" si="37"/>
        <v>ON1</v>
      </c>
      <c r="H1234" s="10" t="s">
        <v>21</v>
      </c>
      <c r="I1234" s="10" t="s">
        <v>26</v>
      </c>
      <c r="J1234" s="10" t="str">
        <f>""</f>
        <v/>
      </c>
      <c r="K1234" s="10" t="str">
        <f>"PFES1162630556_0001"</f>
        <v>PFES1162630556_0001</v>
      </c>
      <c r="L1234" s="10">
        <v>1</v>
      </c>
      <c r="M1234" s="10">
        <v>1</v>
      </c>
    </row>
    <row r="1235" spans="1:13">
      <c r="A1235" s="8">
        <v>43270</v>
      </c>
      <c r="B1235" s="9">
        <v>0.68194444444444446</v>
      </c>
      <c r="C1235" s="10" t="str">
        <f>"FES1162630542"</f>
        <v>FES1162630542</v>
      </c>
      <c r="D1235" s="10" t="s">
        <v>19</v>
      </c>
      <c r="E1235" s="10" t="s">
        <v>768</v>
      </c>
      <c r="F1235" s="10" t="str">
        <f>"2170637490 "</f>
        <v xml:space="preserve">2170637490 </v>
      </c>
      <c r="G1235" s="10" t="str">
        <f t="shared" si="37"/>
        <v>ON1</v>
      </c>
      <c r="H1235" s="10" t="s">
        <v>21</v>
      </c>
      <c r="I1235" s="10" t="s">
        <v>172</v>
      </c>
      <c r="J1235" s="10" t="str">
        <f>""</f>
        <v/>
      </c>
      <c r="K1235" s="10" t="str">
        <f>"PFES1162630542_0001"</f>
        <v>PFES1162630542_0001</v>
      </c>
      <c r="L1235" s="10">
        <v>1</v>
      </c>
      <c r="M1235" s="10">
        <v>1</v>
      </c>
    </row>
    <row r="1236" spans="1:13">
      <c r="A1236" s="8">
        <v>43270</v>
      </c>
      <c r="B1236" s="9">
        <v>0.68194444444444446</v>
      </c>
      <c r="C1236" s="10" t="str">
        <f>"FES1162630553"</f>
        <v>FES1162630553</v>
      </c>
      <c r="D1236" s="10" t="s">
        <v>19</v>
      </c>
      <c r="E1236" s="10" t="s">
        <v>286</v>
      </c>
      <c r="F1236" s="10" t="str">
        <f>"2170637498 "</f>
        <v xml:space="preserve">2170637498 </v>
      </c>
      <c r="G1236" s="10" t="str">
        <f t="shared" si="37"/>
        <v>ON1</v>
      </c>
      <c r="H1236" s="10" t="s">
        <v>21</v>
      </c>
      <c r="I1236" s="10" t="s">
        <v>79</v>
      </c>
      <c r="J1236" s="10" t="str">
        <f>""</f>
        <v/>
      </c>
      <c r="K1236" s="10" t="str">
        <f>"PFES1162630553_0001"</f>
        <v>PFES1162630553_0001</v>
      </c>
      <c r="L1236" s="10">
        <v>1</v>
      </c>
      <c r="M1236" s="10">
        <v>1</v>
      </c>
    </row>
    <row r="1237" spans="1:13">
      <c r="A1237" s="8">
        <v>43270</v>
      </c>
      <c r="B1237" s="9">
        <v>0.68194444444444446</v>
      </c>
      <c r="C1237" s="10" t="str">
        <f>"FES1162630557"</f>
        <v>FES1162630557</v>
      </c>
      <c r="D1237" s="10" t="s">
        <v>19</v>
      </c>
      <c r="E1237" s="10" t="s">
        <v>769</v>
      </c>
      <c r="F1237" s="10" t="str">
        <f>"2170637502 "</f>
        <v xml:space="preserve">2170637502 </v>
      </c>
      <c r="G1237" s="10" t="str">
        <f t="shared" si="37"/>
        <v>ON1</v>
      </c>
      <c r="H1237" s="10" t="s">
        <v>21</v>
      </c>
      <c r="I1237" s="10" t="s">
        <v>42</v>
      </c>
      <c r="J1237" s="10" t="str">
        <f>""</f>
        <v/>
      </c>
      <c r="K1237" s="10" t="str">
        <f>"PFES1162630557_0001"</f>
        <v>PFES1162630557_0001</v>
      </c>
      <c r="L1237" s="10">
        <v>1</v>
      </c>
      <c r="M1237" s="10">
        <v>1</v>
      </c>
    </row>
    <row r="1238" spans="1:13">
      <c r="A1238" s="8">
        <v>43270</v>
      </c>
      <c r="B1238" s="9">
        <v>0.68125000000000002</v>
      </c>
      <c r="C1238" s="10" t="str">
        <f>"FES1162630346"</f>
        <v>FES1162630346</v>
      </c>
      <c r="D1238" s="10" t="s">
        <v>19</v>
      </c>
      <c r="E1238" s="10" t="s">
        <v>514</v>
      </c>
      <c r="F1238" s="10" t="str">
        <f>"2170630346 "</f>
        <v xml:space="preserve">2170630346 </v>
      </c>
      <c r="G1238" s="10" t="str">
        <f t="shared" si="37"/>
        <v>ON1</v>
      </c>
      <c r="H1238" s="10" t="s">
        <v>21</v>
      </c>
      <c r="I1238" s="10" t="s">
        <v>59</v>
      </c>
      <c r="J1238" s="10" t="str">
        <f>""</f>
        <v/>
      </c>
      <c r="K1238" s="10" t="str">
        <f>"PFES1162630346_0001"</f>
        <v>PFES1162630346_0001</v>
      </c>
      <c r="L1238" s="10">
        <v>1</v>
      </c>
      <c r="M1238" s="10">
        <v>2</v>
      </c>
    </row>
    <row r="1239" spans="1:13">
      <c r="A1239" s="8">
        <v>43270</v>
      </c>
      <c r="B1239" s="9">
        <v>0.68125000000000002</v>
      </c>
      <c r="C1239" s="10" t="str">
        <f>"FES1162630505"</f>
        <v>FES1162630505</v>
      </c>
      <c r="D1239" s="10" t="s">
        <v>19</v>
      </c>
      <c r="E1239" s="10" t="s">
        <v>92</v>
      </c>
      <c r="F1239" s="10" t="str">
        <f>"2170637442 "</f>
        <v xml:space="preserve">2170637442 </v>
      </c>
      <c r="G1239" s="10" t="str">
        <f t="shared" si="37"/>
        <v>ON1</v>
      </c>
      <c r="H1239" s="10" t="s">
        <v>21</v>
      </c>
      <c r="I1239" s="10" t="s">
        <v>93</v>
      </c>
      <c r="J1239" s="10" t="str">
        <f>""</f>
        <v/>
      </c>
      <c r="K1239" s="10" t="str">
        <f>"PFES1162630505_0001"</f>
        <v>PFES1162630505_0001</v>
      </c>
      <c r="L1239" s="10">
        <v>1</v>
      </c>
      <c r="M1239" s="10">
        <v>1</v>
      </c>
    </row>
    <row r="1240" spans="1:13">
      <c r="A1240" s="8">
        <v>43270</v>
      </c>
      <c r="B1240" s="9">
        <v>0.68125000000000002</v>
      </c>
      <c r="C1240" s="10" t="str">
        <f>"FES1162630549"</f>
        <v>FES1162630549</v>
      </c>
      <c r="D1240" s="10" t="s">
        <v>19</v>
      </c>
      <c r="E1240" s="10" t="s">
        <v>760</v>
      </c>
      <c r="F1240" s="10" t="str">
        <f>"2170637127 "</f>
        <v xml:space="preserve">2170637127 </v>
      </c>
      <c r="G1240" s="10" t="str">
        <f t="shared" si="37"/>
        <v>ON1</v>
      </c>
      <c r="H1240" s="10" t="s">
        <v>21</v>
      </c>
      <c r="I1240" s="10" t="s">
        <v>158</v>
      </c>
      <c r="J1240" s="10" t="str">
        <f>""</f>
        <v/>
      </c>
      <c r="K1240" s="10" t="str">
        <f>"PFES1162630549_0001"</f>
        <v>PFES1162630549_0001</v>
      </c>
      <c r="L1240" s="10">
        <v>1</v>
      </c>
      <c r="M1240" s="10">
        <v>1</v>
      </c>
    </row>
    <row r="1241" spans="1:13">
      <c r="A1241" s="8">
        <v>43270</v>
      </c>
      <c r="B1241" s="9">
        <v>0.68055555555555547</v>
      </c>
      <c r="C1241" s="10" t="str">
        <f>"FES1162630544"</f>
        <v>FES1162630544</v>
      </c>
      <c r="D1241" s="10" t="s">
        <v>19</v>
      </c>
      <c r="E1241" s="10" t="s">
        <v>335</v>
      </c>
      <c r="F1241" s="10" t="str">
        <f>"2170637492 "</f>
        <v xml:space="preserve">2170637492 </v>
      </c>
      <c r="G1241" s="10" t="str">
        <f t="shared" si="37"/>
        <v>ON1</v>
      </c>
      <c r="H1241" s="10" t="s">
        <v>21</v>
      </c>
      <c r="I1241" s="10" t="s">
        <v>336</v>
      </c>
      <c r="J1241" s="10" t="str">
        <f>""</f>
        <v/>
      </c>
      <c r="K1241" s="10" t="str">
        <f>"PFES1162630544_0001"</f>
        <v>PFES1162630544_0001</v>
      </c>
      <c r="L1241" s="10">
        <v>1</v>
      </c>
      <c r="M1241" s="10">
        <v>1</v>
      </c>
    </row>
    <row r="1242" spans="1:13">
      <c r="A1242" s="8">
        <v>43270</v>
      </c>
      <c r="B1242" s="9">
        <v>0.68055555555555547</v>
      </c>
      <c r="C1242" s="10" t="str">
        <f>"FES1162630479"</f>
        <v>FES1162630479</v>
      </c>
      <c r="D1242" s="10" t="s">
        <v>19</v>
      </c>
      <c r="E1242" s="10" t="s">
        <v>278</v>
      </c>
      <c r="F1242" s="10" t="str">
        <f>"2170635882 "</f>
        <v xml:space="preserve">2170635882 </v>
      </c>
      <c r="G1242" s="10" t="str">
        <f t="shared" si="37"/>
        <v>ON1</v>
      </c>
      <c r="H1242" s="10" t="s">
        <v>21</v>
      </c>
      <c r="I1242" s="10" t="s">
        <v>279</v>
      </c>
      <c r="J1242" s="10" t="str">
        <f>""</f>
        <v/>
      </c>
      <c r="K1242" s="10" t="str">
        <f>"PFES1162630479_0001"</f>
        <v>PFES1162630479_0001</v>
      </c>
      <c r="L1242" s="10">
        <v>1</v>
      </c>
      <c r="M1242" s="10">
        <v>1</v>
      </c>
    </row>
    <row r="1243" spans="1:13">
      <c r="A1243" s="8">
        <v>43270</v>
      </c>
      <c r="B1243" s="9">
        <v>0.67222222222222217</v>
      </c>
      <c r="C1243" s="10" t="str">
        <f>"FES1162630525"</f>
        <v>FES1162630525</v>
      </c>
      <c r="D1243" s="10" t="s">
        <v>19</v>
      </c>
      <c r="E1243" s="10" t="s">
        <v>325</v>
      </c>
      <c r="F1243" s="10" t="str">
        <f>"2170637471 "</f>
        <v xml:space="preserve">2170637471 </v>
      </c>
      <c r="G1243" s="10" t="str">
        <f t="shared" si="37"/>
        <v>ON1</v>
      </c>
      <c r="H1243" s="10" t="s">
        <v>21</v>
      </c>
      <c r="I1243" s="10" t="s">
        <v>326</v>
      </c>
      <c r="J1243" s="10" t="str">
        <f>""</f>
        <v/>
      </c>
      <c r="K1243" s="10" t="str">
        <f>"PFES1162630525_0001"</f>
        <v>PFES1162630525_0001</v>
      </c>
      <c r="L1243" s="10">
        <v>1</v>
      </c>
      <c r="M1243" s="10">
        <v>16</v>
      </c>
    </row>
    <row r="1244" spans="1:13">
      <c r="A1244" s="8">
        <v>43270</v>
      </c>
      <c r="B1244" s="9">
        <v>0.67083333333333339</v>
      </c>
      <c r="C1244" s="10" t="str">
        <f>"FES1162630345"</f>
        <v>FES1162630345</v>
      </c>
      <c r="D1244" s="10" t="s">
        <v>19</v>
      </c>
      <c r="E1244" s="10" t="s">
        <v>770</v>
      </c>
      <c r="F1244" s="10" t="str">
        <f>"2170636553 "</f>
        <v xml:space="preserve">2170636553 </v>
      </c>
      <c r="G1244" s="10" t="str">
        <f t="shared" si="37"/>
        <v>ON1</v>
      </c>
      <c r="H1244" s="10" t="s">
        <v>21</v>
      </c>
      <c r="I1244" s="10" t="s">
        <v>63</v>
      </c>
      <c r="J1244" s="10" t="str">
        <f>""</f>
        <v/>
      </c>
      <c r="K1244" s="10" t="str">
        <f>"PFES1162630345_0001"</f>
        <v>PFES1162630345_0001</v>
      </c>
      <c r="L1244" s="10">
        <v>1</v>
      </c>
      <c r="M1244" s="10">
        <v>3</v>
      </c>
    </row>
    <row r="1245" spans="1:13">
      <c r="A1245" s="8">
        <v>43270</v>
      </c>
      <c r="B1245" s="9">
        <v>0.6694444444444444</v>
      </c>
      <c r="C1245" s="10" t="str">
        <f>"FES1162630520"</f>
        <v>FES1162630520</v>
      </c>
      <c r="D1245" s="10" t="s">
        <v>19</v>
      </c>
      <c r="E1245" s="10" t="s">
        <v>184</v>
      </c>
      <c r="F1245" s="10" t="str">
        <f>"2170637440 "</f>
        <v xml:space="preserve">2170637440 </v>
      </c>
      <c r="G1245" s="10" t="str">
        <f t="shared" si="37"/>
        <v>ON1</v>
      </c>
      <c r="H1245" s="10" t="s">
        <v>21</v>
      </c>
      <c r="I1245" s="10" t="s">
        <v>134</v>
      </c>
      <c r="J1245" s="10" t="str">
        <f>""</f>
        <v/>
      </c>
      <c r="K1245" s="10" t="str">
        <f>"PFES1162630520_0001"</f>
        <v>PFES1162630520_0001</v>
      </c>
      <c r="L1245" s="10">
        <v>1</v>
      </c>
      <c r="M1245" s="10">
        <v>1</v>
      </c>
    </row>
    <row r="1246" spans="1:13">
      <c r="A1246" s="8">
        <v>43270</v>
      </c>
      <c r="B1246" s="9">
        <v>0.66805555555555562</v>
      </c>
      <c r="C1246" s="10" t="str">
        <f>"FES1162630528"</f>
        <v>FES1162630528</v>
      </c>
      <c r="D1246" s="10" t="s">
        <v>19</v>
      </c>
      <c r="E1246" s="10" t="s">
        <v>771</v>
      </c>
      <c r="F1246" s="10" t="str">
        <f>"2170637476 "</f>
        <v xml:space="preserve">2170637476 </v>
      </c>
      <c r="G1246" s="10" t="str">
        <f t="shared" si="37"/>
        <v>ON1</v>
      </c>
      <c r="H1246" s="10" t="s">
        <v>21</v>
      </c>
      <c r="I1246" s="10" t="s">
        <v>282</v>
      </c>
      <c r="J1246" s="10" t="str">
        <f>""</f>
        <v/>
      </c>
      <c r="K1246" s="10" t="str">
        <f>"PFES1162630528_0001"</f>
        <v>PFES1162630528_0001</v>
      </c>
      <c r="L1246" s="10">
        <v>1</v>
      </c>
      <c r="M1246" s="10">
        <v>4</v>
      </c>
    </row>
    <row r="1247" spans="1:13">
      <c r="A1247" s="8">
        <v>43270</v>
      </c>
      <c r="B1247" s="9">
        <v>0.66666666666666663</v>
      </c>
      <c r="C1247" s="10" t="str">
        <f>"FES1162630513"</f>
        <v>FES1162630513</v>
      </c>
      <c r="D1247" s="10" t="s">
        <v>19</v>
      </c>
      <c r="E1247" s="10" t="s">
        <v>698</v>
      </c>
      <c r="F1247" s="10" t="str">
        <f>"2170637458 "</f>
        <v xml:space="preserve">2170637458 </v>
      </c>
      <c r="G1247" s="10" t="str">
        <f t="shared" si="37"/>
        <v>ON1</v>
      </c>
      <c r="H1247" s="10" t="s">
        <v>21</v>
      </c>
      <c r="I1247" s="10" t="s">
        <v>170</v>
      </c>
      <c r="J1247" s="10" t="str">
        <f>""</f>
        <v/>
      </c>
      <c r="K1247" s="10" t="str">
        <f>"PFES1162630513_0001"</f>
        <v>PFES1162630513_0001</v>
      </c>
      <c r="L1247" s="10">
        <v>1</v>
      </c>
      <c r="M1247" s="10">
        <v>8</v>
      </c>
    </row>
    <row r="1248" spans="1:13">
      <c r="A1248" s="8">
        <v>43270</v>
      </c>
      <c r="B1248" s="9">
        <v>0.66597222222222219</v>
      </c>
      <c r="C1248" s="10" t="str">
        <f>"FES1162630560"</f>
        <v>FES1162630560</v>
      </c>
      <c r="D1248" s="10" t="s">
        <v>19</v>
      </c>
      <c r="E1248" s="10" t="s">
        <v>314</v>
      </c>
      <c r="F1248" s="10" t="str">
        <f>"2170635716 "</f>
        <v xml:space="preserve">2170635716 </v>
      </c>
      <c r="G1248" s="10" t="str">
        <f t="shared" si="37"/>
        <v>ON1</v>
      </c>
      <c r="H1248" s="10" t="s">
        <v>21</v>
      </c>
      <c r="I1248" s="10" t="s">
        <v>57</v>
      </c>
      <c r="J1248" s="10" t="str">
        <f>""</f>
        <v/>
      </c>
      <c r="K1248" s="10" t="str">
        <f>"PFES1162630560_0001"</f>
        <v>PFES1162630560_0001</v>
      </c>
      <c r="L1248" s="10">
        <v>1</v>
      </c>
      <c r="M1248" s="10">
        <v>1</v>
      </c>
    </row>
    <row r="1249" spans="1:13">
      <c r="A1249" s="8">
        <v>43270</v>
      </c>
      <c r="B1249" s="9">
        <v>0.66527777777777775</v>
      </c>
      <c r="C1249" s="10" t="str">
        <f>"FES1162630514"</f>
        <v>FES1162630514</v>
      </c>
      <c r="D1249" s="10" t="s">
        <v>19</v>
      </c>
      <c r="E1249" s="10" t="s">
        <v>33</v>
      </c>
      <c r="F1249" s="10" t="str">
        <f>"2170637461 "</f>
        <v xml:space="preserve">2170637461 </v>
      </c>
      <c r="G1249" s="10" t="str">
        <f t="shared" si="37"/>
        <v>ON1</v>
      </c>
      <c r="H1249" s="10" t="s">
        <v>21</v>
      </c>
      <c r="I1249" s="10" t="s">
        <v>34</v>
      </c>
      <c r="J1249" s="10" t="str">
        <f>""</f>
        <v/>
      </c>
      <c r="K1249" s="10" t="str">
        <f>"PFES1162630514_0001"</f>
        <v>PFES1162630514_0001</v>
      </c>
      <c r="L1249" s="10">
        <v>1</v>
      </c>
      <c r="M1249" s="10">
        <v>1</v>
      </c>
    </row>
    <row r="1250" spans="1:13">
      <c r="A1250" s="8">
        <v>43270</v>
      </c>
      <c r="B1250" s="9">
        <v>0.66527777777777775</v>
      </c>
      <c r="C1250" s="10" t="str">
        <f>"FES1162630469"</f>
        <v>FES1162630469</v>
      </c>
      <c r="D1250" s="10" t="s">
        <v>19</v>
      </c>
      <c r="E1250" s="10" t="s">
        <v>122</v>
      </c>
      <c r="F1250" s="10" t="str">
        <f>"2170637397 "</f>
        <v xml:space="preserve">2170637397 </v>
      </c>
      <c r="G1250" s="10" t="str">
        <f t="shared" si="37"/>
        <v>ON1</v>
      </c>
      <c r="H1250" s="10" t="s">
        <v>21</v>
      </c>
      <c r="I1250" s="10" t="s">
        <v>75</v>
      </c>
      <c r="J1250" s="10" t="str">
        <f>""</f>
        <v/>
      </c>
      <c r="K1250" s="10" t="str">
        <f>"PFES1162630469_0001"</f>
        <v>PFES1162630469_0001</v>
      </c>
      <c r="L1250" s="10">
        <v>1</v>
      </c>
      <c r="M1250" s="10">
        <v>1</v>
      </c>
    </row>
    <row r="1251" spans="1:13">
      <c r="A1251" s="8">
        <v>43270</v>
      </c>
      <c r="B1251" s="9">
        <v>0.66527777777777775</v>
      </c>
      <c r="C1251" s="10" t="str">
        <f>"FES1162630503"</f>
        <v>FES1162630503</v>
      </c>
      <c r="D1251" s="10" t="s">
        <v>19</v>
      </c>
      <c r="E1251" s="10" t="s">
        <v>117</v>
      </c>
      <c r="F1251" s="10" t="str">
        <f>"2170637436 "</f>
        <v xml:space="preserve">2170637436 </v>
      </c>
      <c r="G1251" s="10" t="str">
        <f t="shared" si="37"/>
        <v>ON1</v>
      </c>
      <c r="H1251" s="10" t="s">
        <v>21</v>
      </c>
      <c r="I1251" s="10" t="s">
        <v>118</v>
      </c>
      <c r="J1251" s="10" t="str">
        <f>""</f>
        <v/>
      </c>
      <c r="K1251" s="10" t="str">
        <f>"PFES1162630503_0001"</f>
        <v>PFES1162630503_0001</v>
      </c>
      <c r="L1251" s="10">
        <v>1</v>
      </c>
      <c r="M1251" s="10">
        <v>1</v>
      </c>
    </row>
    <row r="1252" spans="1:13">
      <c r="A1252" s="8">
        <v>43270</v>
      </c>
      <c r="B1252" s="9">
        <v>0.6645833333333333</v>
      </c>
      <c r="C1252" s="10" t="str">
        <f>"FES1162630484"</f>
        <v>FES1162630484</v>
      </c>
      <c r="D1252" s="10" t="s">
        <v>19</v>
      </c>
      <c r="E1252" s="10" t="s">
        <v>95</v>
      </c>
      <c r="F1252" s="10" t="str">
        <f>"2170637003 "</f>
        <v xml:space="preserve">2170637003 </v>
      </c>
      <c r="G1252" s="10" t="str">
        <f>"DBC"</f>
        <v>DBC</v>
      </c>
      <c r="H1252" s="10" t="s">
        <v>21</v>
      </c>
      <c r="I1252" s="10" t="s">
        <v>96</v>
      </c>
      <c r="J1252" s="10" t="str">
        <f>""</f>
        <v/>
      </c>
      <c r="K1252" s="10" t="str">
        <f>"PFES1162630484_0001"</f>
        <v>PFES1162630484_0001</v>
      </c>
      <c r="L1252" s="10">
        <v>3</v>
      </c>
      <c r="M1252" s="10">
        <v>41</v>
      </c>
    </row>
    <row r="1253" spans="1:13">
      <c r="A1253" s="8">
        <v>43270</v>
      </c>
      <c r="B1253" s="9">
        <v>0.6645833333333333</v>
      </c>
      <c r="C1253" s="10" t="str">
        <f>"FES1162630492"</f>
        <v>FES1162630492</v>
      </c>
      <c r="D1253" s="10" t="s">
        <v>19</v>
      </c>
      <c r="E1253" s="10" t="s">
        <v>772</v>
      </c>
      <c r="F1253" s="10" t="str">
        <f>"2170637430 "</f>
        <v xml:space="preserve">2170637430 </v>
      </c>
      <c r="G1253" s="10" t="str">
        <f t="shared" ref="G1253:G1289" si="38">"ON1"</f>
        <v>ON1</v>
      </c>
      <c r="H1253" s="10" t="s">
        <v>21</v>
      </c>
      <c r="I1253" s="10" t="s">
        <v>773</v>
      </c>
      <c r="J1253" s="10" t="str">
        <f>""</f>
        <v/>
      </c>
      <c r="K1253" s="10" t="str">
        <f>"PFES1162630492_0001"</f>
        <v>PFES1162630492_0001</v>
      </c>
      <c r="L1253" s="10">
        <v>1</v>
      </c>
      <c r="M1253" s="10">
        <v>1</v>
      </c>
    </row>
    <row r="1254" spans="1:13">
      <c r="A1254" s="8">
        <v>43270</v>
      </c>
      <c r="B1254" s="9">
        <v>0.6645833333333333</v>
      </c>
      <c r="C1254" s="10" t="str">
        <f>"FES1162630498"</f>
        <v>FES1162630498</v>
      </c>
      <c r="D1254" s="10" t="s">
        <v>19</v>
      </c>
      <c r="E1254" s="10" t="s">
        <v>140</v>
      </c>
      <c r="F1254" s="10" t="str">
        <f>"2170637426 "</f>
        <v xml:space="preserve">2170637426 </v>
      </c>
      <c r="G1254" s="10" t="str">
        <f t="shared" si="38"/>
        <v>ON1</v>
      </c>
      <c r="H1254" s="10" t="s">
        <v>21</v>
      </c>
      <c r="I1254" s="10" t="s">
        <v>141</v>
      </c>
      <c r="J1254" s="10" t="str">
        <f>""</f>
        <v/>
      </c>
      <c r="K1254" s="10" t="str">
        <f>"PFES1162630498_0001"</f>
        <v>PFES1162630498_0001</v>
      </c>
      <c r="L1254" s="10">
        <v>1</v>
      </c>
      <c r="M1254" s="10">
        <v>1</v>
      </c>
    </row>
    <row r="1255" spans="1:13">
      <c r="A1255" s="8">
        <v>43270</v>
      </c>
      <c r="B1255" s="9">
        <v>0.66388888888888886</v>
      </c>
      <c r="C1255" s="10" t="str">
        <f>"FES1162630510"</f>
        <v>FES1162630510</v>
      </c>
      <c r="D1255" s="10" t="s">
        <v>19</v>
      </c>
      <c r="E1255" s="10" t="s">
        <v>99</v>
      </c>
      <c r="F1255" s="10" t="str">
        <f>"2170637451 "</f>
        <v xml:space="preserve">2170637451 </v>
      </c>
      <c r="G1255" s="10" t="str">
        <f t="shared" si="38"/>
        <v>ON1</v>
      </c>
      <c r="H1255" s="10" t="s">
        <v>21</v>
      </c>
      <c r="I1255" s="10" t="s">
        <v>100</v>
      </c>
      <c r="J1255" s="10" t="str">
        <f>""</f>
        <v/>
      </c>
      <c r="K1255" s="10" t="str">
        <f>"PFES1162630510_0001"</f>
        <v>PFES1162630510_0001</v>
      </c>
      <c r="L1255" s="10">
        <v>1</v>
      </c>
      <c r="M1255" s="10">
        <v>1</v>
      </c>
    </row>
    <row r="1256" spans="1:13">
      <c r="A1256" s="8">
        <v>43270</v>
      </c>
      <c r="B1256" s="9">
        <v>0.66388888888888886</v>
      </c>
      <c r="C1256" s="10" t="str">
        <f>"FES1162630537"</f>
        <v>FES1162630537</v>
      </c>
      <c r="D1256" s="10" t="s">
        <v>19</v>
      </c>
      <c r="E1256" s="10" t="s">
        <v>286</v>
      </c>
      <c r="F1256" s="10" t="str">
        <f>"2170637458 "</f>
        <v xml:space="preserve">2170637458 </v>
      </c>
      <c r="G1256" s="10" t="str">
        <f t="shared" si="38"/>
        <v>ON1</v>
      </c>
      <c r="H1256" s="10" t="s">
        <v>21</v>
      </c>
      <c r="I1256" s="10" t="s">
        <v>79</v>
      </c>
      <c r="J1256" s="10" t="str">
        <f>""</f>
        <v/>
      </c>
      <c r="K1256" s="10" t="str">
        <f>"PFES1162630537_0001"</f>
        <v>PFES1162630537_0001</v>
      </c>
      <c r="L1256" s="10">
        <v>1</v>
      </c>
      <c r="M1256" s="10">
        <v>1</v>
      </c>
    </row>
    <row r="1257" spans="1:13">
      <c r="A1257" s="8">
        <v>43270</v>
      </c>
      <c r="B1257" s="9">
        <v>0.66388888888888886</v>
      </c>
      <c r="C1257" s="10" t="str">
        <f>"FES1162630501"</f>
        <v>FES1162630501</v>
      </c>
      <c r="D1257" s="10" t="s">
        <v>19</v>
      </c>
      <c r="E1257" s="10" t="s">
        <v>429</v>
      </c>
      <c r="F1257" s="10" t="str">
        <f>"2170637431 "</f>
        <v xml:space="preserve">2170637431 </v>
      </c>
      <c r="G1257" s="10" t="str">
        <f t="shared" si="38"/>
        <v>ON1</v>
      </c>
      <c r="H1257" s="10" t="s">
        <v>21</v>
      </c>
      <c r="I1257" s="10" t="s">
        <v>83</v>
      </c>
      <c r="J1257" s="10" t="str">
        <f>""</f>
        <v/>
      </c>
      <c r="K1257" s="10" t="str">
        <f>"PFES1162630501_0001"</f>
        <v>PFES1162630501_0001</v>
      </c>
      <c r="L1257" s="10">
        <v>1</v>
      </c>
      <c r="M1257" s="10">
        <v>1</v>
      </c>
    </row>
    <row r="1258" spans="1:13">
      <c r="A1258" s="8">
        <v>43270</v>
      </c>
      <c r="B1258" s="9">
        <v>0.66319444444444442</v>
      </c>
      <c r="C1258" s="10" t="str">
        <f>"FES1162630527"</f>
        <v>FES1162630527</v>
      </c>
      <c r="D1258" s="10" t="s">
        <v>19</v>
      </c>
      <c r="E1258" s="10" t="s">
        <v>402</v>
      </c>
      <c r="F1258" s="10" t="str">
        <f>"2170637474 "</f>
        <v xml:space="preserve">2170637474 </v>
      </c>
      <c r="G1258" s="10" t="str">
        <f t="shared" si="38"/>
        <v>ON1</v>
      </c>
      <c r="H1258" s="10" t="s">
        <v>21</v>
      </c>
      <c r="I1258" s="10" t="s">
        <v>389</v>
      </c>
      <c r="J1258" s="10" t="str">
        <f>""</f>
        <v/>
      </c>
      <c r="K1258" s="10" t="str">
        <f>"PFES1162630527_0001"</f>
        <v>PFES1162630527_0001</v>
      </c>
      <c r="L1258" s="10">
        <v>1</v>
      </c>
      <c r="M1258" s="10">
        <v>1</v>
      </c>
    </row>
    <row r="1259" spans="1:13">
      <c r="A1259" s="8">
        <v>43270</v>
      </c>
      <c r="B1259" s="9">
        <v>0.66319444444444442</v>
      </c>
      <c r="C1259" s="10" t="str">
        <f>"FES1162630515"</f>
        <v>FES1162630515</v>
      </c>
      <c r="D1259" s="10" t="s">
        <v>19</v>
      </c>
      <c r="E1259" s="10" t="s">
        <v>774</v>
      </c>
      <c r="F1259" s="10" t="str">
        <f>"2170637462 "</f>
        <v xml:space="preserve">2170637462 </v>
      </c>
      <c r="G1259" s="10" t="str">
        <f t="shared" si="38"/>
        <v>ON1</v>
      </c>
      <c r="H1259" s="10" t="s">
        <v>21</v>
      </c>
      <c r="I1259" s="10" t="s">
        <v>775</v>
      </c>
      <c r="J1259" s="10" t="str">
        <f>""</f>
        <v/>
      </c>
      <c r="K1259" s="10" t="str">
        <f>"PFES1162630515_0001"</f>
        <v>PFES1162630515_0001</v>
      </c>
      <c r="L1259" s="10">
        <v>1</v>
      </c>
      <c r="M1259" s="10">
        <v>1</v>
      </c>
    </row>
    <row r="1260" spans="1:13">
      <c r="A1260" s="8">
        <v>43270</v>
      </c>
      <c r="B1260" s="9">
        <v>0.66111111111111109</v>
      </c>
      <c r="C1260" s="10" t="str">
        <f>"FES1162630546"</f>
        <v>FES1162630546</v>
      </c>
      <c r="D1260" s="10" t="s">
        <v>19</v>
      </c>
      <c r="E1260" s="10" t="s">
        <v>319</v>
      </c>
      <c r="F1260" s="10" t="str">
        <f>"2170637495 "</f>
        <v xml:space="preserve">2170637495 </v>
      </c>
      <c r="G1260" s="10" t="str">
        <f t="shared" si="38"/>
        <v>ON1</v>
      </c>
      <c r="H1260" s="10" t="s">
        <v>21</v>
      </c>
      <c r="I1260" s="10" t="s">
        <v>106</v>
      </c>
      <c r="J1260" s="10" t="str">
        <f>""</f>
        <v/>
      </c>
      <c r="K1260" s="10" t="str">
        <f>"PFES1162630546_0001"</f>
        <v>PFES1162630546_0001</v>
      </c>
      <c r="L1260" s="10">
        <v>1</v>
      </c>
      <c r="M1260" s="10">
        <v>3</v>
      </c>
    </row>
    <row r="1261" spans="1:13">
      <c r="A1261" s="8">
        <v>43270</v>
      </c>
      <c r="B1261" s="9">
        <v>0.66041666666666665</v>
      </c>
      <c r="C1261" s="10" t="str">
        <f>"FES1162630518"</f>
        <v>FES1162630518</v>
      </c>
      <c r="D1261" s="10" t="s">
        <v>19</v>
      </c>
      <c r="E1261" s="10" t="s">
        <v>340</v>
      </c>
      <c r="F1261" s="10" t="str">
        <f>"2170635044 "</f>
        <v xml:space="preserve">2170635044 </v>
      </c>
      <c r="G1261" s="10" t="str">
        <f t="shared" si="38"/>
        <v>ON1</v>
      </c>
      <c r="H1261" s="10" t="s">
        <v>21</v>
      </c>
      <c r="I1261" s="10" t="s">
        <v>106</v>
      </c>
      <c r="J1261" s="10" t="str">
        <f>""</f>
        <v/>
      </c>
      <c r="K1261" s="10" t="str">
        <f>"PFES1162630518_0001"</f>
        <v>PFES1162630518_0001</v>
      </c>
      <c r="L1261" s="10">
        <v>1</v>
      </c>
      <c r="M1261" s="10">
        <v>2</v>
      </c>
    </row>
    <row r="1262" spans="1:13">
      <c r="A1262" s="8">
        <v>43270</v>
      </c>
      <c r="B1262" s="9">
        <v>0.65902777777777777</v>
      </c>
      <c r="C1262" s="10" t="str">
        <f>"FES1162630448"</f>
        <v>FES1162630448</v>
      </c>
      <c r="D1262" s="10" t="s">
        <v>19</v>
      </c>
      <c r="E1262" s="10" t="s">
        <v>621</v>
      </c>
      <c r="F1262" s="10" t="str">
        <f>"2170632082 "</f>
        <v xml:space="preserve">2170632082 </v>
      </c>
      <c r="G1262" s="10" t="str">
        <f t="shared" si="38"/>
        <v>ON1</v>
      </c>
      <c r="H1262" s="10" t="s">
        <v>21</v>
      </c>
      <c r="I1262" s="10" t="s">
        <v>622</v>
      </c>
      <c r="J1262" s="10" t="str">
        <f>""</f>
        <v/>
      </c>
      <c r="K1262" s="10" t="str">
        <f>"PFES1162630448_0001"</f>
        <v>PFES1162630448_0001</v>
      </c>
      <c r="L1262" s="10">
        <v>1</v>
      </c>
      <c r="M1262" s="10">
        <v>15</v>
      </c>
    </row>
    <row r="1263" spans="1:13">
      <c r="A1263" s="8">
        <v>43270</v>
      </c>
      <c r="B1263" s="9">
        <v>0.65833333333333333</v>
      </c>
      <c r="C1263" s="10" t="str">
        <f>"FES1162630372"</f>
        <v>FES1162630372</v>
      </c>
      <c r="D1263" s="10" t="s">
        <v>19</v>
      </c>
      <c r="E1263" s="10" t="s">
        <v>161</v>
      </c>
      <c r="F1263" s="10" t="str">
        <f>"2170635122 "</f>
        <v xml:space="preserve">2170635122 </v>
      </c>
      <c r="G1263" s="10" t="str">
        <f t="shared" si="38"/>
        <v>ON1</v>
      </c>
      <c r="H1263" s="10" t="s">
        <v>21</v>
      </c>
      <c r="I1263" s="10" t="s">
        <v>162</v>
      </c>
      <c r="J1263" s="10" t="str">
        <f>""</f>
        <v/>
      </c>
      <c r="K1263" s="10" t="str">
        <f>"PFES1162630372_0001"</f>
        <v>PFES1162630372_0001</v>
      </c>
      <c r="L1263" s="10">
        <v>1</v>
      </c>
      <c r="M1263" s="10">
        <v>4</v>
      </c>
    </row>
    <row r="1264" spans="1:13">
      <c r="A1264" s="8">
        <v>43270</v>
      </c>
      <c r="B1264" s="9">
        <v>0.65763888888888888</v>
      </c>
      <c r="C1264" s="10" t="str">
        <f>"FES1162630359"</f>
        <v>FES1162630359</v>
      </c>
      <c r="D1264" s="10" t="s">
        <v>19</v>
      </c>
      <c r="E1264" s="10" t="s">
        <v>235</v>
      </c>
      <c r="F1264" s="10" t="str">
        <f>"2170637218 "</f>
        <v xml:space="preserve">2170637218 </v>
      </c>
      <c r="G1264" s="10" t="str">
        <f t="shared" si="38"/>
        <v>ON1</v>
      </c>
      <c r="H1264" s="10" t="s">
        <v>21</v>
      </c>
      <c r="I1264" s="10" t="s">
        <v>26</v>
      </c>
      <c r="J1264" s="10" t="str">
        <f>""</f>
        <v/>
      </c>
      <c r="K1264" s="10" t="str">
        <f>"PFES1162630359_0001"</f>
        <v>PFES1162630359_0001</v>
      </c>
      <c r="L1264" s="10">
        <v>1</v>
      </c>
      <c r="M1264" s="10">
        <v>11</v>
      </c>
    </row>
    <row r="1265" spans="1:13">
      <c r="A1265" s="8">
        <v>43270</v>
      </c>
      <c r="B1265" s="9">
        <v>0.65625</v>
      </c>
      <c r="C1265" s="10" t="str">
        <f>"FES1162630485"</f>
        <v>FES1162630485</v>
      </c>
      <c r="D1265" s="10" t="s">
        <v>19</v>
      </c>
      <c r="E1265" s="10" t="s">
        <v>776</v>
      </c>
      <c r="F1265" s="10" t="str">
        <f>"2170637253 "</f>
        <v xml:space="preserve">2170637253 </v>
      </c>
      <c r="G1265" s="10" t="str">
        <f t="shared" si="38"/>
        <v>ON1</v>
      </c>
      <c r="H1265" s="10" t="s">
        <v>21</v>
      </c>
      <c r="I1265" s="10" t="s">
        <v>712</v>
      </c>
      <c r="J1265" s="10" t="str">
        <f>""</f>
        <v/>
      </c>
      <c r="K1265" s="10" t="str">
        <f>"PFES1162630485_0001"</f>
        <v>PFES1162630485_0001</v>
      </c>
      <c r="L1265" s="10">
        <v>1</v>
      </c>
      <c r="M1265" s="10">
        <v>11</v>
      </c>
    </row>
    <row r="1266" spans="1:13">
      <c r="A1266" s="8">
        <v>43270</v>
      </c>
      <c r="B1266" s="9">
        <v>0.65486111111111112</v>
      </c>
      <c r="C1266" s="10" t="str">
        <f>"FES1162630481"</f>
        <v>FES1162630481</v>
      </c>
      <c r="D1266" s="10" t="s">
        <v>19</v>
      </c>
      <c r="E1266" s="10" t="s">
        <v>80</v>
      </c>
      <c r="F1266" s="10" t="str">
        <f>"2170636705 "</f>
        <v xml:space="preserve">2170636705 </v>
      </c>
      <c r="G1266" s="10" t="str">
        <f t="shared" si="38"/>
        <v>ON1</v>
      </c>
      <c r="H1266" s="10" t="s">
        <v>21</v>
      </c>
      <c r="I1266" s="10" t="s">
        <v>81</v>
      </c>
      <c r="J1266" s="10" t="str">
        <f>""</f>
        <v/>
      </c>
      <c r="K1266" s="10" t="str">
        <f>"PFES1162630481_0001"</f>
        <v>PFES1162630481_0001</v>
      </c>
      <c r="L1266" s="10">
        <v>2</v>
      </c>
      <c r="M1266" s="10">
        <v>8</v>
      </c>
    </row>
    <row r="1267" spans="1:13">
      <c r="A1267" s="8">
        <v>43270</v>
      </c>
      <c r="B1267" s="9">
        <v>0.65138888888888891</v>
      </c>
      <c r="C1267" s="10" t="str">
        <f>"FES1162630522"</f>
        <v>FES1162630522</v>
      </c>
      <c r="D1267" s="10" t="s">
        <v>19</v>
      </c>
      <c r="E1267" s="10" t="s">
        <v>278</v>
      </c>
      <c r="F1267" s="10" t="str">
        <f>"2170637446 "</f>
        <v xml:space="preserve">2170637446 </v>
      </c>
      <c r="G1267" s="10" t="str">
        <f t="shared" si="38"/>
        <v>ON1</v>
      </c>
      <c r="H1267" s="10" t="s">
        <v>21</v>
      </c>
      <c r="I1267" s="10" t="s">
        <v>279</v>
      </c>
      <c r="J1267" s="10" t="str">
        <f>""</f>
        <v/>
      </c>
      <c r="K1267" s="10" t="str">
        <f>"PFES1162630522_0001"</f>
        <v>PFES1162630522_0001</v>
      </c>
      <c r="L1267" s="10">
        <v>1</v>
      </c>
      <c r="M1267" s="10">
        <v>1</v>
      </c>
    </row>
    <row r="1268" spans="1:13">
      <c r="A1268" s="8">
        <v>43270</v>
      </c>
      <c r="B1268" s="9">
        <v>0.65138888888888891</v>
      </c>
      <c r="C1268" s="10" t="str">
        <f>"FES1162630473"</f>
        <v>FES1162630473</v>
      </c>
      <c r="D1268" s="10" t="s">
        <v>19</v>
      </c>
      <c r="E1268" s="10" t="s">
        <v>117</v>
      </c>
      <c r="F1268" s="10" t="str">
        <f>"2170637405 "</f>
        <v xml:space="preserve">2170637405 </v>
      </c>
      <c r="G1268" s="10" t="str">
        <f t="shared" si="38"/>
        <v>ON1</v>
      </c>
      <c r="H1268" s="10" t="s">
        <v>21</v>
      </c>
      <c r="I1268" s="10" t="s">
        <v>118</v>
      </c>
      <c r="J1268" s="10" t="str">
        <f>""</f>
        <v/>
      </c>
      <c r="K1268" s="10" t="str">
        <f>"PFES1162630473_0001"</f>
        <v>PFES1162630473_0001</v>
      </c>
      <c r="L1268" s="10">
        <v>1</v>
      </c>
      <c r="M1268" s="10">
        <v>1</v>
      </c>
    </row>
    <row r="1269" spans="1:13">
      <c r="A1269" s="8">
        <v>43270</v>
      </c>
      <c r="B1269" s="9">
        <v>0.65069444444444446</v>
      </c>
      <c r="C1269" s="10" t="str">
        <f>"FES1162630495"</f>
        <v>FES1162630495</v>
      </c>
      <c r="D1269" s="10" t="s">
        <v>19</v>
      </c>
      <c r="E1269" s="10" t="s">
        <v>777</v>
      </c>
      <c r="F1269" s="10" t="str">
        <f>"2170637422 "</f>
        <v xml:space="preserve">2170637422 </v>
      </c>
      <c r="G1269" s="10" t="str">
        <f t="shared" si="38"/>
        <v>ON1</v>
      </c>
      <c r="H1269" s="10" t="s">
        <v>21</v>
      </c>
      <c r="I1269" s="10" t="s">
        <v>778</v>
      </c>
      <c r="J1269" s="10" t="str">
        <f>""</f>
        <v/>
      </c>
      <c r="K1269" s="10" t="str">
        <f>"PFES1162630495_0001"</f>
        <v>PFES1162630495_0001</v>
      </c>
      <c r="L1269" s="10">
        <v>1</v>
      </c>
      <c r="M1269" s="10">
        <v>1</v>
      </c>
    </row>
    <row r="1270" spans="1:13">
      <c r="A1270" s="8">
        <v>43270</v>
      </c>
      <c r="B1270" s="9">
        <v>0.65069444444444446</v>
      </c>
      <c r="C1270" s="10" t="str">
        <f>"FES1162630487"</f>
        <v>FES1162630487</v>
      </c>
      <c r="D1270" s="10" t="s">
        <v>19</v>
      </c>
      <c r="E1270" s="10" t="s">
        <v>289</v>
      </c>
      <c r="F1270" s="10" t="str">
        <f>"2170637412 "</f>
        <v xml:space="preserve">2170637412 </v>
      </c>
      <c r="G1270" s="10" t="str">
        <f t="shared" si="38"/>
        <v>ON1</v>
      </c>
      <c r="H1270" s="10" t="s">
        <v>21</v>
      </c>
      <c r="I1270" s="10" t="s">
        <v>290</v>
      </c>
      <c r="J1270" s="10" t="str">
        <f>""</f>
        <v/>
      </c>
      <c r="K1270" s="10" t="str">
        <f>"PFES1162630487_0001"</f>
        <v>PFES1162630487_0001</v>
      </c>
      <c r="L1270" s="10">
        <v>1</v>
      </c>
      <c r="M1270" s="10">
        <v>1</v>
      </c>
    </row>
    <row r="1271" spans="1:13">
      <c r="A1271" s="8">
        <v>43270</v>
      </c>
      <c r="B1271" s="9">
        <v>0.65</v>
      </c>
      <c r="C1271" s="10" t="str">
        <f>"FES1162630509"</f>
        <v>FES1162630509</v>
      </c>
      <c r="D1271" s="10" t="s">
        <v>19</v>
      </c>
      <c r="E1271" s="10" t="s">
        <v>743</v>
      </c>
      <c r="F1271" s="10" t="str">
        <f>"2170637450 "</f>
        <v xml:space="preserve">2170637450 </v>
      </c>
      <c r="G1271" s="10" t="str">
        <f t="shared" si="38"/>
        <v>ON1</v>
      </c>
      <c r="H1271" s="10" t="s">
        <v>21</v>
      </c>
      <c r="I1271" s="10" t="s">
        <v>290</v>
      </c>
      <c r="J1271" s="10" t="str">
        <f>""</f>
        <v/>
      </c>
      <c r="K1271" s="10" t="str">
        <f>"PFES1162630509_0001"</f>
        <v>PFES1162630509_0001</v>
      </c>
      <c r="L1271" s="10">
        <v>1</v>
      </c>
      <c r="M1271" s="10">
        <v>1</v>
      </c>
    </row>
    <row r="1272" spans="1:13">
      <c r="A1272" s="8">
        <v>43270</v>
      </c>
      <c r="B1272" s="9">
        <v>0.65</v>
      </c>
      <c r="C1272" s="10" t="str">
        <f>"FES1162630521"</f>
        <v>FES1162630521</v>
      </c>
      <c r="D1272" s="10" t="s">
        <v>19</v>
      </c>
      <c r="E1272" s="10" t="s">
        <v>278</v>
      </c>
      <c r="F1272" s="10" t="str">
        <f>"2170637445 "</f>
        <v xml:space="preserve">2170637445 </v>
      </c>
      <c r="G1272" s="10" t="str">
        <f t="shared" si="38"/>
        <v>ON1</v>
      </c>
      <c r="H1272" s="10" t="s">
        <v>21</v>
      </c>
      <c r="I1272" s="10" t="s">
        <v>279</v>
      </c>
      <c r="J1272" s="10" t="str">
        <f>""</f>
        <v/>
      </c>
      <c r="K1272" s="10" t="str">
        <f>"PFES1162630521_0001"</f>
        <v>PFES1162630521_0001</v>
      </c>
      <c r="L1272" s="10">
        <v>1</v>
      </c>
      <c r="M1272" s="10">
        <v>3</v>
      </c>
    </row>
    <row r="1273" spans="1:13">
      <c r="A1273" s="8">
        <v>43270</v>
      </c>
      <c r="B1273" s="9">
        <v>0.65</v>
      </c>
      <c r="C1273" s="10" t="str">
        <f>"FES1162630455"</f>
        <v>FES1162630455</v>
      </c>
      <c r="D1273" s="10" t="s">
        <v>19</v>
      </c>
      <c r="E1273" s="10" t="s">
        <v>281</v>
      </c>
      <c r="F1273" s="10" t="str">
        <f>"2170637381 "</f>
        <v xml:space="preserve">2170637381 </v>
      </c>
      <c r="G1273" s="10" t="str">
        <f t="shared" si="38"/>
        <v>ON1</v>
      </c>
      <c r="H1273" s="10" t="s">
        <v>21</v>
      </c>
      <c r="I1273" s="10" t="s">
        <v>282</v>
      </c>
      <c r="J1273" s="10" t="str">
        <f>""</f>
        <v/>
      </c>
      <c r="K1273" s="10" t="str">
        <f>"PFES1162630455_0001"</f>
        <v>PFES1162630455_0001</v>
      </c>
      <c r="L1273" s="10">
        <v>1</v>
      </c>
      <c r="M1273" s="10">
        <v>1</v>
      </c>
    </row>
    <row r="1274" spans="1:13">
      <c r="A1274" s="8">
        <v>43270</v>
      </c>
      <c r="B1274" s="9">
        <v>0.64930555555555558</v>
      </c>
      <c r="C1274" s="10" t="str">
        <f>"FES1162630456"</f>
        <v>FES1162630456</v>
      </c>
      <c r="D1274" s="10" t="s">
        <v>19</v>
      </c>
      <c r="E1274" s="10" t="s">
        <v>281</v>
      </c>
      <c r="F1274" s="10" t="str">
        <f>"2170637383 "</f>
        <v xml:space="preserve">2170637383 </v>
      </c>
      <c r="G1274" s="10" t="str">
        <f t="shared" si="38"/>
        <v>ON1</v>
      </c>
      <c r="H1274" s="10" t="s">
        <v>21</v>
      </c>
      <c r="I1274" s="10" t="s">
        <v>282</v>
      </c>
      <c r="J1274" s="10" t="str">
        <f>""</f>
        <v/>
      </c>
      <c r="K1274" s="10" t="str">
        <f>"PFES1162630456_0001"</f>
        <v>PFES1162630456_0001</v>
      </c>
      <c r="L1274" s="10">
        <v>1</v>
      </c>
      <c r="M1274" s="10">
        <v>1</v>
      </c>
    </row>
    <row r="1275" spans="1:13">
      <c r="A1275" s="8">
        <v>43270</v>
      </c>
      <c r="B1275" s="9">
        <v>0.64930555555555558</v>
      </c>
      <c r="C1275" s="10" t="str">
        <f>"FES1162630395"</f>
        <v>FES1162630395</v>
      </c>
      <c r="D1275" s="10" t="s">
        <v>19</v>
      </c>
      <c r="E1275" s="10" t="s">
        <v>779</v>
      </c>
      <c r="F1275" s="10" t="str">
        <f>"2170635027 "</f>
        <v xml:space="preserve">2170635027 </v>
      </c>
      <c r="G1275" s="10" t="str">
        <f t="shared" si="38"/>
        <v>ON1</v>
      </c>
      <c r="H1275" s="10" t="s">
        <v>21</v>
      </c>
      <c r="I1275" s="10" t="s">
        <v>112</v>
      </c>
      <c r="J1275" s="10" t="str">
        <f>""</f>
        <v/>
      </c>
      <c r="K1275" s="10" t="str">
        <f>"PFES1162630395_0001"</f>
        <v>PFES1162630395_0001</v>
      </c>
      <c r="L1275" s="10">
        <v>1</v>
      </c>
      <c r="M1275" s="10">
        <v>1</v>
      </c>
    </row>
    <row r="1276" spans="1:13">
      <c r="A1276" s="8">
        <v>43270</v>
      </c>
      <c r="B1276" s="9">
        <v>0.64861111111111114</v>
      </c>
      <c r="C1276" s="10" t="str">
        <f>"FES1162630287"</f>
        <v>FES1162630287</v>
      </c>
      <c r="D1276" s="10" t="s">
        <v>19</v>
      </c>
      <c r="E1276" s="10" t="s">
        <v>780</v>
      </c>
      <c r="F1276" s="10" t="str">
        <f>"2170635478 "</f>
        <v xml:space="preserve">2170635478 </v>
      </c>
      <c r="G1276" s="10" t="str">
        <f t="shared" si="38"/>
        <v>ON1</v>
      </c>
      <c r="H1276" s="10" t="s">
        <v>21</v>
      </c>
      <c r="I1276" s="10" t="s">
        <v>46</v>
      </c>
      <c r="J1276" s="10" t="str">
        <f>""</f>
        <v/>
      </c>
      <c r="K1276" s="10" t="str">
        <f>"PFES1162630287_0001"</f>
        <v>PFES1162630287_0001</v>
      </c>
      <c r="L1276" s="10">
        <v>1</v>
      </c>
      <c r="M1276" s="10">
        <v>1</v>
      </c>
    </row>
    <row r="1277" spans="1:13">
      <c r="A1277" s="8">
        <v>43270</v>
      </c>
      <c r="B1277" s="9">
        <v>0.64861111111111114</v>
      </c>
      <c r="C1277" s="10" t="str">
        <f>"FES1162630460"</f>
        <v>FES1162630460</v>
      </c>
      <c r="D1277" s="10" t="s">
        <v>19</v>
      </c>
      <c r="E1277" s="10" t="s">
        <v>781</v>
      </c>
      <c r="F1277" s="10" t="str">
        <f>"2170637393 "</f>
        <v xml:space="preserve">2170637393 </v>
      </c>
      <c r="G1277" s="10" t="str">
        <f t="shared" si="38"/>
        <v>ON1</v>
      </c>
      <c r="H1277" s="10" t="s">
        <v>21</v>
      </c>
      <c r="I1277" s="10" t="s">
        <v>305</v>
      </c>
      <c r="J1277" s="10" t="str">
        <f>""</f>
        <v/>
      </c>
      <c r="K1277" s="10" t="str">
        <f>"PFES1162630460_0001"</f>
        <v>PFES1162630460_0001</v>
      </c>
      <c r="L1277" s="10">
        <v>1</v>
      </c>
      <c r="M1277" s="10">
        <v>1</v>
      </c>
    </row>
    <row r="1278" spans="1:13">
      <c r="A1278" s="8">
        <v>43270</v>
      </c>
      <c r="B1278" s="9">
        <v>0.64861111111111114</v>
      </c>
      <c r="C1278" s="10" t="str">
        <f>"FES1162630516"</f>
        <v>FES1162630516</v>
      </c>
      <c r="D1278" s="10" t="s">
        <v>19</v>
      </c>
      <c r="E1278" s="10" t="s">
        <v>33</v>
      </c>
      <c r="F1278" s="10" t="str">
        <f>"2170637465 "</f>
        <v xml:space="preserve">2170637465 </v>
      </c>
      <c r="G1278" s="10" t="str">
        <f t="shared" si="38"/>
        <v>ON1</v>
      </c>
      <c r="H1278" s="10" t="s">
        <v>21</v>
      </c>
      <c r="I1278" s="10" t="s">
        <v>34</v>
      </c>
      <c r="J1278" s="10" t="str">
        <f>""</f>
        <v/>
      </c>
      <c r="K1278" s="10" t="str">
        <f>"PFES1162630516_0001"</f>
        <v>PFES1162630516_0001</v>
      </c>
      <c r="L1278" s="10">
        <v>1</v>
      </c>
      <c r="M1278" s="10">
        <v>1</v>
      </c>
    </row>
    <row r="1279" spans="1:13">
      <c r="A1279" s="8">
        <v>43270</v>
      </c>
      <c r="B1279" s="9">
        <v>0.64652777777777781</v>
      </c>
      <c r="C1279" s="10" t="str">
        <f>"FES1162630468"</f>
        <v>FES1162630468</v>
      </c>
      <c r="D1279" s="10" t="s">
        <v>19</v>
      </c>
      <c r="E1279" s="10" t="s">
        <v>782</v>
      </c>
      <c r="F1279" s="10" t="str">
        <f>"2170637332 "</f>
        <v xml:space="preserve">2170637332 </v>
      </c>
      <c r="G1279" s="10" t="str">
        <f t="shared" si="38"/>
        <v>ON1</v>
      </c>
      <c r="H1279" s="10" t="s">
        <v>21</v>
      </c>
      <c r="I1279" s="10" t="s">
        <v>783</v>
      </c>
      <c r="J1279" s="10" t="str">
        <f>""</f>
        <v/>
      </c>
      <c r="K1279" s="10" t="str">
        <f>"PFES1162630468_0001"</f>
        <v>PFES1162630468_0001</v>
      </c>
      <c r="L1279" s="10">
        <v>1</v>
      </c>
      <c r="M1279" s="10">
        <v>5</v>
      </c>
    </row>
    <row r="1280" spans="1:13">
      <c r="A1280" s="8">
        <v>43270</v>
      </c>
      <c r="B1280" s="9">
        <v>0.6430555555555556</v>
      </c>
      <c r="C1280" s="10" t="str">
        <f>"FES1162630462"</f>
        <v>FES1162630462</v>
      </c>
      <c r="D1280" s="10" t="s">
        <v>19</v>
      </c>
      <c r="E1280" s="10" t="s">
        <v>597</v>
      </c>
      <c r="F1280" s="10" t="str">
        <f>"2170637396 "</f>
        <v xml:space="preserve">2170637396 </v>
      </c>
      <c r="G1280" s="10" t="str">
        <f t="shared" si="38"/>
        <v>ON1</v>
      </c>
      <c r="H1280" s="10" t="s">
        <v>21</v>
      </c>
      <c r="I1280" s="10" t="s">
        <v>290</v>
      </c>
      <c r="J1280" s="10" t="str">
        <f>""</f>
        <v/>
      </c>
      <c r="K1280" s="10" t="str">
        <f>"PFES1162630462_0001"</f>
        <v>PFES1162630462_0001</v>
      </c>
      <c r="L1280" s="10">
        <v>1</v>
      </c>
      <c r="M1280" s="10">
        <v>3</v>
      </c>
    </row>
    <row r="1281" spans="1:13">
      <c r="A1281" s="8">
        <v>43270</v>
      </c>
      <c r="B1281" s="9">
        <v>0.64166666666666672</v>
      </c>
      <c r="C1281" s="10" t="str">
        <f>"FES1162630471"</f>
        <v>FES1162630471</v>
      </c>
      <c r="D1281" s="10" t="s">
        <v>19</v>
      </c>
      <c r="E1281" s="10" t="s">
        <v>784</v>
      </c>
      <c r="F1281" s="10" t="str">
        <f>"2170635335 "</f>
        <v xml:space="preserve">2170635335 </v>
      </c>
      <c r="G1281" s="10" t="str">
        <f t="shared" si="38"/>
        <v>ON1</v>
      </c>
      <c r="H1281" s="10" t="s">
        <v>21</v>
      </c>
      <c r="I1281" s="10" t="s">
        <v>156</v>
      </c>
      <c r="J1281" s="10" t="str">
        <f>""</f>
        <v/>
      </c>
      <c r="K1281" s="10" t="str">
        <f>"PFES1162630471_0001"</f>
        <v>PFES1162630471_0001</v>
      </c>
      <c r="L1281" s="10">
        <v>1</v>
      </c>
      <c r="M1281" s="10">
        <v>11</v>
      </c>
    </row>
    <row r="1282" spans="1:13">
      <c r="A1282" s="8">
        <v>43270</v>
      </c>
      <c r="B1282" s="9">
        <v>0.64097222222222217</v>
      </c>
      <c r="C1282" s="10" t="str">
        <f>"FES1162630493"</f>
        <v>FES1162630493</v>
      </c>
      <c r="D1282" s="10" t="s">
        <v>19</v>
      </c>
      <c r="E1282" s="10" t="s">
        <v>117</v>
      </c>
      <c r="F1282" s="10" t="str">
        <f>"2170636751 "</f>
        <v xml:space="preserve">2170636751 </v>
      </c>
      <c r="G1282" s="10" t="str">
        <f t="shared" si="38"/>
        <v>ON1</v>
      </c>
      <c r="H1282" s="10" t="s">
        <v>21</v>
      </c>
      <c r="I1282" s="10" t="s">
        <v>118</v>
      </c>
      <c r="J1282" s="10" t="str">
        <f>""</f>
        <v/>
      </c>
      <c r="K1282" s="10" t="str">
        <f>"PFES1162630493_0001"</f>
        <v>PFES1162630493_0001</v>
      </c>
      <c r="L1282" s="10">
        <v>1</v>
      </c>
      <c r="M1282" s="10">
        <v>3</v>
      </c>
    </row>
    <row r="1283" spans="1:13">
      <c r="A1283" s="8">
        <v>43270</v>
      </c>
      <c r="B1283" s="9">
        <v>0.62847222222222221</v>
      </c>
      <c r="C1283" s="10" t="str">
        <f>"FES1162630384"</f>
        <v>FES1162630384</v>
      </c>
      <c r="D1283" s="10" t="s">
        <v>19</v>
      </c>
      <c r="E1283" s="10" t="s">
        <v>291</v>
      </c>
      <c r="F1283" s="10" t="str">
        <f>"2170637338 "</f>
        <v xml:space="preserve">2170637338 </v>
      </c>
      <c r="G1283" s="10" t="str">
        <f t="shared" si="38"/>
        <v>ON1</v>
      </c>
      <c r="H1283" s="10" t="s">
        <v>21</v>
      </c>
      <c r="I1283" s="10" t="s">
        <v>292</v>
      </c>
      <c r="J1283" s="10" t="str">
        <f>""</f>
        <v/>
      </c>
      <c r="K1283" s="10" t="str">
        <f>"PFES1162630384_0001"</f>
        <v>PFES1162630384_0001</v>
      </c>
      <c r="L1283" s="10">
        <v>1</v>
      </c>
      <c r="M1283" s="10">
        <v>2</v>
      </c>
    </row>
    <row r="1284" spans="1:13">
      <c r="A1284" s="8">
        <v>43270</v>
      </c>
      <c r="B1284" s="9">
        <v>0.62569444444444444</v>
      </c>
      <c r="C1284" s="10" t="str">
        <f>"FES1162630284"</f>
        <v>FES1162630284</v>
      </c>
      <c r="D1284" s="10" t="s">
        <v>19</v>
      </c>
      <c r="E1284" s="10" t="s">
        <v>263</v>
      </c>
      <c r="F1284" s="10" t="str">
        <f>"2170635131 "</f>
        <v xml:space="preserve">2170635131 </v>
      </c>
      <c r="G1284" s="10" t="str">
        <f t="shared" si="38"/>
        <v>ON1</v>
      </c>
      <c r="H1284" s="10" t="s">
        <v>21</v>
      </c>
      <c r="I1284" s="10" t="s">
        <v>230</v>
      </c>
      <c r="J1284" s="10" t="str">
        <f>""</f>
        <v/>
      </c>
      <c r="K1284" s="10" t="str">
        <f>"PFES1162630284_0001"</f>
        <v>PFES1162630284_0001</v>
      </c>
      <c r="L1284" s="10">
        <v>1</v>
      </c>
      <c r="M1284" s="10">
        <v>14</v>
      </c>
    </row>
    <row r="1285" spans="1:13">
      <c r="A1285" s="8">
        <v>43270</v>
      </c>
      <c r="B1285" s="9">
        <v>0.625</v>
      </c>
      <c r="C1285" s="10" t="str">
        <f>"FES1162630301"</f>
        <v>FES1162630301</v>
      </c>
      <c r="D1285" s="10" t="s">
        <v>19</v>
      </c>
      <c r="E1285" s="10" t="s">
        <v>489</v>
      </c>
      <c r="F1285" s="10" t="str">
        <f>"2170636388 "</f>
        <v xml:space="preserve">2170636388 </v>
      </c>
      <c r="G1285" s="10" t="str">
        <f t="shared" si="38"/>
        <v>ON1</v>
      </c>
      <c r="H1285" s="10" t="s">
        <v>21</v>
      </c>
      <c r="I1285" s="10" t="s">
        <v>487</v>
      </c>
      <c r="J1285" s="10" t="str">
        <f>""</f>
        <v/>
      </c>
      <c r="K1285" s="10" t="str">
        <f>"PFES1162630301_0001"</f>
        <v>PFES1162630301_0001</v>
      </c>
      <c r="L1285" s="10">
        <v>1</v>
      </c>
      <c r="M1285" s="10">
        <v>14</v>
      </c>
    </row>
    <row r="1286" spans="1:13">
      <c r="A1286" s="8">
        <v>43270</v>
      </c>
      <c r="B1286" s="9">
        <v>0.62430555555555556</v>
      </c>
      <c r="C1286" s="10" t="str">
        <f>"FES1162630508"</f>
        <v>FES1162630508</v>
      </c>
      <c r="D1286" s="10" t="s">
        <v>19</v>
      </c>
      <c r="E1286" s="10" t="s">
        <v>140</v>
      </c>
      <c r="F1286" s="10" t="str">
        <f>"2170637447 "</f>
        <v xml:space="preserve">2170637447 </v>
      </c>
      <c r="G1286" s="10" t="str">
        <f t="shared" si="38"/>
        <v>ON1</v>
      </c>
      <c r="H1286" s="10" t="s">
        <v>21</v>
      </c>
      <c r="I1286" s="10" t="s">
        <v>141</v>
      </c>
      <c r="J1286" s="10" t="str">
        <f>""</f>
        <v/>
      </c>
      <c r="K1286" s="10" t="str">
        <f>"PFES1162630508_0001"</f>
        <v>PFES1162630508_0001</v>
      </c>
      <c r="L1286" s="10">
        <v>1</v>
      </c>
      <c r="M1286" s="10">
        <v>4</v>
      </c>
    </row>
    <row r="1287" spans="1:13">
      <c r="A1287" s="8">
        <v>43270</v>
      </c>
      <c r="B1287" s="9">
        <v>0.62361111111111112</v>
      </c>
      <c r="C1287" s="10" t="str">
        <f>"FES1162630502"</f>
        <v>FES1162630502</v>
      </c>
      <c r="D1287" s="10" t="s">
        <v>19</v>
      </c>
      <c r="E1287" s="10" t="s">
        <v>128</v>
      </c>
      <c r="F1287" s="10" t="str">
        <f>"2170637432 "</f>
        <v xml:space="preserve">2170637432 </v>
      </c>
      <c r="G1287" s="10" t="str">
        <f t="shared" si="38"/>
        <v>ON1</v>
      </c>
      <c r="H1287" s="10" t="s">
        <v>21</v>
      </c>
      <c r="I1287" s="10" t="s">
        <v>129</v>
      </c>
      <c r="J1287" s="10" t="str">
        <f>""</f>
        <v/>
      </c>
      <c r="K1287" s="10" t="str">
        <f>"PFES1162630502_0001"</f>
        <v>PFES1162630502_0001</v>
      </c>
      <c r="L1287" s="10">
        <v>1</v>
      </c>
      <c r="M1287" s="10">
        <v>4</v>
      </c>
    </row>
    <row r="1288" spans="1:13">
      <c r="A1288" s="8">
        <v>43270</v>
      </c>
      <c r="B1288" s="9">
        <v>0.62291666666666667</v>
      </c>
      <c r="C1288" s="10" t="str">
        <f>"FES1162630494"</f>
        <v>FES1162630494</v>
      </c>
      <c r="D1288" s="10" t="s">
        <v>19</v>
      </c>
      <c r="E1288" s="10" t="s">
        <v>64</v>
      </c>
      <c r="F1288" s="10" t="str">
        <f>"2170636782 "</f>
        <v xml:space="preserve">2170636782 </v>
      </c>
      <c r="G1288" s="10" t="str">
        <f t="shared" si="38"/>
        <v>ON1</v>
      </c>
      <c r="H1288" s="10" t="s">
        <v>21</v>
      </c>
      <c r="I1288" s="10" t="s">
        <v>40</v>
      </c>
      <c r="J1288" s="10" t="str">
        <f>""</f>
        <v/>
      </c>
      <c r="K1288" s="10" t="str">
        <f>"PFES1162630494_0001"</f>
        <v>PFES1162630494_0001</v>
      </c>
      <c r="L1288" s="10">
        <v>1</v>
      </c>
      <c r="M1288" s="10">
        <v>5</v>
      </c>
    </row>
    <row r="1289" spans="1:13">
      <c r="A1289" s="8">
        <v>43270</v>
      </c>
      <c r="B1289" s="9">
        <v>0.62222222222222223</v>
      </c>
      <c r="C1289" s="10" t="str">
        <f>"FES1162630511"</f>
        <v>FES1162630511</v>
      </c>
      <c r="D1289" s="10" t="s">
        <v>19</v>
      </c>
      <c r="E1289" s="10" t="s">
        <v>468</v>
      </c>
      <c r="F1289" s="10" t="str">
        <f>"2170637453 "</f>
        <v xml:space="preserve">2170637453 </v>
      </c>
      <c r="G1289" s="10" t="str">
        <f t="shared" si="38"/>
        <v>ON1</v>
      </c>
      <c r="H1289" s="10" t="s">
        <v>21</v>
      </c>
      <c r="I1289" s="10" t="s">
        <v>469</v>
      </c>
      <c r="J1289" s="10" t="str">
        <f>""</f>
        <v/>
      </c>
      <c r="K1289" s="10" t="str">
        <f>"PFES1162630511_0001"</f>
        <v>PFES1162630511_0001</v>
      </c>
      <c r="L1289" s="10">
        <v>1</v>
      </c>
      <c r="M1289" s="10">
        <v>4</v>
      </c>
    </row>
    <row r="1290" spans="1:13">
      <c r="A1290" s="8">
        <v>43270</v>
      </c>
      <c r="B1290" s="9">
        <v>0.61944444444444446</v>
      </c>
      <c r="C1290" s="10" t="str">
        <f>"FES1162630382"</f>
        <v>FES1162630382</v>
      </c>
      <c r="D1290" s="10" t="s">
        <v>19</v>
      </c>
      <c r="E1290" s="10" t="s">
        <v>491</v>
      </c>
      <c r="F1290" s="10" t="str">
        <f>"2170636860 "</f>
        <v xml:space="preserve">2170636860 </v>
      </c>
      <c r="G1290" s="10" t="str">
        <f>"DBC"</f>
        <v>DBC</v>
      </c>
      <c r="H1290" s="10" t="s">
        <v>21</v>
      </c>
      <c r="I1290" s="10" t="s">
        <v>228</v>
      </c>
      <c r="J1290" s="10" t="str">
        <f>""</f>
        <v/>
      </c>
      <c r="K1290" s="10" t="str">
        <f>"PFES1162630382_0001"</f>
        <v>PFES1162630382_0001</v>
      </c>
      <c r="L1290" s="10">
        <v>2</v>
      </c>
      <c r="M1290" s="10">
        <v>20</v>
      </c>
    </row>
    <row r="1291" spans="1:13">
      <c r="A1291" s="8">
        <v>43270</v>
      </c>
      <c r="B1291" s="9">
        <v>0.61875000000000002</v>
      </c>
      <c r="C1291" s="10" t="str">
        <f>"FES1162630375"</f>
        <v>FES1162630375</v>
      </c>
      <c r="D1291" s="10" t="s">
        <v>19</v>
      </c>
      <c r="E1291" s="10" t="s">
        <v>785</v>
      </c>
      <c r="F1291" s="10" t="str">
        <f>"2170637330 "</f>
        <v xml:space="preserve">2170637330 </v>
      </c>
      <c r="G1291" s="10" t="str">
        <f>"DBC"</f>
        <v>DBC</v>
      </c>
      <c r="H1291" s="10" t="s">
        <v>21</v>
      </c>
      <c r="I1291" s="10" t="s">
        <v>290</v>
      </c>
      <c r="J1291" s="10" t="str">
        <f>"FRAGILE OIL"</f>
        <v>FRAGILE OIL</v>
      </c>
      <c r="K1291" s="10" t="str">
        <f>"PFES1162630375_0001"</f>
        <v>PFES1162630375_0001</v>
      </c>
      <c r="L1291" s="10">
        <v>1</v>
      </c>
      <c r="M1291" s="10">
        <v>19</v>
      </c>
    </row>
    <row r="1292" spans="1:13">
      <c r="A1292" s="8">
        <v>43270</v>
      </c>
      <c r="B1292" s="9">
        <v>0.6166666666666667</v>
      </c>
      <c r="C1292" s="10" t="str">
        <f>"FES1162630327"</f>
        <v>FES1162630327</v>
      </c>
      <c r="D1292" s="10" t="s">
        <v>19</v>
      </c>
      <c r="E1292" s="10" t="s">
        <v>105</v>
      </c>
      <c r="F1292" s="10" t="str">
        <f>"2170637272 "</f>
        <v xml:space="preserve">2170637272 </v>
      </c>
      <c r="G1292" s="10" t="str">
        <f>"ON1"</f>
        <v>ON1</v>
      </c>
      <c r="H1292" s="10" t="s">
        <v>21</v>
      </c>
      <c r="I1292" s="10" t="s">
        <v>106</v>
      </c>
      <c r="J1292" s="10" t="str">
        <f>""</f>
        <v/>
      </c>
      <c r="K1292" s="10" t="str">
        <f>"PFES1162630327_0001"</f>
        <v>PFES1162630327_0001</v>
      </c>
      <c r="L1292" s="10">
        <v>1</v>
      </c>
      <c r="M1292" s="10">
        <v>7</v>
      </c>
    </row>
    <row r="1293" spans="1:13">
      <c r="A1293" s="8">
        <v>43270</v>
      </c>
      <c r="B1293" s="9">
        <v>0.61597222222222225</v>
      </c>
      <c r="C1293" s="10" t="str">
        <f>"FES1162630512"</f>
        <v>FES1162630512</v>
      </c>
      <c r="D1293" s="10" t="s">
        <v>19</v>
      </c>
      <c r="E1293" s="10" t="s">
        <v>786</v>
      </c>
      <c r="F1293" s="10" t="str">
        <f>"2170637454 "</f>
        <v xml:space="preserve">2170637454 </v>
      </c>
      <c r="G1293" s="10" t="str">
        <f>"ON1"</f>
        <v>ON1</v>
      </c>
      <c r="H1293" s="10" t="s">
        <v>21</v>
      </c>
      <c r="I1293" s="10" t="s">
        <v>710</v>
      </c>
      <c r="J1293" s="10" t="str">
        <f>""</f>
        <v/>
      </c>
      <c r="K1293" s="10" t="str">
        <f>"PFES1162630512_0001"</f>
        <v>PFES1162630512_0001</v>
      </c>
      <c r="L1293" s="10">
        <v>1</v>
      </c>
      <c r="M1293" s="10">
        <v>4</v>
      </c>
    </row>
    <row r="1294" spans="1:13">
      <c r="A1294" s="8">
        <v>43270</v>
      </c>
      <c r="B1294" s="9">
        <v>0.61527777777777781</v>
      </c>
      <c r="C1294" s="10" t="str">
        <f>"FES1162630318"</f>
        <v>FES1162630318</v>
      </c>
      <c r="D1294" s="10" t="s">
        <v>19</v>
      </c>
      <c r="E1294" s="10" t="s">
        <v>242</v>
      </c>
      <c r="F1294" s="10" t="str">
        <f>"2170637231 "</f>
        <v xml:space="preserve">2170637231 </v>
      </c>
      <c r="G1294" s="10" t="str">
        <f>"DBC"</f>
        <v>DBC</v>
      </c>
      <c r="H1294" s="10" t="s">
        <v>21</v>
      </c>
      <c r="I1294" s="10" t="s">
        <v>55</v>
      </c>
      <c r="J1294" s="10" t="str">
        <f>""</f>
        <v/>
      </c>
      <c r="K1294" s="10" t="str">
        <f>"PFES1162630318_0001"</f>
        <v>PFES1162630318_0001</v>
      </c>
      <c r="L1294" s="10">
        <v>2</v>
      </c>
      <c r="M1294" s="10">
        <v>20</v>
      </c>
    </row>
    <row r="1295" spans="1:13">
      <c r="A1295" s="8">
        <v>43270</v>
      </c>
      <c r="B1295" s="9">
        <v>0.61249999999999993</v>
      </c>
      <c r="C1295" s="10" t="str">
        <f>"FES1162630368"</f>
        <v>FES1162630368</v>
      </c>
      <c r="D1295" s="10" t="s">
        <v>19</v>
      </c>
      <c r="E1295" s="10" t="s">
        <v>67</v>
      </c>
      <c r="F1295" s="10" t="str">
        <f>"2170637329 "</f>
        <v xml:space="preserve">2170637329 </v>
      </c>
      <c r="G1295" s="10" t="str">
        <f t="shared" ref="G1295:G1358" si="39">"ON1"</f>
        <v>ON1</v>
      </c>
      <c r="H1295" s="10" t="s">
        <v>21</v>
      </c>
      <c r="I1295" s="10" t="s">
        <v>46</v>
      </c>
      <c r="J1295" s="10" t="str">
        <f>""</f>
        <v/>
      </c>
      <c r="K1295" s="10" t="str">
        <f>"PFES1162630368_0001"</f>
        <v>PFES1162630368_0001</v>
      </c>
      <c r="L1295" s="10">
        <v>1</v>
      </c>
      <c r="M1295" s="10">
        <v>3</v>
      </c>
    </row>
    <row r="1296" spans="1:13">
      <c r="A1296" s="8">
        <v>43270</v>
      </c>
      <c r="B1296" s="9">
        <v>0.61041666666666672</v>
      </c>
      <c r="C1296" s="10" t="str">
        <f>"FES1162630480"</f>
        <v>FES1162630480</v>
      </c>
      <c r="D1296" s="10" t="s">
        <v>19</v>
      </c>
      <c r="E1296" s="10" t="s">
        <v>193</v>
      </c>
      <c r="F1296" s="10" t="str">
        <f>"2170636402 "</f>
        <v xml:space="preserve">2170636402 </v>
      </c>
      <c r="G1296" s="10" t="str">
        <f t="shared" si="39"/>
        <v>ON1</v>
      </c>
      <c r="H1296" s="10" t="s">
        <v>21</v>
      </c>
      <c r="I1296" s="10" t="s">
        <v>30</v>
      </c>
      <c r="J1296" s="10" t="str">
        <f>""</f>
        <v/>
      </c>
      <c r="K1296" s="10" t="str">
        <f>"PFES1162630480_0001"</f>
        <v>PFES1162630480_0001</v>
      </c>
      <c r="L1296" s="10">
        <v>1</v>
      </c>
      <c r="M1296" s="10">
        <v>1</v>
      </c>
    </row>
    <row r="1297" spans="1:13">
      <c r="A1297" s="8">
        <v>43270</v>
      </c>
      <c r="B1297" s="9">
        <v>0.61041666666666672</v>
      </c>
      <c r="C1297" s="10" t="str">
        <f>"FES1162630336"</f>
        <v>FES1162630336</v>
      </c>
      <c r="D1297" s="10" t="s">
        <v>19</v>
      </c>
      <c r="E1297" s="10" t="s">
        <v>635</v>
      </c>
      <c r="F1297" s="10" t="str">
        <f>"2170637287 "</f>
        <v xml:space="preserve">2170637287 </v>
      </c>
      <c r="G1297" s="10" t="str">
        <f t="shared" si="39"/>
        <v>ON1</v>
      </c>
      <c r="H1297" s="10" t="s">
        <v>21</v>
      </c>
      <c r="I1297" s="10" t="s">
        <v>636</v>
      </c>
      <c r="J1297" s="10" t="str">
        <f>""</f>
        <v/>
      </c>
      <c r="K1297" s="10" t="str">
        <f>"PFES1162630336_0001"</f>
        <v>PFES1162630336_0001</v>
      </c>
      <c r="L1297" s="10">
        <v>1</v>
      </c>
      <c r="M1297" s="10">
        <v>2</v>
      </c>
    </row>
    <row r="1298" spans="1:13">
      <c r="A1298" s="8">
        <v>43270</v>
      </c>
      <c r="B1298" s="9">
        <v>0.60972222222222217</v>
      </c>
      <c r="C1298" s="10" t="str">
        <f>"FES1162630407"</f>
        <v>FES1162630407</v>
      </c>
      <c r="D1298" s="10" t="s">
        <v>19</v>
      </c>
      <c r="E1298" s="10" t="s">
        <v>475</v>
      </c>
      <c r="F1298" s="10" t="str">
        <f>"2170635237 "</f>
        <v xml:space="preserve">2170635237 </v>
      </c>
      <c r="G1298" s="10" t="str">
        <f t="shared" si="39"/>
        <v>ON1</v>
      </c>
      <c r="H1298" s="10" t="s">
        <v>21</v>
      </c>
      <c r="I1298" s="10" t="s">
        <v>476</v>
      </c>
      <c r="J1298" s="10" t="str">
        <f>""</f>
        <v/>
      </c>
      <c r="K1298" s="10" t="str">
        <f>"PFES1162630407_0001"</f>
        <v>PFES1162630407_0001</v>
      </c>
      <c r="L1298" s="10">
        <v>1</v>
      </c>
      <c r="M1298" s="10">
        <v>1</v>
      </c>
    </row>
    <row r="1299" spans="1:13">
      <c r="A1299" s="8">
        <v>43270</v>
      </c>
      <c r="B1299" s="9">
        <v>0.60972222222222217</v>
      </c>
      <c r="C1299" s="10" t="str">
        <f>"FES1162630504"</f>
        <v>FES1162630504</v>
      </c>
      <c r="D1299" s="10" t="s">
        <v>19</v>
      </c>
      <c r="E1299" s="10" t="s">
        <v>445</v>
      </c>
      <c r="F1299" s="10" t="str">
        <f>"2170637437 "</f>
        <v xml:space="preserve">2170637437 </v>
      </c>
      <c r="G1299" s="10" t="str">
        <f t="shared" si="39"/>
        <v>ON1</v>
      </c>
      <c r="H1299" s="10" t="s">
        <v>21</v>
      </c>
      <c r="I1299" s="10" t="s">
        <v>446</v>
      </c>
      <c r="J1299" s="10" t="str">
        <f>""</f>
        <v/>
      </c>
      <c r="K1299" s="10" t="str">
        <f>"PFES1162630504_0001"</f>
        <v>PFES1162630504_0001</v>
      </c>
      <c r="L1299" s="10">
        <v>1</v>
      </c>
      <c r="M1299" s="10">
        <v>1</v>
      </c>
    </row>
    <row r="1300" spans="1:13">
      <c r="A1300" s="8">
        <v>43270</v>
      </c>
      <c r="B1300" s="9">
        <v>0.60972222222222217</v>
      </c>
      <c r="C1300" s="10" t="str">
        <f>"FES1162630470"</f>
        <v>FES1162630470</v>
      </c>
      <c r="D1300" s="10" t="s">
        <v>19</v>
      </c>
      <c r="E1300" s="10" t="s">
        <v>495</v>
      </c>
      <c r="F1300" s="10" t="str">
        <f>"2170637398 "</f>
        <v xml:space="preserve">2170637398 </v>
      </c>
      <c r="G1300" s="10" t="str">
        <f t="shared" si="39"/>
        <v>ON1</v>
      </c>
      <c r="H1300" s="10" t="s">
        <v>21</v>
      </c>
      <c r="I1300" s="10" t="s">
        <v>38</v>
      </c>
      <c r="J1300" s="10" t="str">
        <f>""</f>
        <v/>
      </c>
      <c r="K1300" s="10" t="str">
        <f>"PFES1162630470_0001"</f>
        <v>PFES1162630470_0001</v>
      </c>
      <c r="L1300" s="10">
        <v>1</v>
      </c>
      <c r="M1300" s="10">
        <v>1</v>
      </c>
    </row>
    <row r="1301" spans="1:13">
      <c r="A1301" s="8">
        <v>43270</v>
      </c>
      <c r="B1301" s="9">
        <v>0.60902777777777783</v>
      </c>
      <c r="C1301" s="10" t="str">
        <f>"FES1162630446"</f>
        <v>FES1162630446</v>
      </c>
      <c r="D1301" s="10" t="s">
        <v>19</v>
      </c>
      <c r="E1301" s="10" t="s">
        <v>50</v>
      </c>
      <c r="F1301" s="10" t="str">
        <f>"2170637377 "</f>
        <v xml:space="preserve">2170637377 </v>
      </c>
      <c r="G1301" s="10" t="str">
        <f t="shared" si="39"/>
        <v>ON1</v>
      </c>
      <c r="H1301" s="10" t="s">
        <v>21</v>
      </c>
      <c r="I1301" s="10" t="s">
        <v>51</v>
      </c>
      <c r="J1301" s="10" t="str">
        <f>""</f>
        <v/>
      </c>
      <c r="K1301" s="10" t="str">
        <f>"PFES1162630446_0001"</f>
        <v>PFES1162630446_0001</v>
      </c>
      <c r="L1301" s="10">
        <v>1</v>
      </c>
      <c r="M1301" s="10">
        <v>1</v>
      </c>
    </row>
    <row r="1302" spans="1:13">
      <c r="A1302" s="8">
        <v>43270</v>
      </c>
      <c r="B1302" s="9">
        <v>0.60902777777777783</v>
      </c>
      <c r="C1302" s="10" t="str">
        <f>"FES1162630439"</f>
        <v>FES1162630439</v>
      </c>
      <c r="D1302" s="10" t="s">
        <v>19</v>
      </c>
      <c r="E1302" s="10" t="s">
        <v>787</v>
      </c>
      <c r="F1302" s="10" t="str">
        <f>"2170637360 "</f>
        <v xml:space="preserve">2170637360 </v>
      </c>
      <c r="G1302" s="10" t="str">
        <f t="shared" si="39"/>
        <v>ON1</v>
      </c>
      <c r="H1302" s="10" t="s">
        <v>21</v>
      </c>
      <c r="I1302" s="10" t="s">
        <v>788</v>
      </c>
      <c r="J1302" s="10" t="str">
        <f>""</f>
        <v/>
      </c>
      <c r="K1302" s="10" t="str">
        <f>"PFES1162630439_0001"</f>
        <v>PFES1162630439_0001</v>
      </c>
      <c r="L1302" s="10">
        <v>1</v>
      </c>
      <c r="M1302" s="10">
        <v>1</v>
      </c>
    </row>
    <row r="1303" spans="1:13">
      <c r="A1303" s="8">
        <v>43270</v>
      </c>
      <c r="B1303" s="9">
        <v>0.60555555555555551</v>
      </c>
      <c r="C1303" s="10" t="str">
        <f>"FES1162630360"</f>
        <v>FES1162630360</v>
      </c>
      <c r="D1303" s="10" t="s">
        <v>19</v>
      </c>
      <c r="E1303" s="10" t="s">
        <v>235</v>
      </c>
      <c r="F1303" s="10" t="str">
        <f>"2170637296 "</f>
        <v xml:space="preserve">2170637296 </v>
      </c>
      <c r="G1303" s="10" t="str">
        <f t="shared" si="39"/>
        <v>ON1</v>
      </c>
      <c r="H1303" s="10" t="s">
        <v>21</v>
      </c>
      <c r="I1303" s="10" t="s">
        <v>26</v>
      </c>
      <c r="J1303" s="10" t="str">
        <f>""</f>
        <v/>
      </c>
      <c r="K1303" s="10" t="str">
        <f>"PFES1162630360_0001"</f>
        <v>PFES1162630360_0001</v>
      </c>
      <c r="L1303" s="10">
        <v>1</v>
      </c>
      <c r="M1303" s="10">
        <v>3</v>
      </c>
    </row>
    <row r="1304" spans="1:13">
      <c r="A1304" s="8">
        <v>43270</v>
      </c>
      <c r="B1304" s="9">
        <v>0.60486111111111118</v>
      </c>
      <c r="C1304" s="10" t="str">
        <f>"FES1162630319"</f>
        <v>FES1162630319</v>
      </c>
      <c r="D1304" s="10" t="s">
        <v>19</v>
      </c>
      <c r="E1304" s="10" t="s">
        <v>242</v>
      </c>
      <c r="F1304" s="10" t="str">
        <f>"2170637232 "</f>
        <v xml:space="preserve">2170637232 </v>
      </c>
      <c r="G1304" s="10" t="str">
        <f t="shared" si="39"/>
        <v>ON1</v>
      </c>
      <c r="H1304" s="10" t="s">
        <v>21</v>
      </c>
      <c r="I1304" s="10" t="s">
        <v>55</v>
      </c>
      <c r="J1304" s="10" t="str">
        <f>""</f>
        <v/>
      </c>
      <c r="K1304" s="10" t="str">
        <f>"PFES1162630319_0001"</f>
        <v>PFES1162630319_0001</v>
      </c>
      <c r="L1304" s="10">
        <v>1</v>
      </c>
      <c r="M1304" s="10">
        <v>4</v>
      </c>
    </row>
    <row r="1305" spans="1:13">
      <c r="A1305" s="8">
        <v>43270</v>
      </c>
      <c r="B1305" s="9">
        <v>0.60347222222222219</v>
      </c>
      <c r="C1305" s="10" t="str">
        <f>"FES1162630398"</f>
        <v>FES1162630398</v>
      </c>
      <c r="D1305" s="10" t="s">
        <v>19</v>
      </c>
      <c r="E1305" s="10" t="s">
        <v>263</v>
      </c>
      <c r="F1305" s="10" t="str">
        <f>"2170635039 "</f>
        <v xml:space="preserve">2170635039 </v>
      </c>
      <c r="G1305" s="10" t="str">
        <f t="shared" si="39"/>
        <v>ON1</v>
      </c>
      <c r="H1305" s="10" t="s">
        <v>21</v>
      </c>
      <c r="I1305" s="10" t="s">
        <v>230</v>
      </c>
      <c r="J1305" s="10" t="str">
        <f>""</f>
        <v/>
      </c>
      <c r="K1305" s="10" t="str">
        <f>"PFES1162630398_0001"</f>
        <v>PFES1162630398_0001</v>
      </c>
      <c r="L1305" s="10">
        <v>1</v>
      </c>
      <c r="M1305" s="10">
        <v>3</v>
      </c>
    </row>
    <row r="1306" spans="1:13">
      <c r="A1306" s="8">
        <v>43270</v>
      </c>
      <c r="B1306" s="9">
        <v>0.60277777777777775</v>
      </c>
      <c r="C1306" s="10" t="str">
        <f>"FES1162630478"</f>
        <v>FES1162630478</v>
      </c>
      <c r="D1306" s="10" t="s">
        <v>19</v>
      </c>
      <c r="E1306" s="10" t="s">
        <v>491</v>
      </c>
      <c r="F1306" s="10" t="str">
        <f>"2170636860 "</f>
        <v xml:space="preserve">2170636860 </v>
      </c>
      <c r="G1306" s="10" t="str">
        <f t="shared" si="39"/>
        <v>ON1</v>
      </c>
      <c r="H1306" s="10" t="s">
        <v>21</v>
      </c>
      <c r="I1306" s="10" t="s">
        <v>228</v>
      </c>
      <c r="J1306" s="10" t="str">
        <f>""</f>
        <v/>
      </c>
      <c r="K1306" s="10" t="str">
        <f>"PFES1162630478_0001"</f>
        <v>PFES1162630478_0001</v>
      </c>
      <c r="L1306" s="10">
        <v>1</v>
      </c>
      <c r="M1306" s="10">
        <v>15</v>
      </c>
    </row>
    <row r="1307" spans="1:13">
      <c r="A1307" s="8">
        <v>43270</v>
      </c>
      <c r="B1307" s="9">
        <v>0.60138888888888886</v>
      </c>
      <c r="C1307" s="10" t="str">
        <f>"FES1162630330"</f>
        <v>FES1162630330</v>
      </c>
      <c r="D1307" s="10" t="s">
        <v>19</v>
      </c>
      <c r="E1307" s="10" t="s">
        <v>411</v>
      </c>
      <c r="F1307" s="10" t="str">
        <f>"2170637276 "</f>
        <v xml:space="preserve">2170637276 </v>
      </c>
      <c r="G1307" s="10" t="str">
        <f t="shared" si="39"/>
        <v>ON1</v>
      </c>
      <c r="H1307" s="10" t="s">
        <v>21</v>
      </c>
      <c r="I1307" s="10" t="s">
        <v>28</v>
      </c>
      <c r="J1307" s="10" t="str">
        <f>""</f>
        <v/>
      </c>
      <c r="K1307" s="10" t="str">
        <f>"PFES1162630330_0001"</f>
        <v>PFES1162630330_0001</v>
      </c>
      <c r="L1307" s="10">
        <v>1</v>
      </c>
      <c r="M1307" s="10">
        <v>3</v>
      </c>
    </row>
    <row r="1308" spans="1:13">
      <c r="A1308" s="8">
        <v>43270</v>
      </c>
      <c r="B1308" s="9">
        <v>0.60069444444444442</v>
      </c>
      <c r="C1308" s="10" t="str">
        <f>"FES1162630304"</f>
        <v>FES1162630304</v>
      </c>
      <c r="D1308" s="10" t="s">
        <v>19</v>
      </c>
      <c r="E1308" s="10" t="s">
        <v>252</v>
      </c>
      <c r="F1308" s="10" t="str">
        <f>"2170636483 "</f>
        <v xml:space="preserve">2170636483 </v>
      </c>
      <c r="G1308" s="10" t="str">
        <f t="shared" si="39"/>
        <v>ON1</v>
      </c>
      <c r="H1308" s="10" t="s">
        <v>21</v>
      </c>
      <c r="I1308" s="10" t="s">
        <v>253</v>
      </c>
      <c r="J1308" s="10" t="str">
        <f>""</f>
        <v/>
      </c>
      <c r="K1308" s="10" t="str">
        <f>"PFES1162630304_0001"</f>
        <v>PFES1162630304_0001</v>
      </c>
      <c r="L1308" s="10">
        <v>1</v>
      </c>
      <c r="M1308" s="10">
        <v>8</v>
      </c>
    </row>
    <row r="1309" spans="1:13">
      <c r="A1309" s="8">
        <v>43270</v>
      </c>
      <c r="B1309" s="9">
        <v>0.59930555555555554</v>
      </c>
      <c r="C1309" s="10" t="str">
        <f>"FES1162630373"</f>
        <v>FES1162630373</v>
      </c>
      <c r="D1309" s="10" t="s">
        <v>19</v>
      </c>
      <c r="E1309" s="10" t="s">
        <v>789</v>
      </c>
      <c r="F1309" s="10" t="str">
        <f>"2170637282 "</f>
        <v xml:space="preserve">2170637282 </v>
      </c>
      <c r="G1309" s="10" t="str">
        <f t="shared" si="39"/>
        <v>ON1</v>
      </c>
      <c r="H1309" s="10" t="s">
        <v>21</v>
      </c>
      <c r="I1309" s="10" t="s">
        <v>790</v>
      </c>
      <c r="J1309" s="10" t="str">
        <f>""</f>
        <v/>
      </c>
      <c r="K1309" s="10" t="str">
        <f>"PFES1162630373_0001"</f>
        <v>PFES1162630373_0001</v>
      </c>
      <c r="L1309" s="10">
        <v>1</v>
      </c>
      <c r="M1309" s="10">
        <v>7</v>
      </c>
    </row>
    <row r="1310" spans="1:13">
      <c r="A1310" s="8">
        <v>43270</v>
      </c>
      <c r="B1310" s="9">
        <v>0.59861111111111109</v>
      </c>
      <c r="C1310" s="10" t="str">
        <f>"FES1162630421"</f>
        <v>FES1162630421</v>
      </c>
      <c r="D1310" s="10" t="s">
        <v>19</v>
      </c>
      <c r="E1310" s="10" t="s">
        <v>518</v>
      </c>
      <c r="F1310" s="10" t="str">
        <f>"2170637356 "</f>
        <v xml:space="preserve">2170637356 </v>
      </c>
      <c r="G1310" s="10" t="str">
        <f t="shared" si="39"/>
        <v>ON1</v>
      </c>
      <c r="H1310" s="10" t="s">
        <v>21</v>
      </c>
      <c r="I1310" s="10" t="s">
        <v>519</v>
      </c>
      <c r="J1310" s="10" t="str">
        <f>""</f>
        <v/>
      </c>
      <c r="K1310" s="10" t="str">
        <f>"PFES1162630421_0001"</f>
        <v>PFES1162630421_0001</v>
      </c>
      <c r="L1310" s="10">
        <v>1</v>
      </c>
      <c r="M1310" s="10">
        <v>3</v>
      </c>
    </row>
    <row r="1311" spans="1:13">
      <c r="A1311" s="8">
        <v>43270</v>
      </c>
      <c r="B1311" s="9">
        <v>0.59652777777777777</v>
      </c>
      <c r="C1311" s="10" t="str">
        <f>"FES1162630507"</f>
        <v>FES1162630507</v>
      </c>
      <c r="D1311" s="10" t="s">
        <v>19</v>
      </c>
      <c r="E1311" s="10" t="s">
        <v>791</v>
      </c>
      <c r="F1311" s="10" t="str">
        <f>"2170637444 "</f>
        <v xml:space="preserve">2170637444 </v>
      </c>
      <c r="G1311" s="10" t="str">
        <f t="shared" si="39"/>
        <v>ON1</v>
      </c>
      <c r="H1311" s="10" t="s">
        <v>21</v>
      </c>
      <c r="I1311" s="10" t="s">
        <v>61</v>
      </c>
      <c r="J1311" s="10" t="str">
        <f>""</f>
        <v/>
      </c>
      <c r="K1311" s="10" t="str">
        <f>"PFES1162630507_0001"</f>
        <v>PFES1162630507_0001</v>
      </c>
      <c r="L1311" s="10">
        <v>1</v>
      </c>
      <c r="M1311" s="10">
        <v>2</v>
      </c>
    </row>
    <row r="1312" spans="1:13">
      <c r="A1312" s="8">
        <v>43270</v>
      </c>
      <c r="B1312" s="9">
        <v>0.59583333333333333</v>
      </c>
      <c r="C1312" s="10" t="str">
        <f>"FES1162630335"</f>
        <v>FES1162630335</v>
      </c>
      <c r="D1312" s="10" t="s">
        <v>19</v>
      </c>
      <c r="E1312" s="10" t="s">
        <v>792</v>
      </c>
      <c r="F1312" s="10" t="str">
        <f>"217063285 "</f>
        <v xml:space="preserve">217063285 </v>
      </c>
      <c r="G1312" s="10" t="str">
        <f t="shared" si="39"/>
        <v>ON1</v>
      </c>
      <c r="H1312" s="10" t="s">
        <v>21</v>
      </c>
      <c r="I1312" s="10" t="s">
        <v>793</v>
      </c>
      <c r="J1312" s="10" t="str">
        <f>""</f>
        <v/>
      </c>
      <c r="K1312" s="10" t="str">
        <f>"PFES1162630335_0001"</f>
        <v>PFES1162630335_0001</v>
      </c>
      <c r="L1312" s="10">
        <v>1</v>
      </c>
      <c r="M1312" s="10">
        <v>1</v>
      </c>
    </row>
    <row r="1313" spans="1:13">
      <c r="A1313" s="8">
        <v>43270</v>
      </c>
      <c r="B1313" s="9">
        <v>0.59583333333333333</v>
      </c>
      <c r="C1313" s="10" t="str">
        <f>"FES1162630308"</f>
        <v>FES1162630308</v>
      </c>
      <c r="D1313" s="10" t="s">
        <v>19</v>
      </c>
      <c r="E1313" s="10" t="s">
        <v>394</v>
      </c>
      <c r="F1313" s="10" t="str">
        <f>"2170636940 "</f>
        <v xml:space="preserve">2170636940 </v>
      </c>
      <c r="G1313" s="10" t="str">
        <f t="shared" si="39"/>
        <v>ON1</v>
      </c>
      <c r="H1313" s="10" t="s">
        <v>21</v>
      </c>
      <c r="I1313" s="10" t="s">
        <v>75</v>
      </c>
      <c r="J1313" s="10" t="str">
        <f>""</f>
        <v/>
      </c>
      <c r="K1313" s="10" t="str">
        <f>"PFES1162630308_0001"</f>
        <v>PFES1162630308_0001</v>
      </c>
      <c r="L1313" s="10">
        <v>1</v>
      </c>
      <c r="M1313" s="10">
        <v>1</v>
      </c>
    </row>
    <row r="1314" spans="1:13">
      <c r="A1314" s="8">
        <v>43270</v>
      </c>
      <c r="B1314" s="9">
        <v>0.59583333333333333</v>
      </c>
      <c r="C1314" s="10" t="str">
        <f>"FES1162630475"</f>
        <v>FES1162630475</v>
      </c>
      <c r="D1314" s="10" t="s">
        <v>19</v>
      </c>
      <c r="E1314" s="10" t="s">
        <v>60</v>
      </c>
      <c r="F1314" s="10" t="str">
        <f>"2170637407 "</f>
        <v xml:space="preserve">2170637407 </v>
      </c>
      <c r="G1314" s="10" t="str">
        <f t="shared" si="39"/>
        <v>ON1</v>
      </c>
      <c r="H1314" s="10" t="s">
        <v>21</v>
      </c>
      <c r="I1314" s="10" t="s">
        <v>61</v>
      </c>
      <c r="J1314" s="10" t="str">
        <f>""</f>
        <v/>
      </c>
      <c r="K1314" s="10" t="str">
        <f>"PFES1162630475_0001"</f>
        <v>PFES1162630475_0001</v>
      </c>
      <c r="L1314" s="10">
        <v>1</v>
      </c>
      <c r="M1314" s="10">
        <v>4</v>
      </c>
    </row>
    <row r="1315" spans="1:13">
      <c r="A1315" s="8">
        <v>43270</v>
      </c>
      <c r="B1315" s="9">
        <v>0.59513888888888888</v>
      </c>
      <c r="C1315" s="10" t="str">
        <f>"FES1162630339"</f>
        <v>FES1162630339</v>
      </c>
      <c r="D1315" s="10" t="s">
        <v>19</v>
      </c>
      <c r="E1315" s="10" t="s">
        <v>316</v>
      </c>
      <c r="F1315" s="10" t="str">
        <f>"2170637291 "</f>
        <v xml:space="preserve">2170637291 </v>
      </c>
      <c r="G1315" s="10" t="str">
        <f t="shared" si="39"/>
        <v>ON1</v>
      </c>
      <c r="H1315" s="10" t="s">
        <v>21</v>
      </c>
      <c r="I1315" s="10" t="s">
        <v>317</v>
      </c>
      <c r="J1315" s="10" t="str">
        <f>""</f>
        <v/>
      </c>
      <c r="K1315" s="10" t="str">
        <f>"PFES1162630339_0001"</f>
        <v>PFES1162630339_0001</v>
      </c>
      <c r="L1315" s="10">
        <v>1</v>
      </c>
      <c r="M1315" s="10">
        <v>1</v>
      </c>
    </row>
    <row r="1316" spans="1:13">
      <c r="A1316" s="8">
        <v>43270</v>
      </c>
      <c r="B1316" s="9">
        <v>0.59513888888888888</v>
      </c>
      <c r="C1316" s="10" t="str">
        <f>"FES1162630279"</f>
        <v>FES1162630279</v>
      </c>
      <c r="D1316" s="10" t="s">
        <v>19</v>
      </c>
      <c r="E1316" s="10" t="s">
        <v>132</v>
      </c>
      <c r="F1316" s="10" t="str">
        <f>"2170633179 "</f>
        <v xml:space="preserve">2170633179 </v>
      </c>
      <c r="G1316" s="10" t="str">
        <f t="shared" si="39"/>
        <v>ON1</v>
      </c>
      <c r="H1316" s="10" t="s">
        <v>21</v>
      </c>
      <c r="I1316" s="10" t="s">
        <v>69</v>
      </c>
      <c r="J1316" s="10" t="str">
        <f>""</f>
        <v/>
      </c>
      <c r="K1316" s="10" t="str">
        <f>"PFES1162630279_0001"</f>
        <v>PFES1162630279_0001</v>
      </c>
      <c r="L1316" s="10">
        <v>1</v>
      </c>
      <c r="M1316" s="10">
        <v>1</v>
      </c>
    </row>
    <row r="1317" spans="1:13">
      <c r="A1317" s="8">
        <v>43270</v>
      </c>
      <c r="B1317" s="9">
        <v>0.59513888888888888</v>
      </c>
      <c r="C1317" s="10" t="str">
        <f>"FES1162630309"</f>
        <v>FES1162630309</v>
      </c>
      <c r="D1317" s="10" t="s">
        <v>19</v>
      </c>
      <c r="E1317" s="10" t="s">
        <v>794</v>
      </c>
      <c r="F1317" s="10" t="str">
        <f>"2170637039 "</f>
        <v xml:space="preserve">2170637039 </v>
      </c>
      <c r="G1317" s="10" t="str">
        <f t="shared" si="39"/>
        <v>ON1</v>
      </c>
      <c r="H1317" s="10" t="s">
        <v>21</v>
      </c>
      <c r="I1317" s="10" t="s">
        <v>317</v>
      </c>
      <c r="J1317" s="10" t="str">
        <f>""</f>
        <v/>
      </c>
      <c r="K1317" s="10" t="str">
        <f>"PFES1162630309_0001"</f>
        <v>PFES1162630309_0001</v>
      </c>
      <c r="L1317" s="10">
        <v>1</v>
      </c>
      <c r="M1317" s="10">
        <v>3</v>
      </c>
    </row>
    <row r="1318" spans="1:13">
      <c r="A1318" s="8">
        <v>43270</v>
      </c>
      <c r="B1318" s="9">
        <v>0.59513888888888888</v>
      </c>
      <c r="C1318" s="10" t="str">
        <f>"FES1162630386"</f>
        <v>FES1162630386</v>
      </c>
      <c r="D1318" s="10" t="s">
        <v>19</v>
      </c>
      <c r="E1318" s="10" t="s">
        <v>68</v>
      </c>
      <c r="F1318" s="10" t="str">
        <f>"2170637341 "</f>
        <v xml:space="preserve">2170637341 </v>
      </c>
      <c r="G1318" s="10" t="str">
        <f t="shared" si="39"/>
        <v>ON1</v>
      </c>
      <c r="H1318" s="10" t="s">
        <v>21</v>
      </c>
      <c r="I1318" s="10" t="s">
        <v>69</v>
      </c>
      <c r="J1318" s="10" t="str">
        <f>""</f>
        <v/>
      </c>
      <c r="K1318" s="10" t="str">
        <f>"PFES1162630386_0001"</f>
        <v>PFES1162630386_0001</v>
      </c>
      <c r="L1318" s="10">
        <v>1</v>
      </c>
      <c r="M1318" s="10">
        <v>1</v>
      </c>
    </row>
    <row r="1319" spans="1:13">
      <c r="A1319" s="8">
        <v>43270</v>
      </c>
      <c r="B1319" s="9">
        <v>0.59444444444444444</v>
      </c>
      <c r="C1319" s="10" t="str">
        <f>"FES1162630348"</f>
        <v>FES1162630348</v>
      </c>
      <c r="D1319" s="10" t="s">
        <v>19</v>
      </c>
      <c r="E1319" s="10" t="s">
        <v>795</v>
      </c>
      <c r="F1319" s="10" t="str">
        <f>"2170637293 "</f>
        <v xml:space="preserve">2170637293 </v>
      </c>
      <c r="G1319" s="10" t="str">
        <f t="shared" si="39"/>
        <v>ON1</v>
      </c>
      <c r="H1319" s="10" t="s">
        <v>21</v>
      </c>
      <c r="I1319" s="10" t="s">
        <v>397</v>
      </c>
      <c r="J1319" s="10" t="str">
        <f>""</f>
        <v/>
      </c>
      <c r="K1319" s="10" t="str">
        <f>"PFES1162630348_0001"</f>
        <v>PFES1162630348_0001</v>
      </c>
      <c r="L1319" s="10">
        <v>1</v>
      </c>
      <c r="M1319" s="10">
        <v>1</v>
      </c>
    </row>
    <row r="1320" spans="1:13">
      <c r="A1320" s="8">
        <v>43270</v>
      </c>
      <c r="B1320" s="9">
        <v>0.59444444444444444</v>
      </c>
      <c r="C1320" s="10" t="str">
        <f>"FES1162630296"</f>
        <v>FES1162630296</v>
      </c>
      <c r="D1320" s="10" t="s">
        <v>19</v>
      </c>
      <c r="E1320" s="10" t="s">
        <v>796</v>
      </c>
      <c r="F1320" s="10" t="str">
        <f>"2170636325 "</f>
        <v xml:space="preserve">2170636325 </v>
      </c>
      <c r="G1320" s="10" t="str">
        <f t="shared" si="39"/>
        <v>ON1</v>
      </c>
      <c r="H1320" s="10" t="s">
        <v>21</v>
      </c>
      <c r="I1320" s="10" t="s">
        <v>797</v>
      </c>
      <c r="J1320" s="10" t="str">
        <f>""</f>
        <v/>
      </c>
      <c r="K1320" s="10" t="str">
        <f>"PFES1162630296_0001"</f>
        <v>PFES1162630296_0001</v>
      </c>
      <c r="L1320" s="10">
        <v>1</v>
      </c>
      <c r="M1320" s="10">
        <v>1</v>
      </c>
    </row>
    <row r="1321" spans="1:13">
      <c r="A1321" s="8">
        <v>43270</v>
      </c>
      <c r="B1321" s="9">
        <v>0.59375</v>
      </c>
      <c r="C1321" s="10" t="str">
        <f>"FES1162630298"</f>
        <v>FES1162630298</v>
      </c>
      <c r="D1321" s="10" t="s">
        <v>19</v>
      </c>
      <c r="E1321" s="10" t="s">
        <v>581</v>
      </c>
      <c r="F1321" s="10" t="str">
        <f>"21706366 "</f>
        <v xml:space="preserve">21706366 </v>
      </c>
      <c r="G1321" s="10" t="str">
        <f t="shared" si="39"/>
        <v>ON1</v>
      </c>
      <c r="H1321" s="10" t="s">
        <v>21</v>
      </c>
      <c r="I1321" s="10" t="s">
        <v>582</v>
      </c>
      <c r="J1321" s="10" t="str">
        <f>""</f>
        <v/>
      </c>
      <c r="K1321" s="10" t="str">
        <f>"PFES1162630298_0001"</f>
        <v>PFES1162630298_0001</v>
      </c>
      <c r="L1321" s="10">
        <v>1</v>
      </c>
      <c r="M1321" s="10">
        <v>1</v>
      </c>
    </row>
    <row r="1322" spans="1:13">
      <c r="A1322" s="8">
        <v>43270</v>
      </c>
      <c r="B1322" s="9">
        <v>0.59375</v>
      </c>
      <c r="C1322" s="10" t="str">
        <f>"FES1162630414"</f>
        <v>FES1162630414</v>
      </c>
      <c r="D1322" s="10" t="s">
        <v>19</v>
      </c>
      <c r="E1322" s="10" t="s">
        <v>729</v>
      </c>
      <c r="F1322" s="10" t="str">
        <f>"2170635411 "</f>
        <v xml:space="preserve">2170635411 </v>
      </c>
      <c r="G1322" s="10" t="str">
        <f t="shared" si="39"/>
        <v>ON1</v>
      </c>
      <c r="H1322" s="10" t="s">
        <v>21</v>
      </c>
      <c r="I1322" s="10" t="s">
        <v>112</v>
      </c>
      <c r="J1322" s="10" t="str">
        <f>""</f>
        <v/>
      </c>
      <c r="K1322" s="10" t="str">
        <f>"PFES1162630414_0001"</f>
        <v>PFES1162630414_0001</v>
      </c>
      <c r="L1322" s="10">
        <v>1</v>
      </c>
      <c r="M1322" s="10">
        <v>1</v>
      </c>
    </row>
    <row r="1323" spans="1:13">
      <c r="A1323" s="8">
        <v>43270</v>
      </c>
      <c r="B1323" s="9">
        <v>0.59375</v>
      </c>
      <c r="C1323" s="10" t="str">
        <f>"FES1162630418"</f>
        <v>FES1162630418</v>
      </c>
      <c r="D1323" s="10" t="s">
        <v>19</v>
      </c>
      <c r="E1323" s="10" t="s">
        <v>117</v>
      </c>
      <c r="F1323" s="10" t="str">
        <f>"217063750 "</f>
        <v xml:space="preserve">217063750 </v>
      </c>
      <c r="G1323" s="10" t="str">
        <f t="shared" si="39"/>
        <v>ON1</v>
      </c>
      <c r="H1323" s="10" t="s">
        <v>21</v>
      </c>
      <c r="I1323" s="10" t="s">
        <v>118</v>
      </c>
      <c r="J1323" s="10" t="str">
        <f>""</f>
        <v/>
      </c>
      <c r="K1323" s="10" t="str">
        <f>"PFES1162630418_0001"</f>
        <v>PFES1162630418_0001</v>
      </c>
      <c r="L1323" s="10">
        <v>1</v>
      </c>
      <c r="M1323" s="10">
        <v>1</v>
      </c>
    </row>
    <row r="1324" spans="1:13">
      <c r="A1324" s="8">
        <v>43270</v>
      </c>
      <c r="B1324" s="9">
        <v>0.59305555555555556</v>
      </c>
      <c r="C1324" s="10" t="str">
        <f>"FES1162630342"</f>
        <v>FES1162630342</v>
      </c>
      <c r="D1324" s="10" t="s">
        <v>19</v>
      </c>
      <c r="E1324" s="10" t="s">
        <v>798</v>
      </c>
      <c r="F1324" s="10" t="str">
        <f>"2170637300 "</f>
        <v xml:space="preserve">2170637300 </v>
      </c>
      <c r="G1324" s="10" t="str">
        <f t="shared" si="39"/>
        <v>ON1</v>
      </c>
      <c r="H1324" s="10" t="s">
        <v>21</v>
      </c>
      <c r="I1324" s="10" t="s">
        <v>290</v>
      </c>
      <c r="J1324" s="10" t="str">
        <f>""</f>
        <v/>
      </c>
      <c r="K1324" s="10" t="str">
        <f>"PFES1162630342_0001"</f>
        <v>PFES1162630342_0001</v>
      </c>
      <c r="L1324" s="10">
        <v>1</v>
      </c>
      <c r="M1324" s="10">
        <v>1</v>
      </c>
    </row>
    <row r="1325" spans="1:13">
      <c r="A1325" s="8">
        <v>43270</v>
      </c>
      <c r="B1325" s="9">
        <v>0.59236111111111112</v>
      </c>
      <c r="C1325" s="10" t="str">
        <f>"FES1162630337"</f>
        <v>FES1162630337</v>
      </c>
      <c r="D1325" s="10" t="s">
        <v>19</v>
      </c>
      <c r="E1325" s="10" t="s">
        <v>518</v>
      </c>
      <c r="F1325" s="10" t="str">
        <f>"21706271888 "</f>
        <v xml:space="preserve">21706271888 </v>
      </c>
      <c r="G1325" s="10" t="str">
        <f t="shared" si="39"/>
        <v>ON1</v>
      </c>
      <c r="H1325" s="10" t="s">
        <v>21</v>
      </c>
      <c r="I1325" s="10" t="s">
        <v>519</v>
      </c>
      <c r="J1325" s="10" t="str">
        <f>""</f>
        <v/>
      </c>
      <c r="K1325" s="10" t="str">
        <f>"PFES1162630337_0001"</f>
        <v>PFES1162630337_0001</v>
      </c>
      <c r="L1325" s="10">
        <v>1</v>
      </c>
      <c r="M1325" s="10">
        <v>1</v>
      </c>
    </row>
    <row r="1326" spans="1:13">
      <c r="A1326" s="8">
        <v>43270</v>
      </c>
      <c r="B1326" s="9">
        <v>0.59236111111111112</v>
      </c>
      <c r="C1326" s="10" t="str">
        <f>"FES1162630378"</f>
        <v>FES1162630378</v>
      </c>
      <c r="D1326" s="10" t="s">
        <v>19</v>
      </c>
      <c r="E1326" s="10" t="s">
        <v>214</v>
      </c>
      <c r="F1326" s="10" t="str">
        <f>"217067334 "</f>
        <v xml:space="preserve">217067334 </v>
      </c>
      <c r="G1326" s="10" t="str">
        <f t="shared" si="39"/>
        <v>ON1</v>
      </c>
      <c r="H1326" s="10" t="s">
        <v>21</v>
      </c>
      <c r="I1326" s="10" t="s">
        <v>215</v>
      </c>
      <c r="J1326" s="10" t="str">
        <f>""</f>
        <v/>
      </c>
      <c r="K1326" s="10" t="str">
        <f>"PFES1162630378_0001"</f>
        <v>PFES1162630378_0001</v>
      </c>
      <c r="L1326" s="10">
        <v>1</v>
      </c>
      <c r="M1326" s="10">
        <v>1</v>
      </c>
    </row>
    <row r="1327" spans="1:13">
      <c r="A1327" s="8">
        <v>43270</v>
      </c>
      <c r="B1327" s="9">
        <v>0.59166666666666667</v>
      </c>
      <c r="C1327" s="10" t="str">
        <f>"FES1162630311"</f>
        <v>FES1162630311</v>
      </c>
      <c r="D1327" s="10" t="s">
        <v>19</v>
      </c>
      <c r="E1327" s="10" t="s">
        <v>263</v>
      </c>
      <c r="F1327" s="10" t="str">
        <f>"2170637067 "</f>
        <v xml:space="preserve">2170637067 </v>
      </c>
      <c r="G1327" s="10" t="str">
        <f t="shared" si="39"/>
        <v>ON1</v>
      </c>
      <c r="H1327" s="10" t="s">
        <v>21</v>
      </c>
      <c r="I1327" s="10" t="s">
        <v>230</v>
      </c>
      <c r="J1327" s="10" t="str">
        <f>""</f>
        <v/>
      </c>
      <c r="K1327" s="10" t="str">
        <f>"PFES1162630311_0001"</f>
        <v>PFES1162630311_0001</v>
      </c>
      <c r="L1327" s="10">
        <v>1</v>
      </c>
      <c r="M1327" s="10">
        <v>1</v>
      </c>
    </row>
    <row r="1328" spans="1:13">
      <c r="A1328" s="8">
        <v>43270</v>
      </c>
      <c r="B1328" s="9">
        <v>0.59166666666666667</v>
      </c>
      <c r="C1328" s="10" t="str">
        <f>"FES1162630410"</f>
        <v>FES1162630410</v>
      </c>
      <c r="D1328" s="10" t="s">
        <v>19</v>
      </c>
      <c r="E1328" s="10" t="s">
        <v>247</v>
      </c>
      <c r="F1328" s="10" t="str">
        <f>"2170635264 "</f>
        <v xml:space="preserve">2170635264 </v>
      </c>
      <c r="G1328" s="10" t="str">
        <f t="shared" si="39"/>
        <v>ON1</v>
      </c>
      <c r="H1328" s="10" t="s">
        <v>21</v>
      </c>
      <c r="I1328" s="10" t="s">
        <v>248</v>
      </c>
      <c r="J1328" s="10" t="str">
        <f>""</f>
        <v/>
      </c>
      <c r="K1328" s="10" t="str">
        <f>"PFES1162630410_0001"</f>
        <v>PFES1162630410_0001</v>
      </c>
      <c r="L1328" s="10">
        <v>1</v>
      </c>
      <c r="M1328" s="10">
        <v>1</v>
      </c>
    </row>
    <row r="1329" spans="1:13">
      <c r="A1329" s="8">
        <v>43270</v>
      </c>
      <c r="B1329" s="9">
        <v>0.59097222222222223</v>
      </c>
      <c r="C1329" s="10" t="str">
        <f>"FES1162630499"</f>
        <v>FES1162630499</v>
      </c>
      <c r="D1329" s="10" t="s">
        <v>19</v>
      </c>
      <c r="E1329" s="10" t="s">
        <v>117</v>
      </c>
      <c r="F1329" s="10" t="str">
        <f>"2170636380 "</f>
        <v xml:space="preserve">2170636380 </v>
      </c>
      <c r="G1329" s="10" t="str">
        <f t="shared" si="39"/>
        <v>ON1</v>
      </c>
      <c r="H1329" s="10" t="s">
        <v>21</v>
      </c>
      <c r="I1329" s="10" t="s">
        <v>118</v>
      </c>
      <c r="J1329" s="10" t="str">
        <f>""</f>
        <v/>
      </c>
      <c r="K1329" s="10" t="str">
        <f>"PFES1162630499_0001"</f>
        <v>PFES1162630499_0001</v>
      </c>
      <c r="L1329" s="10">
        <v>1</v>
      </c>
      <c r="M1329" s="10">
        <v>1</v>
      </c>
    </row>
    <row r="1330" spans="1:13">
      <c r="A1330" s="8">
        <v>43270</v>
      </c>
      <c r="B1330" s="9">
        <v>0.59097222222222223</v>
      </c>
      <c r="C1330" s="10" t="str">
        <f>"FES1162630302"</f>
        <v>FES1162630302</v>
      </c>
      <c r="D1330" s="10" t="s">
        <v>19</v>
      </c>
      <c r="E1330" s="10" t="s">
        <v>259</v>
      </c>
      <c r="F1330" s="10" t="str">
        <f>"2170636404 "</f>
        <v xml:space="preserve">2170636404 </v>
      </c>
      <c r="G1330" s="10" t="str">
        <f t="shared" si="39"/>
        <v>ON1</v>
      </c>
      <c r="H1330" s="10" t="s">
        <v>21</v>
      </c>
      <c r="I1330" s="10" t="s">
        <v>260</v>
      </c>
      <c r="J1330" s="10" t="str">
        <f>""</f>
        <v/>
      </c>
      <c r="K1330" s="10" t="str">
        <f>"PFES1162630302_0001"</f>
        <v>PFES1162630302_0001</v>
      </c>
      <c r="L1330" s="10">
        <v>1</v>
      </c>
      <c r="M1330" s="10">
        <v>1</v>
      </c>
    </row>
    <row r="1331" spans="1:13">
      <c r="A1331" s="8">
        <v>43270</v>
      </c>
      <c r="B1331" s="9">
        <v>0.59097222222222223</v>
      </c>
      <c r="C1331" s="10" t="str">
        <f>"FES1162630403"</f>
        <v>FES1162630403</v>
      </c>
      <c r="D1331" s="10" t="s">
        <v>19</v>
      </c>
      <c r="E1331" s="10" t="s">
        <v>591</v>
      </c>
      <c r="F1331" s="10" t="str">
        <f>"2170635171 "</f>
        <v xml:space="preserve">2170635171 </v>
      </c>
      <c r="G1331" s="10" t="str">
        <f t="shared" si="39"/>
        <v>ON1</v>
      </c>
      <c r="H1331" s="10" t="s">
        <v>21</v>
      </c>
      <c r="I1331" s="10" t="s">
        <v>305</v>
      </c>
      <c r="J1331" s="10" t="str">
        <f>""</f>
        <v/>
      </c>
      <c r="K1331" s="10" t="str">
        <f>"PFES1162630403_0001"</f>
        <v>PFES1162630403_0001</v>
      </c>
      <c r="L1331" s="10">
        <v>1</v>
      </c>
      <c r="M1331" s="10">
        <v>1</v>
      </c>
    </row>
    <row r="1332" spans="1:13">
      <c r="A1332" s="8">
        <v>43270</v>
      </c>
      <c r="B1332" s="9">
        <v>0.59027777777777779</v>
      </c>
      <c r="C1332" s="10" t="str">
        <f>"FES1162630305"</f>
        <v>FES1162630305</v>
      </c>
      <c r="D1332" s="10" t="s">
        <v>19</v>
      </c>
      <c r="E1332" s="10" t="s">
        <v>799</v>
      </c>
      <c r="F1332" s="10" t="str">
        <f>"217063531 "</f>
        <v xml:space="preserve">217063531 </v>
      </c>
      <c r="G1332" s="10" t="str">
        <f t="shared" si="39"/>
        <v>ON1</v>
      </c>
      <c r="H1332" s="10" t="s">
        <v>21</v>
      </c>
      <c r="I1332" s="10" t="s">
        <v>800</v>
      </c>
      <c r="J1332" s="10" t="str">
        <f>""</f>
        <v/>
      </c>
      <c r="K1332" s="10" t="str">
        <f>"PFES1162630305_0001"</f>
        <v>PFES1162630305_0001</v>
      </c>
      <c r="L1332" s="10">
        <v>1</v>
      </c>
      <c r="M1332" s="10">
        <v>1</v>
      </c>
    </row>
    <row r="1333" spans="1:13">
      <c r="A1333" s="8">
        <v>43270</v>
      </c>
      <c r="B1333" s="9">
        <v>0.5756944444444444</v>
      </c>
      <c r="C1333" s="10" t="str">
        <f>"FES1162630379"</f>
        <v>FES1162630379</v>
      </c>
      <c r="D1333" s="10" t="s">
        <v>19</v>
      </c>
      <c r="E1333" s="10" t="s">
        <v>67</v>
      </c>
      <c r="F1333" s="10" t="str">
        <f>"2170637336 "</f>
        <v xml:space="preserve">2170637336 </v>
      </c>
      <c r="G1333" s="10" t="str">
        <f t="shared" si="39"/>
        <v>ON1</v>
      </c>
      <c r="H1333" s="10" t="s">
        <v>21</v>
      </c>
      <c r="I1333" s="10" t="s">
        <v>46</v>
      </c>
      <c r="J1333" s="10" t="str">
        <f>""</f>
        <v/>
      </c>
      <c r="K1333" s="10" t="str">
        <f>"PFES1162630379_0001"</f>
        <v>PFES1162630379_0001</v>
      </c>
      <c r="L1333" s="10">
        <v>1</v>
      </c>
      <c r="M1333" s="10">
        <v>1</v>
      </c>
    </row>
    <row r="1334" spans="1:13">
      <c r="A1334" s="8">
        <v>43270</v>
      </c>
      <c r="B1334" s="9">
        <v>0.57500000000000007</v>
      </c>
      <c r="C1334" s="10" t="str">
        <f>"FES1162630329"</f>
        <v>FES1162630329</v>
      </c>
      <c r="D1334" s="10" t="s">
        <v>19</v>
      </c>
      <c r="E1334" s="10" t="s">
        <v>801</v>
      </c>
      <c r="F1334" s="10" t="str">
        <f>"2170637275 "</f>
        <v xml:space="preserve">2170637275 </v>
      </c>
      <c r="G1334" s="10" t="str">
        <f t="shared" si="39"/>
        <v>ON1</v>
      </c>
      <c r="H1334" s="10" t="s">
        <v>21</v>
      </c>
      <c r="I1334" s="10" t="s">
        <v>162</v>
      </c>
      <c r="J1334" s="10" t="str">
        <f>""</f>
        <v/>
      </c>
      <c r="K1334" s="10" t="str">
        <f>"PFES1162630329_0001"</f>
        <v>PFES1162630329_0001</v>
      </c>
      <c r="L1334" s="10">
        <v>1</v>
      </c>
      <c r="M1334" s="10">
        <v>1</v>
      </c>
    </row>
    <row r="1335" spans="1:13">
      <c r="A1335" s="8">
        <v>43270</v>
      </c>
      <c r="B1335" s="9">
        <v>0.57430555555555551</v>
      </c>
      <c r="C1335" s="10" t="str">
        <f>"FES1162630297"</f>
        <v>FES1162630297</v>
      </c>
      <c r="D1335" s="10" t="s">
        <v>19</v>
      </c>
      <c r="E1335" s="10" t="s">
        <v>539</v>
      </c>
      <c r="F1335" s="10" t="str">
        <f>"2170636361 "</f>
        <v xml:space="preserve">2170636361 </v>
      </c>
      <c r="G1335" s="10" t="str">
        <f t="shared" si="39"/>
        <v>ON1</v>
      </c>
      <c r="H1335" s="10" t="s">
        <v>21</v>
      </c>
      <c r="I1335" s="10" t="s">
        <v>96</v>
      </c>
      <c r="J1335" s="10" t="str">
        <f>""</f>
        <v/>
      </c>
      <c r="K1335" s="10" t="str">
        <f>"PFES1162630297_0001"</f>
        <v>PFES1162630297_0001</v>
      </c>
      <c r="L1335" s="10">
        <v>1</v>
      </c>
      <c r="M1335" s="10">
        <v>1</v>
      </c>
    </row>
    <row r="1336" spans="1:13">
      <c r="A1336" s="8">
        <v>43270</v>
      </c>
      <c r="B1336" s="9">
        <v>0.57430555555555551</v>
      </c>
      <c r="C1336" s="10" t="str">
        <f>"FES1162630500"</f>
        <v>FES1162630500</v>
      </c>
      <c r="D1336" s="10" t="s">
        <v>19</v>
      </c>
      <c r="E1336" s="10" t="s">
        <v>802</v>
      </c>
      <c r="F1336" s="10" t="str">
        <f>"2170634237 "</f>
        <v xml:space="preserve">2170634237 </v>
      </c>
      <c r="G1336" s="10" t="str">
        <f t="shared" si="39"/>
        <v>ON1</v>
      </c>
      <c r="H1336" s="10" t="s">
        <v>21</v>
      </c>
      <c r="I1336" s="10" t="s">
        <v>415</v>
      </c>
      <c r="J1336" s="10" t="str">
        <f>""</f>
        <v/>
      </c>
      <c r="K1336" s="10" t="str">
        <f>"PFES1162630500_0001"</f>
        <v>PFES1162630500_0001</v>
      </c>
      <c r="L1336" s="10">
        <v>1</v>
      </c>
      <c r="M1336" s="10">
        <v>1</v>
      </c>
    </row>
    <row r="1337" spans="1:13">
      <c r="A1337" s="8">
        <v>43270</v>
      </c>
      <c r="B1337" s="9">
        <v>0.57361111111111118</v>
      </c>
      <c r="C1337" s="10" t="str">
        <f>"FES1162630333"</f>
        <v>FES1162630333</v>
      </c>
      <c r="D1337" s="10" t="s">
        <v>19</v>
      </c>
      <c r="E1337" s="10" t="s">
        <v>95</v>
      </c>
      <c r="F1337" s="10" t="str">
        <f>"2170637281 "</f>
        <v xml:space="preserve">2170637281 </v>
      </c>
      <c r="G1337" s="10" t="str">
        <f t="shared" si="39"/>
        <v>ON1</v>
      </c>
      <c r="H1337" s="10" t="s">
        <v>21</v>
      </c>
      <c r="I1337" s="10" t="s">
        <v>96</v>
      </c>
      <c r="J1337" s="10" t="str">
        <f>""</f>
        <v/>
      </c>
      <c r="K1337" s="10" t="str">
        <f>"PFES1162630333_0001"</f>
        <v>PFES1162630333_0001</v>
      </c>
      <c r="L1337" s="10">
        <v>1</v>
      </c>
      <c r="M1337" s="10">
        <v>1</v>
      </c>
    </row>
    <row r="1338" spans="1:13">
      <c r="A1338" s="8">
        <v>43270</v>
      </c>
      <c r="B1338" s="9">
        <v>0.57361111111111118</v>
      </c>
      <c r="C1338" s="10" t="str">
        <f>"FES1162630312"</f>
        <v>FES1162630312</v>
      </c>
      <c r="D1338" s="10" t="s">
        <v>19</v>
      </c>
      <c r="E1338" s="10" t="s">
        <v>163</v>
      </c>
      <c r="F1338" s="10" t="str">
        <f>"2170637089 "</f>
        <v xml:space="preserve">2170637089 </v>
      </c>
      <c r="G1338" s="10" t="str">
        <f t="shared" si="39"/>
        <v>ON1</v>
      </c>
      <c r="H1338" s="10" t="s">
        <v>21</v>
      </c>
      <c r="I1338" s="10" t="s">
        <v>51</v>
      </c>
      <c r="J1338" s="10" t="str">
        <f>""</f>
        <v/>
      </c>
      <c r="K1338" s="10" t="str">
        <f>"PFES1162630312_0001"</f>
        <v>PFES1162630312_0001</v>
      </c>
      <c r="L1338" s="10">
        <v>1</v>
      </c>
      <c r="M1338" s="10">
        <v>1</v>
      </c>
    </row>
    <row r="1339" spans="1:13">
      <c r="A1339" s="8">
        <v>43270</v>
      </c>
      <c r="B1339" s="9">
        <v>0.57291666666666663</v>
      </c>
      <c r="C1339" s="10" t="str">
        <f>"FES1162630321"</f>
        <v>FES1162630321</v>
      </c>
      <c r="D1339" s="10" t="s">
        <v>19</v>
      </c>
      <c r="E1339" s="10" t="s">
        <v>568</v>
      </c>
      <c r="F1339" s="10" t="str">
        <f>"2170637258 "</f>
        <v xml:space="preserve">2170637258 </v>
      </c>
      <c r="G1339" s="10" t="str">
        <f t="shared" si="39"/>
        <v>ON1</v>
      </c>
      <c r="H1339" s="10" t="s">
        <v>21</v>
      </c>
      <c r="I1339" s="10" t="s">
        <v>569</v>
      </c>
      <c r="J1339" s="10" t="str">
        <f>""</f>
        <v/>
      </c>
      <c r="K1339" s="10" t="str">
        <f>"PFES1162630321_0001"</f>
        <v>PFES1162630321_0001</v>
      </c>
      <c r="L1339" s="10">
        <v>1</v>
      </c>
      <c r="M1339" s="10">
        <v>1</v>
      </c>
    </row>
    <row r="1340" spans="1:13">
      <c r="A1340" s="8">
        <v>43270</v>
      </c>
      <c r="B1340" s="9">
        <v>0.57222222222222219</v>
      </c>
      <c r="C1340" s="10" t="str">
        <f>"FES1162630322"</f>
        <v>FES1162630322</v>
      </c>
      <c r="D1340" s="10" t="s">
        <v>19</v>
      </c>
      <c r="E1340" s="10" t="s">
        <v>302</v>
      </c>
      <c r="F1340" s="10" t="str">
        <f>"2170637261 "</f>
        <v xml:space="preserve">2170637261 </v>
      </c>
      <c r="G1340" s="10" t="str">
        <f t="shared" si="39"/>
        <v>ON1</v>
      </c>
      <c r="H1340" s="10" t="s">
        <v>21</v>
      </c>
      <c r="I1340" s="10" t="s">
        <v>303</v>
      </c>
      <c r="J1340" s="10" t="str">
        <f>""</f>
        <v/>
      </c>
      <c r="K1340" s="10" t="str">
        <f>"PFES1162630322_0001"</f>
        <v>PFES1162630322_0001</v>
      </c>
      <c r="L1340" s="10">
        <v>1</v>
      </c>
      <c r="M1340" s="10">
        <v>1</v>
      </c>
    </row>
    <row r="1341" spans="1:13">
      <c r="A1341" s="8">
        <v>43270</v>
      </c>
      <c r="B1341" s="9">
        <v>0.57152777777777775</v>
      </c>
      <c r="C1341" s="10" t="str">
        <f>"FES1162630293"</f>
        <v>FES1162630293</v>
      </c>
      <c r="D1341" s="10" t="s">
        <v>19</v>
      </c>
      <c r="E1341" s="10" t="s">
        <v>293</v>
      </c>
      <c r="F1341" s="10" t="str">
        <f>"2170636068 "</f>
        <v xml:space="preserve">2170636068 </v>
      </c>
      <c r="G1341" s="10" t="str">
        <f t="shared" si="39"/>
        <v>ON1</v>
      </c>
      <c r="H1341" s="10" t="s">
        <v>21</v>
      </c>
      <c r="I1341" s="10" t="s">
        <v>61</v>
      </c>
      <c r="J1341" s="10" t="str">
        <f>""</f>
        <v/>
      </c>
      <c r="K1341" s="10" t="str">
        <f>"PFES1162630293_0001"</f>
        <v>PFES1162630293_0001</v>
      </c>
      <c r="L1341" s="10">
        <v>1</v>
      </c>
      <c r="M1341" s="10">
        <v>1</v>
      </c>
    </row>
    <row r="1342" spans="1:13">
      <c r="A1342" s="8">
        <v>43270</v>
      </c>
      <c r="B1342" s="9">
        <v>0.5708333333333333</v>
      </c>
      <c r="C1342" s="10" t="str">
        <f>"FES1162630303"</f>
        <v>FES1162630303</v>
      </c>
      <c r="D1342" s="10" t="s">
        <v>19</v>
      </c>
      <c r="E1342" s="10" t="s">
        <v>302</v>
      </c>
      <c r="F1342" s="10" t="str">
        <f>"2170636463 "</f>
        <v xml:space="preserve">2170636463 </v>
      </c>
      <c r="G1342" s="10" t="str">
        <f t="shared" si="39"/>
        <v>ON1</v>
      </c>
      <c r="H1342" s="10" t="s">
        <v>21</v>
      </c>
      <c r="I1342" s="10" t="s">
        <v>303</v>
      </c>
      <c r="J1342" s="10" t="str">
        <f>""</f>
        <v/>
      </c>
      <c r="K1342" s="10" t="str">
        <f>"PFES1162630303_0001"</f>
        <v>PFES1162630303_0001</v>
      </c>
      <c r="L1342" s="10">
        <v>1</v>
      </c>
      <c r="M1342" s="10">
        <v>1</v>
      </c>
    </row>
    <row r="1343" spans="1:13">
      <c r="A1343" s="8">
        <v>43270</v>
      </c>
      <c r="B1343" s="9">
        <v>0.55138888888888882</v>
      </c>
      <c r="C1343" s="10" t="str">
        <f>"FES1162630317"</f>
        <v>FES1162630317</v>
      </c>
      <c r="D1343" s="10" t="s">
        <v>19</v>
      </c>
      <c r="E1343" s="10" t="s">
        <v>67</v>
      </c>
      <c r="F1343" s="10" t="str">
        <f>"2170637195 "</f>
        <v xml:space="preserve">2170637195 </v>
      </c>
      <c r="G1343" s="10" t="str">
        <f t="shared" si="39"/>
        <v>ON1</v>
      </c>
      <c r="H1343" s="10" t="s">
        <v>21</v>
      </c>
      <c r="I1343" s="10" t="s">
        <v>32</v>
      </c>
      <c r="J1343" s="10" t="str">
        <f>""</f>
        <v/>
      </c>
      <c r="K1343" s="10" t="str">
        <f>"PFES1162630317_0001"</f>
        <v>PFES1162630317_0001</v>
      </c>
      <c r="L1343" s="10">
        <v>1</v>
      </c>
      <c r="M1343" s="10">
        <v>3</v>
      </c>
    </row>
    <row r="1344" spans="1:13">
      <c r="A1344" s="8">
        <v>43270</v>
      </c>
      <c r="B1344" s="9">
        <v>0.54999999999999993</v>
      </c>
      <c r="C1344" s="10" t="str">
        <f>"FES1162630388"</f>
        <v>FES1162630388</v>
      </c>
      <c r="D1344" s="10" t="s">
        <v>19</v>
      </c>
      <c r="E1344" s="10" t="s">
        <v>314</v>
      </c>
      <c r="F1344" s="10" t="str">
        <f>"2170633980 "</f>
        <v xml:space="preserve">2170633980 </v>
      </c>
      <c r="G1344" s="10" t="str">
        <f t="shared" si="39"/>
        <v>ON1</v>
      </c>
      <c r="H1344" s="10" t="s">
        <v>21</v>
      </c>
      <c r="I1344" s="10" t="s">
        <v>57</v>
      </c>
      <c r="J1344" s="10" t="str">
        <f>""</f>
        <v/>
      </c>
      <c r="K1344" s="10" t="str">
        <f>"PFES1162630388_0001"</f>
        <v>PFES1162630388_0001</v>
      </c>
      <c r="L1344" s="10">
        <v>1</v>
      </c>
      <c r="M1344" s="10">
        <v>3</v>
      </c>
    </row>
    <row r="1345" spans="1:13">
      <c r="A1345" s="8">
        <v>43270</v>
      </c>
      <c r="B1345" s="9">
        <v>0.54861111111111105</v>
      </c>
      <c r="C1345" s="10" t="str">
        <f>"FES1162630432"</f>
        <v>FES1162630432</v>
      </c>
      <c r="D1345" s="10" t="s">
        <v>19</v>
      </c>
      <c r="E1345" s="10" t="s">
        <v>600</v>
      </c>
      <c r="F1345" s="10" t="str">
        <f>"2170634595 "</f>
        <v xml:space="preserve">2170634595 </v>
      </c>
      <c r="G1345" s="10" t="str">
        <f t="shared" si="39"/>
        <v>ON1</v>
      </c>
      <c r="H1345" s="10" t="s">
        <v>21</v>
      </c>
      <c r="I1345" s="10" t="s">
        <v>601</v>
      </c>
      <c r="J1345" s="10" t="str">
        <f>""</f>
        <v/>
      </c>
      <c r="K1345" s="10" t="str">
        <f>"PFES1162630432_0001"</f>
        <v>PFES1162630432_0001</v>
      </c>
      <c r="L1345" s="10">
        <v>1</v>
      </c>
      <c r="M1345" s="10">
        <v>5</v>
      </c>
    </row>
    <row r="1346" spans="1:13">
      <c r="A1346" s="8">
        <v>43270</v>
      </c>
      <c r="B1346" s="9">
        <v>0.54722222222222217</v>
      </c>
      <c r="C1346" s="10" t="str">
        <f>"FES1162630424"</f>
        <v>FES1162630424</v>
      </c>
      <c r="D1346" s="10" t="s">
        <v>19</v>
      </c>
      <c r="E1346" s="10" t="s">
        <v>150</v>
      </c>
      <c r="F1346" s="10" t="str">
        <f>"2170632761 "</f>
        <v xml:space="preserve">2170632761 </v>
      </c>
      <c r="G1346" s="10" t="str">
        <f t="shared" si="39"/>
        <v>ON1</v>
      </c>
      <c r="H1346" s="10" t="s">
        <v>21</v>
      </c>
      <c r="I1346" s="10" t="s">
        <v>151</v>
      </c>
      <c r="J1346" s="10" t="str">
        <f>""</f>
        <v/>
      </c>
      <c r="K1346" s="10" t="str">
        <f>"PFES1162630424_0001"</f>
        <v>PFES1162630424_0001</v>
      </c>
      <c r="L1346" s="10">
        <v>1</v>
      </c>
      <c r="M1346" s="10">
        <v>2</v>
      </c>
    </row>
    <row r="1347" spans="1:13">
      <c r="A1347" s="8">
        <v>43270</v>
      </c>
      <c r="B1347" s="9">
        <v>0.54375000000000007</v>
      </c>
      <c r="C1347" s="10" t="str">
        <f>"FES1162630430"</f>
        <v>FES1162630430</v>
      </c>
      <c r="D1347" s="10" t="s">
        <v>19</v>
      </c>
      <c r="E1347" s="10" t="s">
        <v>803</v>
      </c>
      <c r="F1347" s="10" t="str">
        <f>"2170633847 "</f>
        <v xml:space="preserve">2170633847 </v>
      </c>
      <c r="G1347" s="10" t="str">
        <f t="shared" si="39"/>
        <v>ON1</v>
      </c>
      <c r="H1347" s="10" t="s">
        <v>21</v>
      </c>
      <c r="I1347" s="10" t="s">
        <v>189</v>
      </c>
      <c r="J1347" s="10" t="str">
        <f>""</f>
        <v/>
      </c>
      <c r="K1347" s="10" t="str">
        <f>"PFES1162630430_0001"</f>
        <v>PFES1162630430_0001</v>
      </c>
      <c r="L1347" s="10">
        <v>1</v>
      </c>
      <c r="M1347" s="10">
        <v>2</v>
      </c>
    </row>
    <row r="1348" spans="1:13">
      <c r="A1348" s="8">
        <v>43270</v>
      </c>
      <c r="B1348" s="9">
        <v>0.54236111111111118</v>
      </c>
      <c r="C1348" s="10" t="str">
        <f>"FES1162630331"</f>
        <v>FES1162630331</v>
      </c>
      <c r="D1348" s="10" t="s">
        <v>19</v>
      </c>
      <c r="E1348" s="10" t="s">
        <v>571</v>
      </c>
      <c r="F1348" s="10" t="str">
        <f>"2170637278 "</f>
        <v xml:space="preserve">2170637278 </v>
      </c>
      <c r="G1348" s="10" t="str">
        <f t="shared" si="39"/>
        <v>ON1</v>
      </c>
      <c r="H1348" s="10" t="s">
        <v>21</v>
      </c>
      <c r="I1348" s="10" t="s">
        <v>174</v>
      </c>
      <c r="J1348" s="10" t="str">
        <f>""</f>
        <v/>
      </c>
      <c r="K1348" s="10" t="str">
        <f>"PFES1162630331_0001"</f>
        <v>PFES1162630331_0001</v>
      </c>
      <c r="L1348" s="10">
        <v>1</v>
      </c>
      <c r="M1348" s="10">
        <v>4</v>
      </c>
    </row>
    <row r="1349" spans="1:13">
      <c r="A1349" s="8">
        <v>43270</v>
      </c>
      <c r="B1349" s="9">
        <v>0.54097222222222219</v>
      </c>
      <c r="C1349" s="10" t="str">
        <f>"FES1162630292"</f>
        <v>FES1162630292</v>
      </c>
      <c r="D1349" s="10" t="s">
        <v>19</v>
      </c>
      <c r="E1349" s="10" t="s">
        <v>37</v>
      </c>
      <c r="F1349" s="10" t="str">
        <f>"2170635904 "</f>
        <v xml:space="preserve">2170635904 </v>
      </c>
      <c r="G1349" s="10" t="str">
        <f t="shared" si="39"/>
        <v>ON1</v>
      </c>
      <c r="H1349" s="10" t="s">
        <v>21</v>
      </c>
      <c r="I1349" s="10" t="s">
        <v>38</v>
      </c>
      <c r="J1349" s="10" t="str">
        <f>""</f>
        <v/>
      </c>
      <c r="K1349" s="10" t="str">
        <f>"PFES1162630292_0001"</f>
        <v>PFES1162630292_0001</v>
      </c>
      <c r="L1349" s="10">
        <v>1</v>
      </c>
      <c r="M1349" s="10">
        <v>5</v>
      </c>
    </row>
    <row r="1350" spans="1:13">
      <c r="A1350" s="8">
        <v>43270</v>
      </c>
      <c r="B1350" s="9">
        <v>0.54027777777777775</v>
      </c>
      <c r="C1350" s="10" t="str">
        <f>"FES1162630420"</f>
        <v>FES1162630420</v>
      </c>
      <c r="D1350" s="10" t="s">
        <v>19</v>
      </c>
      <c r="E1350" s="10" t="s">
        <v>60</v>
      </c>
      <c r="F1350" s="10" t="str">
        <f>"2170637355 "</f>
        <v xml:space="preserve">2170637355 </v>
      </c>
      <c r="G1350" s="10" t="str">
        <f t="shared" si="39"/>
        <v>ON1</v>
      </c>
      <c r="H1350" s="10" t="s">
        <v>21</v>
      </c>
      <c r="I1350" s="10" t="s">
        <v>61</v>
      </c>
      <c r="J1350" s="10" t="str">
        <f>""</f>
        <v/>
      </c>
      <c r="K1350" s="10" t="str">
        <f>"PFES1162630420_0001"</f>
        <v>PFES1162630420_0001</v>
      </c>
      <c r="L1350" s="10">
        <v>1</v>
      </c>
      <c r="M1350" s="10">
        <v>17</v>
      </c>
    </row>
    <row r="1351" spans="1:13">
      <c r="A1351" s="8">
        <v>43270</v>
      </c>
      <c r="B1351" s="9">
        <v>0.5395833333333333</v>
      </c>
      <c r="C1351" s="10" t="str">
        <f>"FES1162630436"</f>
        <v>FES1162630436</v>
      </c>
      <c r="D1351" s="10" t="s">
        <v>19</v>
      </c>
      <c r="E1351" s="10" t="s">
        <v>749</v>
      </c>
      <c r="F1351" s="10" t="str">
        <f>"2170635992 "</f>
        <v xml:space="preserve">2170635992 </v>
      </c>
      <c r="G1351" s="10" t="str">
        <f t="shared" si="39"/>
        <v>ON1</v>
      </c>
      <c r="H1351" s="10" t="s">
        <v>21</v>
      </c>
      <c r="I1351" s="10" t="s">
        <v>30</v>
      </c>
      <c r="J1351" s="10" t="str">
        <f>""</f>
        <v/>
      </c>
      <c r="K1351" s="10" t="str">
        <f>"PFES1162630436_0001"</f>
        <v>PFES1162630436_0001</v>
      </c>
      <c r="L1351" s="10">
        <v>1</v>
      </c>
      <c r="M1351" s="10">
        <v>9</v>
      </c>
    </row>
    <row r="1352" spans="1:13">
      <c r="A1352" s="8">
        <v>43270</v>
      </c>
      <c r="B1352" s="9">
        <v>0.53888888888888886</v>
      </c>
      <c r="C1352" s="10" t="str">
        <f>"FES1162630349"</f>
        <v>FES1162630349</v>
      </c>
      <c r="D1352" s="10" t="s">
        <v>19</v>
      </c>
      <c r="E1352" s="10" t="s">
        <v>132</v>
      </c>
      <c r="F1352" s="10" t="str">
        <f>"2170637297 "</f>
        <v xml:space="preserve">2170637297 </v>
      </c>
      <c r="G1352" s="10" t="str">
        <f t="shared" si="39"/>
        <v>ON1</v>
      </c>
      <c r="H1352" s="10" t="s">
        <v>21</v>
      </c>
      <c r="I1352" s="10" t="s">
        <v>69</v>
      </c>
      <c r="J1352" s="10" t="str">
        <f>""</f>
        <v/>
      </c>
      <c r="K1352" s="10" t="str">
        <f>"PFES1162630349_0001"</f>
        <v>PFES1162630349_0001</v>
      </c>
      <c r="L1352" s="10">
        <v>1</v>
      </c>
      <c r="M1352" s="10">
        <v>3</v>
      </c>
    </row>
    <row r="1353" spans="1:13">
      <c r="A1353" s="8">
        <v>43270</v>
      </c>
      <c r="B1353" s="9">
        <v>0.53819444444444442</v>
      </c>
      <c r="C1353" s="10" t="str">
        <f>"FES1162630402"</f>
        <v>FES1162630402</v>
      </c>
      <c r="D1353" s="10" t="s">
        <v>19</v>
      </c>
      <c r="E1353" s="10" t="s">
        <v>178</v>
      </c>
      <c r="F1353" s="10" t="str">
        <f>"2170635160 "</f>
        <v xml:space="preserve">2170635160 </v>
      </c>
      <c r="G1353" s="10" t="str">
        <f t="shared" si="39"/>
        <v>ON1</v>
      </c>
      <c r="H1353" s="10" t="s">
        <v>21</v>
      </c>
      <c r="I1353" s="10" t="s">
        <v>93</v>
      </c>
      <c r="J1353" s="10" t="str">
        <f>""</f>
        <v/>
      </c>
      <c r="K1353" s="10" t="str">
        <f>"PFES1162630402_0001"</f>
        <v>PFES1162630402_0001</v>
      </c>
      <c r="L1353" s="10">
        <v>1</v>
      </c>
      <c r="M1353" s="10">
        <v>3</v>
      </c>
    </row>
    <row r="1354" spans="1:13">
      <c r="A1354" s="8">
        <v>43270</v>
      </c>
      <c r="B1354" s="9">
        <v>0.53680555555555554</v>
      </c>
      <c r="C1354" s="10" t="str">
        <f>"FES1162630457"</f>
        <v>FES1162630457</v>
      </c>
      <c r="D1354" s="10" t="s">
        <v>19</v>
      </c>
      <c r="E1354" s="10" t="s">
        <v>122</v>
      </c>
      <c r="F1354" s="10" t="str">
        <f>"2170637385 "</f>
        <v xml:space="preserve">2170637385 </v>
      </c>
      <c r="G1354" s="10" t="str">
        <f t="shared" si="39"/>
        <v>ON1</v>
      </c>
      <c r="H1354" s="10" t="s">
        <v>21</v>
      </c>
      <c r="I1354" s="10" t="s">
        <v>75</v>
      </c>
      <c r="J1354" s="10" t="str">
        <f>""</f>
        <v/>
      </c>
      <c r="K1354" s="10" t="str">
        <f>"PFES1162630457_0001"</f>
        <v>PFES1162630457_0001</v>
      </c>
      <c r="L1354" s="10">
        <v>1</v>
      </c>
      <c r="M1354" s="10">
        <v>3</v>
      </c>
    </row>
    <row r="1355" spans="1:13">
      <c r="A1355" s="8">
        <v>43270</v>
      </c>
      <c r="B1355" s="9">
        <v>0.53680555555555554</v>
      </c>
      <c r="C1355" s="10" t="str">
        <f>"FES1162630367"</f>
        <v>FES1162630367</v>
      </c>
      <c r="D1355" s="10" t="s">
        <v>19</v>
      </c>
      <c r="E1355" s="10" t="s">
        <v>58</v>
      </c>
      <c r="F1355" s="10" t="str">
        <f>"2170637328 "</f>
        <v xml:space="preserve">2170637328 </v>
      </c>
      <c r="G1355" s="10" t="str">
        <f t="shared" si="39"/>
        <v>ON1</v>
      </c>
      <c r="H1355" s="10" t="s">
        <v>21</v>
      </c>
      <c r="I1355" s="10" t="s">
        <v>59</v>
      </c>
      <c r="J1355" s="10" t="str">
        <f>""</f>
        <v/>
      </c>
      <c r="K1355" s="10" t="str">
        <f>"PFES1162630367_0001"</f>
        <v>PFES1162630367_0001</v>
      </c>
      <c r="L1355" s="10">
        <v>1</v>
      </c>
      <c r="M1355" s="10">
        <v>1</v>
      </c>
    </row>
    <row r="1356" spans="1:13">
      <c r="A1356" s="8">
        <v>43270</v>
      </c>
      <c r="B1356" s="9">
        <v>0.53680555555555554</v>
      </c>
      <c r="C1356" s="10" t="str">
        <f>"FES1162630404"</f>
        <v>FES1162630404</v>
      </c>
      <c r="D1356" s="10" t="s">
        <v>19</v>
      </c>
      <c r="E1356" s="10" t="s">
        <v>315</v>
      </c>
      <c r="F1356" s="10" t="str">
        <f>"2170635179 "</f>
        <v xml:space="preserve">2170635179 </v>
      </c>
      <c r="G1356" s="10" t="str">
        <f t="shared" si="39"/>
        <v>ON1</v>
      </c>
      <c r="H1356" s="10" t="s">
        <v>21</v>
      </c>
      <c r="I1356" s="10" t="s">
        <v>104</v>
      </c>
      <c r="J1356" s="10" t="str">
        <f>""</f>
        <v/>
      </c>
      <c r="K1356" s="10" t="str">
        <f>"PFES1162630404_0001"</f>
        <v>PFES1162630404_0001</v>
      </c>
      <c r="L1356" s="10">
        <v>1</v>
      </c>
      <c r="M1356" s="10">
        <v>1</v>
      </c>
    </row>
    <row r="1357" spans="1:13">
      <c r="A1357" s="8">
        <v>43270</v>
      </c>
      <c r="B1357" s="9">
        <v>0.53611111111111109</v>
      </c>
      <c r="C1357" s="10" t="str">
        <f>"FES1162630409"</f>
        <v>FES1162630409</v>
      </c>
      <c r="D1357" s="10" t="s">
        <v>19</v>
      </c>
      <c r="E1357" s="10" t="s">
        <v>239</v>
      </c>
      <c r="F1357" s="10" t="str">
        <f>"2170635262 "</f>
        <v xml:space="preserve">2170635262 </v>
      </c>
      <c r="G1357" s="10" t="str">
        <f t="shared" si="39"/>
        <v>ON1</v>
      </c>
      <c r="H1357" s="10" t="s">
        <v>21</v>
      </c>
      <c r="I1357" s="10" t="s">
        <v>240</v>
      </c>
      <c r="J1357" s="10" t="str">
        <f>""</f>
        <v/>
      </c>
      <c r="K1357" s="10" t="str">
        <f>"PFES1162630409_0001"</f>
        <v>PFES1162630409_0001</v>
      </c>
      <c r="L1357" s="10">
        <v>1</v>
      </c>
      <c r="M1357" s="10">
        <v>1</v>
      </c>
    </row>
    <row r="1358" spans="1:13">
      <c r="A1358" s="8">
        <v>43270</v>
      </c>
      <c r="B1358" s="9">
        <v>0.53611111111111109</v>
      </c>
      <c r="C1358" s="10" t="str">
        <f>"FES1162630427"</f>
        <v>FES1162630427</v>
      </c>
      <c r="D1358" s="10" t="s">
        <v>19</v>
      </c>
      <c r="E1358" s="10" t="s">
        <v>289</v>
      </c>
      <c r="F1358" s="10" t="str">
        <f>"2170631337 "</f>
        <v xml:space="preserve">2170631337 </v>
      </c>
      <c r="G1358" s="10" t="str">
        <f t="shared" si="39"/>
        <v>ON1</v>
      </c>
      <c r="H1358" s="10" t="s">
        <v>21</v>
      </c>
      <c r="I1358" s="10" t="s">
        <v>290</v>
      </c>
      <c r="J1358" s="10" t="str">
        <f>""</f>
        <v/>
      </c>
      <c r="K1358" s="10" t="str">
        <f>"PFES1162630427_0001"</f>
        <v>PFES1162630427_0001</v>
      </c>
      <c r="L1358" s="10">
        <v>1</v>
      </c>
      <c r="M1358" s="10">
        <v>3</v>
      </c>
    </row>
    <row r="1359" spans="1:13">
      <c r="A1359" s="8">
        <v>43270</v>
      </c>
      <c r="B1359" s="9">
        <v>0.53611111111111109</v>
      </c>
      <c r="C1359" s="10" t="str">
        <f>"FES1162630310"</f>
        <v>FES1162630310</v>
      </c>
      <c r="D1359" s="10" t="s">
        <v>19</v>
      </c>
      <c r="E1359" s="10" t="s">
        <v>126</v>
      </c>
      <c r="F1359" s="10" t="str">
        <f>"2170637075 "</f>
        <v xml:space="preserve">2170637075 </v>
      </c>
      <c r="G1359" s="10" t="str">
        <f t="shared" ref="G1359:G1367" si="40">"ON1"</f>
        <v>ON1</v>
      </c>
      <c r="H1359" s="10" t="s">
        <v>21</v>
      </c>
      <c r="I1359" s="10" t="s">
        <v>100</v>
      </c>
      <c r="J1359" s="10" t="str">
        <f>""</f>
        <v/>
      </c>
      <c r="K1359" s="10" t="str">
        <f>"PFES1162630310_0001"</f>
        <v>PFES1162630310_0001</v>
      </c>
      <c r="L1359" s="10">
        <v>1</v>
      </c>
      <c r="M1359" s="10">
        <v>1</v>
      </c>
    </row>
    <row r="1360" spans="1:13">
      <c r="A1360" s="8">
        <v>43270</v>
      </c>
      <c r="B1360" s="9">
        <v>0.53541666666666665</v>
      </c>
      <c r="C1360" s="10" t="str">
        <f>"FES1162630380"</f>
        <v>FES1162630380</v>
      </c>
      <c r="D1360" s="10" t="s">
        <v>19</v>
      </c>
      <c r="E1360" s="10" t="s">
        <v>126</v>
      </c>
      <c r="F1360" s="10" t="str">
        <f>"21706347473 "</f>
        <v xml:space="preserve">21706347473 </v>
      </c>
      <c r="G1360" s="10" t="str">
        <f t="shared" si="40"/>
        <v>ON1</v>
      </c>
      <c r="H1360" s="10" t="s">
        <v>21</v>
      </c>
      <c r="I1360" s="10" t="s">
        <v>100</v>
      </c>
      <c r="J1360" s="10" t="str">
        <f>""</f>
        <v/>
      </c>
      <c r="K1360" s="10" t="str">
        <f>"PFES1162630380_0001"</f>
        <v>PFES1162630380_0001</v>
      </c>
      <c r="L1360" s="10">
        <v>1</v>
      </c>
      <c r="M1360" s="10">
        <v>1</v>
      </c>
    </row>
    <row r="1361" spans="1:13">
      <c r="A1361" s="8">
        <v>43270</v>
      </c>
      <c r="B1361" s="9">
        <v>0.53541666666666665</v>
      </c>
      <c r="C1361" s="10" t="str">
        <f>"FES1162630353"</f>
        <v>FES1162630353</v>
      </c>
      <c r="D1361" s="10" t="s">
        <v>19</v>
      </c>
      <c r="E1361" s="10" t="s">
        <v>145</v>
      </c>
      <c r="F1361" s="10" t="str">
        <f>"2170637308 "</f>
        <v xml:space="preserve">2170637308 </v>
      </c>
      <c r="G1361" s="10" t="str">
        <f t="shared" si="40"/>
        <v>ON1</v>
      </c>
      <c r="H1361" s="10" t="s">
        <v>21</v>
      </c>
      <c r="I1361" s="10" t="s">
        <v>146</v>
      </c>
      <c r="J1361" s="10" t="str">
        <f>""</f>
        <v/>
      </c>
      <c r="K1361" s="10" t="str">
        <f>"PFES1162630353_0001"</f>
        <v>PFES1162630353_0001</v>
      </c>
      <c r="L1361" s="10">
        <v>1</v>
      </c>
      <c r="M1361" s="10">
        <v>6</v>
      </c>
    </row>
    <row r="1362" spans="1:13">
      <c r="A1362" s="8">
        <v>43270</v>
      </c>
      <c r="B1362" s="9">
        <v>0.53541666666666665</v>
      </c>
      <c r="C1362" s="10" t="str">
        <f>"FES1162630411"</f>
        <v>FES1162630411</v>
      </c>
      <c r="D1362" s="10" t="s">
        <v>19</v>
      </c>
      <c r="E1362" s="10" t="s">
        <v>302</v>
      </c>
      <c r="F1362" s="10" t="str">
        <f>"2170635271 "</f>
        <v xml:space="preserve">2170635271 </v>
      </c>
      <c r="G1362" s="10" t="str">
        <f t="shared" si="40"/>
        <v>ON1</v>
      </c>
      <c r="H1362" s="10" t="s">
        <v>21</v>
      </c>
      <c r="I1362" s="10" t="s">
        <v>303</v>
      </c>
      <c r="J1362" s="10" t="str">
        <f>""</f>
        <v/>
      </c>
      <c r="K1362" s="10" t="str">
        <f>"PFES1162630411_0001"</f>
        <v>PFES1162630411_0001</v>
      </c>
      <c r="L1362" s="10">
        <v>1</v>
      </c>
      <c r="M1362" s="10">
        <v>1</v>
      </c>
    </row>
    <row r="1363" spans="1:13">
      <c r="A1363" s="8">
        <v>43270</v>
      </c>
      <c r="B1363" s="9">
        <v>0.53472222222222221</v>
      </c>
      <c r="C1363" s="10" t="str">
        <f>"FES1162630445"</f>
        <v>FES1162630445</v>
      </c>
      <c r="D1363" s="10" t="s">
        <v>19</v>
      </c>
      <c r="E1363" s="10" t="s">
        <v>64</v>
      </c>
      <c r="F1363" s="10" t="str">
        <f>"2170637375 "</f>
        <v xml:space="preserve">2170637375 </v>
      </c>
      <c r="G1363" s="10" t="str">
        <f t="shared" si="40"/>
        <v>ON1</v>
      </c>
      <c r="H1363" s="10" t="s">
        <v>21</v>
      </c>
      <c r="I1363" s="10" t="s">
        <v>40</v>
      </c>
      <c r="J1363" s="10" t="str">
        <f>""</f>
        <v/>
      </c>
      <c r="K1363" s="10" t="str">
        <f>"PFES1162630445_0001"</f>
        <v>PFES1162630445_0001</v>
      </c>
      <c r="L1363" s="10">
        <v>1</v>
      </c>
      <c r="M1363" s="10">
        <v>1</v>
      </c>
    </row>
    <row r="1364" spans="1:13">
      <c r="A1364" s="8">
        <v>43270</v>
      </c>
      <c r="B1364" s="9">
        <v>0.53472222222222221</v>
      </c>
      <c r="C1364" s="10" t="str">
        <f>"FES1162630307"</f>
        <v>FES1162630307</v>
      </c>
      <c r="D1364" s="10" t="s">
        <v>19</v>
      </c>
      <c r="E1364" s="10" t="s">
        <v>373</v>
      </c>
      <c r="F1364" s="10" t="str">
        <f>"2170636937 "</f>
        <v xml:space="preserve">2170636937 </v>
      </c>
      <c r="G1364" s="10" t="str">
        <f t="shared" si="40"/>
        <v>ON1</v>
      </c>
      <c r="H1364" s="10" t="s">
        <v>21</v>
      </c>
      <c r="I1364" s="10" t="s">
        <v>75</v>
      </c>
      <c r="J1364" s="10" t="str">
        <f>""</f>
        <v/>
      </c>
      <c r="K1364" s="10" t="str">
        <f>"PFES1162630307_0001"</f>
        <v>PFES1162630307_0001</v>
      </c>
      <c r="L1364" s="10">
        <v>1</v>
      </c>
      <c r="M1364" s="10">
        <v>3</v>
      </c>
    </row>
    <row r="1365" spans="1:13">
      <c r="A1365" s="8">
        <v>43270</v>
      </c>
      <c r="B1365" s="9">
        <v>0.53472222222222221</v>
      </c>
      <c r="C1365" s="10" t="str">
        <f>"FES1162630396"</f>
        <v>FES1162630396</v>
      </c>
      <c r="D1365" s="10" t="s">
        <v>19</v>
      </c>
      <c r="E1365" s="10" t="s">
        <v>804</v>
      </c>
      <c r="F1365" s="10" t="str">
        <f>"2170635030 "</f>
        <v xml:space="preserve">2170635030 </v>
      </c>
      <c r="G1365" s="10" t="str">
        <f t="shared" si="40"/>
        <v>ON1</v>
      </c>
      <c r="H1365" s="10" t="s">
        <v>21</v>
      </c>
      <c r="I1365" s="10" t="s">
        <v>213</v>
      </c>
      <c r="J1365" s="10" t="str">
        <f>""</f>
        <v/>
      </c>
      <c r="K1365" s="10" t="str">
        <f>"PFES1162630396_0001"</f>
        <v>PFES1162630396_0001</v>
      </c>
      <c r="L1365" s="10">
        <v>1</v>
      </c>
      <c r="M1365" s="10">
        <v>1</v>
      </c>
    </row>
    <row r="1366" spans="1:13">
      <c r="A1366" s="8">
        <v>43270</v>
      </c>
      <c r="B1366" s="9">
        <v>0.53402777777777777</v>
      </c>
      <c r="C1366" s="10" t="str">
        <f>"FES1162630338"</f>
        <v>FES1162630338</v>
      </c>
      <c r="D1366" s="10" t="s">
        <v>19</v>
      </c>
      <c r="E1366" s="10" t="s">
        <v>412</v>
      </c>
      <c r="F1366" s="10" t="str">
        <f>"2170637289 "</f>
        <v xml:space="preserve">2170637289 </v>
      </c>
      <c r="G1366" s="10" t="str">
        <f t="shared" si="40"/>
        <v>ON1</v>
      </c>
      <c r="H1366" s="10" t="s">
        <v>21</v>
      </c>
      <c r="I1366" s="10" t="s">
        <v>282</v>
      </c>
      <c r="J1366" s="10" t="str">
        <f>""</f>
        <v/>
      </c>
      <c r="K1366" s="10" t="str">
        <f>"PFES1162630338_0001"</f>
        <v>PFES1162630338_0001</v>
      </c>
      <c r="L1366" s="10">
        <v>1</v>
      </c>
      <c r="M1366" s="10">
        <v>1</v>
      </c>
    </row>
    <row r="1367" spans="1:13">
      <c r="A1367" s="8">
        <v>43270</v>
      </c>
      <c r="B1367" s="9">
        <v>0.53402777777777777</v>
      </c>
      <c r="C1367" s="10" t="str">
        <f>"FES1162630323"</f>
        <v>FES1162630323</v>
      </c>
      <c r="D1367" s="10" t="s">
        <v>19</v>
      </c>
      <c r="E1367" s="10" t="s">
        <v>65</v>
      </c>
      <c r="F1367" s="10" t="str">
        <f>"2170637263 "</f>
        <v xml:space="preserve">2170637263 </v>
      </c>
      <c r="G1367" s="10" t="str">
        <f t="shared" si="40"/>
        <v>ON1</v>
      </c>
      <c r="H1367" s="10" t="s">
        <v>21</v>
      </c>
      <c r="I1367" s="10" t="s">
        <v>66</v>
      </c>
      <c r="J1367" s="10" t="str">
        <f>""</f>
        <v/>
      </c>
      <c r="K1367" s="10" t="str">
        <f>"PFES1162630323_0001"</f>
        <v>PFES1162630323_0001</v>
      </c>
      <c r="L1367" s="10">
        <v>1</v>
      </c>
      <c r="M1367" s="10">
        <v>1</v>
      </c>
    </row>
    <row r="1368" spans="1:13">
      <c r="A1368" s="8">
        <v>43270</v>
      </c>
      <c r="B1368" s="9">
        <v>0.53402777777777777</v>
      </c>
      <c r="C1368" s="10" t="str">
        <f>"FES1162630369"</f>
        <v>FES1162630369</v>
      </c>
      <c r="D1368" s="10" t="s">
        <v>19</v>
      </c>
      <c r="E1368" s="10" t="s">
        <v>197</v>
      </c>
      <c r="F1368" s="10" t="str">
        <f>"2170632318 "</f>
        <v xml:space="preserve">2170632318 </v>
      </c>
      <c r="G1368" s="10" t="str">
        <f>"DBC"</f>
        <v>DBC</v>
      </c>
      <c r="H1368" s="10" t="s">
        <v>21</v>
      </c>
      <c r="I1368" s="10" t="s">
        <v>131</v>
      </c>
      <c r="J1368" s="10" t="str">
        <f>"INDUCTION"</f>
        <v>INDUCTION</v>
      </c>
      <c r="K1368" s="10" t="str">
        <f>"PFES1162630369_0001"</f>
        <v>PFES1162630369_0001</v>
      </c>
      <c r="L1368" s="10">
        <v>1</v>
      </c>
      <c r="M1368" s="10">
        <v>4</v>
      </c>
    </row>
    <row r="1369" spans="1:13">
      <c r="A1369" s="8">
        <v>43270</v>
      </c>
      <c r="B1369" s="9">
        <v>0.53333333333333333</v>
      </c>
      <c r="C1369" s="10" t="str">
        <f>"FES1162630393"</f>
        <v>FES1162630393</v>
      </c>
      <c r="D1369" s="10" t="s">
        <v>19</v>
      </c>
      <c r="E1369" s="10" t="s">
        <v>387</v>
      </c>
      <c r="F1369" s="10" t="str">
        <f>"2170635011 "</f>
        <v xml:space="preserve">2170635011 </v>
      </c>
      <c r="G1369" s="10" t="str">
        <f t="shared" ref="G1369:G1432" si="41">"ON1"</f>
        <v>ON1</v>
      </c>
      <c r="H1369" s="10" t="s">
        <v>21</v>
      </c>
      <c r="I1369" s="10" t="s">
        <v>69</v>
      </c>
      <c r="J1369" s="10" t="str">
        <f>""</f>
        <v/>
      </c>
      <c r="K1369" s="10" t="str">
        <f>"PFES1162630393_0001"</f>
        <v>PFES1162630393_0001</v>
      </c>
      <c r="L1369" s="10">
        <v>1</v>
      </c>
      <c r="M1369" s="10">
        <v>1</v>
      </c>
    </row>
    <row r="1370" spans="1:13">
      <c r="A1370" s="8">
        <v>43270</v>
      </c>
      <c r="B1370" s="9">
        <v>0.53333333333333333</v>
      </c>
      <c r="C1370" s="10" t="str">
        <f>"FES1162630354"</f>
        <v>FES1162630354</v>
      </c>
      <c r="D1370" s="10" t="s">
        <v>19</v>
      </c>
      <c r="E1370" s="10" t="s">
        <v>802</v>
      </c>
      <c r="F1370" s="10" t="str">
        <f>"2170637312 "</f>
        <v xml:space="preserve">2170637312 </v>
      </c>
      <c r="G1370" s="10" t="str">
        <f t="shared" si="41"/>
        <v>ON1</v>
      </c>
      <c r="H1370" s="10" t="s">
        <v>21</v>
      </c>
      <c r="I1370" s="10" t="s">
        <v>415</v>
      </c>
      <c r="J1370" s="10" t="str">
        <f>""</f>
        <v/>
      </c>
      <c r="K1370" s="10" t="str">
        <f>"PFES1162630354_0001"</f>
        <v>PFES1162630354_0001</v>
      </c>
      <c r="L1370" s="10">
        <v>1</v>
      </c>
      <c r="M1370" s="10">
        <v>1</v>
      </c>
    </row>
    <row r="1371" spans="1:13">
      <c r="A1371" s="8">
        <v>43270</v>
      </c>
      <c r="B1371" s="9">
        <v>0.53263888888888888</v>
      </c>
      <c r="C1371" s="10" t="str">
        <f>"FES1162630328"</f>
        <v>FES1162630328</v>
      </c>
      <c r="D1371" s="10" t="s">
        <v>19</v>
      </c>
      <c r="E1371" s="10" t="s">
        <v>49</v>
      </c>
      <c r="F1371" s="10" t="str">
        <f>"2170637273 "</f>
        <v xml:space="preserve">2170637273 </v>
      </c>
      <c r="G1371" s="10" t="str">
        <f t="shared" si="41"/>
        <v>ON1</v>
      </c>
      <c r="H1371" s="10" t="s">
        <v>21</v>
      </c>
      <c r="I1371" s="10" t="s">
        <v>32</v>
      </c>
      <c r="J1371" s="10" t="str">
        <f>""</f>
        <v/>
      </c>
      <c r="K1371" s="10" t="str">
        <f>"PFES1162630328_0001"</f>
        <v>PFES1162630328_0001</v>
      </c>
      <c r="L1371" s="10">
        <v>1</v>
      </c>
      <c r="M1371" s="10">
        <v>1</v>
      </c>
    </row>
    <row r="1372" spans="1:13">
      <c r="A1372" s="8">
        <v>43270</v>
      </c>
      <c r="B1372" s="9">
        <v>0.53263888888888888</v>
      </c>
      <c r="C1372" s="10" t="str">
        <f>"FES1162630417"</f>
        <v>FES1162630417</v>
      </c>
      <c r="D1372" s="10" t="s">
        <v>19</v>
      </c>
      <c r="E1372" s="10" t="s">
        <v>239</v>
      </c>
      <c r="F1372" s="10" t="str">
        <f>"2170637348 "</f>
        <v xml:space="preserve">2170637348 </v>
      </c>
      <c r="G1372" s="10" t="str">
        <f t="shared" si="41"/>
        <v>ON1</v>
      </c>
      <c r="H1372" s="10" t="s">
        <v>21</v>
      </c>
      <c r="I1372" s="10" t="s">
        <v>240</v>
      </c>
      <c r="J1372" s="10" t="str">
        <f>""</f>
        <v/>
      </c>
      <c r="K1372" s="10" t="str">
        <f>"PFES1162630417_0001"</f>
        <v>PFES1162630417_0001</v>
      </c>
      <c r="L1372" s="10">
        <v>1</v>
      </c>
      <c r="M1372" s="10">
        <v>1</v>
      </c>
    </row>
    <row r="1373" spans="1:13">
      <c r="A1373" s="8">
        <v>43270</v>
      </c>
      <c r="B1373" s="9">
        <v>0.53194444444444444</v>
      </c>
      <c r="C1373" s="10" t="str">
        <f>"FES1162630280"</f>
        <v>FES1162630280</v>
      </c>
      <c r="D1373" s="10" t="s">
        <v>19</v>
      </c>
      <c r="E1373" s="10" t="s">
        <v>188</v>
      </c>
      <c r="F1373" s="10" t="str">
        <f>"2170634616 "</f>
        <v xml:space="preserve">2170634616 </v>
      </c>
      <c r="G1373" s="10" t="str">
        <f t="shared" si="41"/>
        <v>ON1</v>
      </c>
      <c r="H1373" s="10" t="s">
        <v>21</v>
      </c>
      <c r="I1373" s="10" t="s">
        <v>189</v>
      </c>
      <c r="J1373" s="10" t="str">
        <f>""</f>
        <v/>
      </c>
      <c r="K1373" s="10" t="str">
        <f>"PFES1162630280_0001"</f>
        <v>PFES1162630280_0001</v>
      </c>
      <c r="L1373" s="10">
        <v>1</v>
      </c>
      <c r="M1373" s="10">
        <v>1</v>
      </c>
    </row>
    <row r="1374" spans="1:13">
      <c r="A1374" s="8">
        <v>43270</v>
      </c>
      <c r="B1374" s="9">
        <v>0.53194444444444444</v>
      </c>
      <c r="C1374" s="10" t="str">
        <f>"FES1162630401"</f>
        <v>FES1162630401</v>
      </c>
      <c r="D1374" s="10" t="s">
        <v>19</v>
      </c>
      <c r="E1374" s="10" t="s">
        <v>341</v>
      </c>
      <c r="F1374" s="10" t="str">
        <f>"2170635104 "</f>
        <v xml:space="preserve">2170635104 </v>
      </c>
      <c r="G1374" s="10" t="str">
        <f t="shared" si="41"/>
        <v>ON1</v>
      </c>
      <c r="H1374" s="10" t="s">
        <v>21</v>
      </c>
      <c r="I1374" s="10" t="s">
        <v>342</v>
      </c>
      <c r="J1374" s="10" t="str">
        <f>""</f>
        <v/>
      </c>
      <c r="K1374" s="10" t="str">
        <f>"PFES1162630401_0001"</f>
        <v>PFES1162630401_0001</v>
      </c>
      <c r="L1374" s="10">
        <v>1</v>
      </c>
      <c r="M1374" s="10">
        <v>3</v>
      </c>
    </row>
    <row r="1375" spans="1:13">
      <c r="A1375" s="8">
        <v>43270</v>
      </c>
      <c r="B1375" s="9">
        <v>0.53125</v>
      </c>
      <c r="C1375" s="10" t="str">
        <f>"FES1162630453"</f>
        <v>FES1162630453</v>
      </c>
      <c r="D1375" s="10" t="s">
        <v>19</v>
      </c>
      <c r="E1375" s="10" t="s">
        <v>570</v>
      </c>
      <c r="F1375" s="10" t="str">
        <f>"2170637361 "</f>
        <v xml:space="preserve">2170637361 </v>
      </c>
      <c r="G1375" s="10" t="str">
        <f t="shared" si="41"/>
        <v>ON1</v>
      </c>
      <c r="H1375" s="10" t="s">
        <v>21</v>
      </c>
      <c r="I1375" s="10" t="s">
        <v>349</v>
      </c>
      <c r="J1375" s="10" t="str">
        <f>""</f>
        <v/>
      </c>
      <c r="K1375" s="10" t="str">
        <f>"PFES1162630453_0001"</f>
        <v>PFES1162630453_0001</v>
      </c>
      <c r="L1375" s="10">
        <v>1</v>
      </c>
      <c r="M1375" s="10">
        <v>3</v>
      </c>
    </row>
    <row r="1376" spans="1:13">
      <c r="A1376" s="8">
        <v>43270</v>
      </c>
      <c r="B1376" s="9">
        <v>0.53055555555555556</v>
      </c>
      <c r="C1376" s="10" t="str">
        <f>"FES1162630371"</f>
        <v>FES1162630371</v>
      </c>
      <c r="D1376" s="10" t="s">
        <v>19</v>
      </c>
      <c r="E1376" s="10" t="s">
        <v>99</v>
      </c>
      <c r="F1376" s="10" t="str">
        <f>"2170630898 "</f>
        <v xml:space="preserve">2170630898 </v>
      </c>
      <c r="G1376" s="10" t="str">
        <f t="shared" si="41"/>
        <v>ON1</v>
      </c>
      <c r="H1376" s="10" t="s">
        <v>21</v>
      </c>
      <c r="I1376" s="10" t="s">
        <v>100</v>
      </c>
      <c r="J1376" s="10" t="str">
        <f>""</f>
        <v/>
      </c>
      <c r="K1376" s="10" t="str">
        <f>"PFES1162630371_0001"</f>
        <v>PFES1162630371_0001</v>
      </c>
      <c r="L1376" s="10">
        <v>1</v>
      </c>
      <c r="M1376" s="10">
        <v>2</v>
      </c>
    </row>
    <row r="1377" spans="1:13">
      <c r="A1377" s="8">
        <v>43270</v>
      </c>
      <c r="B1377" s="9">
        <v>0.52708333333333335</v>
      </c>
      <c r="C1377" s="10" t="str">
        <f>"FES1162630426"</f>
        <v>FES1162630426</v>
      </c>
      <c r="D1377" s="10" t="s">
        <v>19</v>
      </c>
      <c r="E1377" s="10" t="s">
        <v>167</v>
      </c>
      <c r="F1377" s="10" t="str">
        <f>"2170631152 "</f>
        <v xml:space="preserve">2170631152 </v>
      </c>
      <c r="G1377" s="10" t="str">
        <f t="shared" si="41"/>
        <v>ON1</v>
      </c>
      <c r="H1377" s="10" t="s">
        <v>21</v>
      </c>
      <c r="I1377" s="10" t="s">
        <v>168</v>
      </c>
      <c r="J1377" s="10" t="str">
        <f>""</f>
        <v/>
      </c>
      <c r="K1377" s="10" t="str">
        <f>"PFES1162630426_0001"</f>
        <v>PFES1162630426_0001</v>
      </c>
      <c r="L1377" s="10">
        <v>1</v>
      </c>
      <c r="M1377" s="10">
        <v>3</v>
      </c>
    </row>
    <row r="1378" spans="1:13">
      <c r="A1378" s="8">
        <v>43270</v>
      </c>
      <c r="B1378" s="9">
        <v>0.52569444444444446</v>
      </c>
      <c r="C1378" s="10" t="str">
        <f>"FES1162630416"</f>
        <v>FES1162630416</v>
      </c>
      <c r="D1378" s="10" t="s">
        <v>19</v>
      </c>
      <c r="E1378" s="10" t="s">
        <v>60</v>
      </c>
      <c r="F1378" s="10" t="str">
        <f>"2170637346 "</f>
        <v xml:space="preserve">2170637346 </v>
      </c>
      <c r="G1378" s="10" t="str">
        <f t="shared" si="41"/>
        <v>ON1</v>
      </c>
      <c r="H1378" s="10" t="s">
        <v>21</v>
      </c>
      <c r="I1378" s="10" t="s">
        <v>61</v>
      </c>
      <c r="J1378" s="10" t="str">
        <f>""</f>
        <v/>
      </c>
      <c r="K1378" s="10" t="str">
        <f>"PFES1162630416_0001"</f>
        <v>PFES1162630416_0001</v>
      </c>
      <c r="L1378" s="10">
        <v>1</v>
      </c>
      <c r="M1378" s="10">
        <v>6</v>
      </c>
    </row>
    <row r="1379" spans="1:13">
      <c r="A1379" s="8">
        <v>43270</v>
      </c>
      <c r="B1379" s="9">
        <v>0.52500000000000002</v>
      </c>
      <c r="C1379" s="10" t="str">
        <f>"FES1162630281"</f>
        <v>FES1162630281</v>
      </c>
      <c r="D1379" s="10" t="s">
        <v>19</v>
      </c>
      <c r="E1379" s="10" t="s">
        <v>805</v>
      </c>
      <c r="F1379" s="10" t="str">
        <f>"2170634694 "</f>
        <v xml:space="preserve">2170634694 </v>
      </c>
      <c r="G1379" s="10" t="str">
        <f t="shared" si="41"/>
        <v>ON1</v>
      </c>
      <c r="H1379" s="10" t="s">
        <v>21</v>
      </c>
      <c r="I1379" s="10" t="s">
        <v>806</v>
      </c>
      <c r="J1379" s="10" t="str">
        <f>""</f>
        <v/>
      </c>
      <c r="K1379" s="10" t="str">
        <f>"PFES1162630281_0001"</f>
        <v>PFES1162630281_0001</v>
      </c>
      <c r="L1379" s="10">
        <v>1</v>
      </c>
      <c r="M1379" s="10">
        <v>4</v>
      </c>
    </row>
    <row r="1380" spans="1:13">
      <c r="A1380" s="8">
        <v>43270</v>
      </c>
      <c r="B1380" s="9">
        <v>0.52430555555555558</v>
      </c>
      <c r="C1380" s="10" t="str">
        <f>"FES1162630352"</f>
        <v>FES1162630352</v>
      </c>
      <c r="D1380" s="10" t="s">
        <v>19</v>
      </c>
      <c r="E1380" s="10" t="s">
        <v>152</v>
      </c>
      <c r="F1380" s="10" t="str">
        <f>"2170637307 "</f>
        <v xml:space="preserve">2170637307 </v>
      </c>
      <c r="G1380" s="10" t="str">
        <f t="shared" si="41"/>
        <v>ON1</v>
      </c>
      <c r="H1380" s="10" t="s">
        <v>21</v>
      </c>
      <c r="I1380" s="10" t="s">
        <v>106</v>
      </c>
      <c r="J1380" s="10" t="str">
        <f>""</f>
        <v/>
      </c>
      <c r="K1380" s="10" t="str">
        <f>"PFES1162630352_0001"</f>
        <v>PFES1162630352_0001</v>
      </c>
      <c r="L1380" s="10">
        <v>1</v>
      </c>
      <c r="M1380" s="10">
        <v>13</v>
      </c>
    </row>
    <row r="1381" spans="1:13">
      <c r="A1381" s="8">
        <v>43270</v>
      </c>
      <c r="B1381" s="9">
        <v>0.5229166666666667</v>
      </c>
      <c r="C1381" s="10" t="str">
        <f>"FES1162630370"</f>
        <v>FES1162630370</v>
      </c>
      <c r="D1381" s="10" t="s">
        <v>19</v>
      </c>
      <c r="E1381" s="10" t="s">
        <v>807</v>
      </c>
      <c r="F1381" s="10" t="str">
        <f>"2170634092 "</f>
        <v xml:space="preserve">2170634092 </v>
      </c>
      <c r="G1381" s="10" t="str">
        <f t="shared" si="41"/>
        <v>ON1</v>
      </c>
      <c r="H1381" s="10" t="s">
        <v>21</v>
      </c>
      <c r="I1381" s="10" t="s">
        <v>808</v>
      </c>
      <c r="J1381" s="10" t="str">
        <f>""</f>
        <v/>
      </c>
      <c r="K1381" s="10" t="str">
        <f>"PFES1162630370_0001"</f>
        <v>PFES1162630370_0001</v>
      </c>
      <c r="L1381" s="10">
        <v>1</v>
      </c>
      <c r="M1381" s="10">
        <v>3</v>
      </c>
    </row>
    <row r="1382" spans="1:13">
      <c r="A1382" s="8">
        <v>43270</v>
      </c>
      <c r="B1382" s="9">
        <v>0.52222222222222225</v>
      </c>
      <c r="C1382" s="10" t="str">
        <f>"FES1162630291"</f>
        <v>FES1162630291</v>
      </c>
      <c r="D1382" s="10" t="s">
        <v>19</v>
      </c>
      <c r="E1382" s="10" t="s">
        <v>278</v>
      </c>
      <c r="F1382" s="10" t="str">
        <f>"2170635882 "</f>
        <v xml:space="preserve">2170635882 </v>
      </c>
      <c r="G1382" s="10" t="str">
        <f t="shared" si="41"/>
        <v>ON1</v>
      </c>
      <c r="H1382" s="10" t="s">
        <v>21</v>
      </c>
      <c r="I1382" s="10" t="s">
        <v>279</v>
      </c>
      <c r="J1382" s="10" t="str">
        <f>""</f>
        <v/>
      </c>
      <c r="K1382" s="10" t="str">
        <f>"PFES1162630291_0001"</f>
        <v>PFES1162630291_0001</v>
      </c>
      <c r="L1382" s="10">
        <v>1</v>
      </c>
      <c r="M1382" s="10">
        <v>5</v>
      </c>
    </row>
    <row r="1383" spans="1:13">
      <c r="A1383" s="8">
        <v>43270</v>
      </c>
      <c r="B1383" s="9">
        <v>0.51874999999999993</v>
      </c>
      <c r="C1383" s="10" t="str">
        <f>"FES1162630461"</f>
        <v>FES1162630461</v>
      </c>
      <c r="D1383" s="10" t="s">
        <v>19</v>
      </c>
      <c r="E1383" s="10" t="s">
        <v>429</v>
      </c>
      <c r="F1383" s="10" t="str">
        <f>"2170637394 "</f>
        <v xml:space="preserve">2170637394 </v>
      </c>
      <c r="G1383" s="10" t="str">
        <f t="shared" si="41"/>
        <v>ON1</v>
      </c>
      <c r="H1383" s="10" t="s">
        <v>21</v>
      </c>
      <c r="I1383" s="10" t="s">
        <v>83</v>
      </c>
      <c r="J1383" s="10" t="str">
        <f>""</f>
        <v/>
      </c>
      <c r="K1383" s="10" t="str">
        <f>"PFES1162630461_0001"</f>
        <v>PFES1162630461_0001</v>
      </c>
      <c r="L1383" s="10">
        <v>1</v>
      </c>
      <c r="M1383" s="10">
        <v>1</v>
      </c>
    </row>
    <row r="1384" spans="1:13">
      <c r="A1384" s="8">
        <v>43270</v>
      </c>
      <c r="B1384" s="9">
        <v>0.51874999999999993</v>
      </c>
      <c r="C1384" s="10" t="str">
        <f>"FES1162630326"</f>
        <v>FES1162630326</v>
      </c>
      <c r="D1384" s="10" t="s">
        <v>19</v>
      </c>
      <c r="E1384" s="10" t="s">
        <v>660</v>
      </c>
      <c r="F1384" s="10" t="str">
        <f>"2170637271 "</f>
        <v xml:space="preserve">2170637271 </v>
      </c>
      <c r="G1384" s="10" t="str">
        <f t="shared" si="41"/>
        <v>ON1</v>
      </c>
      <c r="H1384" s="10" t="s">
        <v>21</v>
      </c>
      <c r="I1384" s="10" t="s">
        <v>93</v>
      </c>
      <c r="J1384" s="10" t="str">
        <f>""</f>
        <v/>
      </c>
      <c r="K1384" s="10" t="str">
        <f>"PFES1162630326_0001"</f>
        <v>PFES1162630326_0001</v>
      </c>
      <c r="L1384" s="10">
        <v>1</v>
      </c>
      <c r="M1384" s="10">
        <v>1</v>
      </c>
    </row>
    <row r="1385" spans="1:13">
      <c r="A1385" s="8">
        <v>43270</v>
      </c>
      <c r="B1385" s="9">
        <v>0.5180555555555556</v>
      </c>
      <c r="C1385" s="10" t="str">
        <f>"FES1162630428"</f>
        <v>FES1162630428</v>
      </c>
      <c r="D1385" s="10" t="s">
        <v>19</v>
      </c>
      <c r="E1385" s="10" t="s">
        <v>126</v>
      </c>
      <c r="F1385" s="10" t="str">
        <f>"2170631533 "</f>
        <v xml:space="preserve">2170631533 </v>
      </c>
      <c r="G1385" s="10" t="str">
        <f t="shared" si="41"/>
        <v>ON1</v>
      </c>
      <c r="H1385" s="10" t="s">
        <v>21</v>
      </c>
      <c r="I1385" s="10" t="s">
        <v>100</v>
      </c>
      <c r="J1385" s="10" t="str">
        <f>""</f>
        <v/>
      </c>
      <c r="K1385" s="10" t="str">
        <f>"PFES1162630428_0001"</f>
        <v>PFES1162630428_0001</v>
      </c>
      <c r="L1385" s="10">
        <v>1</v>
      </c>
      <c r="M1385" s="10">
        <v>1</v>
      </c>
    </row>
    <row r="1386" spans="1:13">
      <c r="A1386" s="8">
        <v>43270</v>
      </c>
      <c r="B1386" s="9">
        <v>0.5180555555555556</v>
      </c>
      <c r="C1386" s="10" t="str">
        <f>"FES1162630350"</f>
        <v>FES1162630350</v>
      </c>
      <c r="D1386" s="10" t="s">
        <v>19</v>
      </c>
      <c r="E1386" s="10" t="s">
        <v>685</v>
      </c>
      <c r="F1386" s="10" t="str">
        <f>"2170637303 "</f>
        <v xml:space="preserve">2170637303 </v>
      </c>
      <c r="G1386" s="10" t="str">
        <f t="shared" si="41"/>
        <v>ON1</v>
      </c>
      <c r="H1386" s="10" t="s">
        <v>21</v>
      </c>
      <c r="I1386" s="10" t="s">
        <v>89</v>
      </c>
      <c r="J1386" s="10" t="str">
        <f>""</f>
        <v/>
      </c>
      <c r="K1386" s="10" t="str">
        <f>"PFES1162630350_0001"</f>
        <v>PFES1162630350_0001</v>
      </c>
      <c r="L1386" s="10">
        <v>1</v>
      </c>
      <c r="M1386" s="10">
        <v>1</v>
      </c>
    </row>
    <row r="1387" spans="1:13">
      <c r="A1387" s="8">
        <v>43270</v>
      </c>
      <c r="B1387" s="9">
        <v>0.51736111111111105</v>
      </c>
      <c r="C1387" s="10" t="str">
        <f>"FES1162630294"</f>
        <v>FES1162630294</v>
      </c>
      <c r="D1387" s="10" t="s">
        <v>19</v>
      </c>
      <c r="E1387" s="10" t="s">
        <v>62</v>
      </c>
      <c r="F1387" s="10" t="str">
        <f>"2170636142 "</f>
        <v xml:space="preserve">2170636142 </v>
      </c>
      <c r="G1387" s="10" t="str">
        <f t="shared" si="41"/>
        <v>ON1</v>
      </c>
      <c r="H1387" s="10" t="s">
        <v>21</v>
      </c>
      <c r="I1387" s="10" t="s">
        <v>63</v>
      </c>
      <c r="J1387" s="10" t="str">
        <f>""</f>
        <v/>
      </c>
      <c r="K1387" s="10" t="str">
        <f>"PFES1162630294_0001"</f>
        <v>PFES1162630294_0001</v>
      </c>
      <c r="L1387" s="10">
        <v>1</v>
      </c>
      <c r="M1387" s="10">
        <v>1</v>
      </c>
    </row>
    <row r="1388" spans="1:13">
      <c r="A1388" s="8">
        <v>43270</v>
      </c>
      <c r="B1388" s="9">
        <v>0.51736111111111105</v>
      </c>
      <c r="C1388" s="10" t="str">
        <f>"FES1162630332"</f>
        <v>FES1162630332</v>
      </c>
      <c r="D1388" s="10" t="s">
        <v>19</v>
      </c>
      <c r="E1388" s="10" t="s">
        <v>410</v>
      </c>
      <c r="F1388" s="10" t="str">
        <f>"2170637279 "</f>
        <v xml:space="preserve">2170637279 </v>
      </c>
      <c r="G1388" s="10" t="str">
        <f t="shared" si="41"/>
        <v>ON1</v>
      </c>
      <c r="H1388" s="10" t="s">
        <v>21</v>
      </c>
      <c r="I1388" s="10" t="s">
        <v>42</v>
      </c>
      <c r="J1388" s="10" t="str">
        <f>""</f>
        <v/>
      </c>
      <c r="K1388" s="10" t="str">
        <f>"PFES1162630332_0001"</f>
        <v>PFES1162630332_0001</v>
      </c>
      <c r="L1388" s="10">
        <v>1</v>
      </c>
      <c r="M1388" s="10">
        <v>1</v>
      </c>
    </row>
    <row r="1389" spans="1:13">
      <c r="A1389" s="8">
        <v>43270</v>
      </c>
      <c r="B1389" s="9">
        <v>0.51666666666666672</v>
      </c>
      <c r="C1389" s="10" t="str">
        <f>"FES1162630356"</f>
        <v>FES1162630356</v>
      </c>
      <c r="D1389" s="10" t="s">
        <v>19</v>
      </c>
      <c r="E1389" s="10" t="s">
        <v>809</v>
      </c>
      <c r="F1389" s="10" t="str">
        <f>"2170637319 "</f>
        <v xml:space="preserve">2170637319 </v>
      </c>
      <c r="G1389" s="10" t="str">
        <f t="shared" si="41"/>
        <v>ON1</v>
      </c>
      <c r="H1389" s="10" t="s">
        <v>21</v>
      </c>
      <c r="I1389" s="10" t="s">
        <v>810</v>
      </c>
      <c r="J1389" s="10" t="str">
        <f>""</f>
        <v/>
      </c>
      <c r="K1389" s="10" t="str">
        <f>"PFES1162630356_0001"</f>
        <v>PFES1162630356_0001</v>
      </c>
      <c r="L1389" s="10">
        <v>1</v>
      </c>
      <c r="M1389" s="10">
        <v>1</v>
      </c>
    </row>
    <row r="1390" spans="1:13">
      <c r="A1390" s="8">
        <v>43270</v>
      </c>
      <c r="B1390" s="9">
        <v>0.51666666666666672</v>
      </c>
      <c r="C1390" s="10" t="str">
        <f>"FES1162630278"</f>
        <v>FES1162630278</v>
      </c>
      <c r="D1390" s="10" t="s">
        <v>19</v>
      </c>
      <c r="E1390" s="10" t="s">
        <v>811</v>
      </c>
      <c r="F1390" s="10" t="str">
        <f>"2170632934 "</f>
        <v xml:space="preserve">2170632934 </v>
      </c>
      <c r="G1390" s="10" t="str">
        <f t="shared" si="41"/>
        <v>ON1</v>
      </c>
      <c r="H1390" s="10" t="s">
        <v>21</v>
      </c>
      <c r="I1390" s="10" t="s">
        <v>222</v>
      </c>
      <c r="J1390" s="10" t="str">
        <f>""</f>
        <v/>
      </c>
      <c r="K1390" s="10" t="str">
        <f>"PFES1162630278_0001"</f>
        <v>PFES1162630278_0001</v>
      </c>
      <c r="L1390" s="10">
        <v>1</v>
      </c>
      <c r="M1390" s="10">
        <v>1</v>
      </c>
    </row>
    <row r="1391" spans="1:13">
      <c r="A1391" s="8">
        <v>43270</v>
      </c>
      <c r="B1391" s="9">
        <v>0.51597222222222217</v>
      </c>
      <c r="C1391" s="10" t="str">
        <f>"FES1162630449"</f>
        <v>FES1162630449</v>
      </c>
      <c r="D1391" s="10" t="s">
        <v>19</v>
      </c>
      <c r="E1391" s="10" t="s">
        <v>143</v>
      </c>
      <c r="F1391" s="10" t="str">
        <f>"2170637378 "</f>
        <v xml:space="preserve">2170637378 </v>
      </c>
      <c r="G1391" s="10" t="str">
        <f t="shared" si="41"/>
        <v>ON1</v>
      </c>
      <c r="H1391" s="10" t="s">
        <v>21</v>
      </c>
      <c r="I1391" s="10" t="s">
        <v>144</v>
      </c>
      <c r="J1391" s="10" t="str">
        <f>""</f>
        <v/>
      </c>
      <c r="K1391" s="10" t="str">
        <f>"PFES1162630449_0001"</f>
        <v>PFES1162630449_0001</v>
      </c>
      <c r="L1391" s="10">
        <v>1</v>
      </c>
      <c r="M1391" s="10">
        <v>1</v>
      </c>
    </row>
    <row r="1392" spans="1:13">
      <c r="A1392" s="8">
        <v>43270</v>
      </c>
      <c r="B1392" s="9">
        <v>0.51597222222222217</v>
      </c>
      <c r="C1392" s="10" t="str">
        <f>"FES1162630450"</f>
        <v>FES1162630450</v>
      </c>
      <c r="D1392" s="10" t="s">
        <v>19</v>
      </c>
      <c r="E1392" s="10" t="s">
        <v>143</v>
      </c>
      <c r="F1392" s="10" t="str">
        <f>"217063782 "</f>
        <v xml:space="preserve">217063782 </v>
      </c>
      <c r="G1392" s="10" t="str">
        <f t="shared" si="41"/>
        <v>ON1</v>
      </c>
      <c r="H1392" s="10" t="s">
        <v>21</v>
      </c>
      <c r="I1392" s="10" t="s">
        <v>144</v>
      </c>
      <c r="J1392" s="10" t="str">
        <f>""</f>
        <v/>
      </c>
      <c r="K1392" s="10" t="str">
        <f>"PFES1162630450_0001"</f>
        <v>PFES1162630450_0001</v>
      </c>
      <c r="L1392" s="10">
        <v>1</v>
      </c>
      <c r="M1392" s="10">
        <v>1</v>
      </c>
    </row>
    <row r="1393" spans="1:13">
      <c r="A1393" s="8">
        <v>43270</v>
      </c>
      <c r="B1393" s="9">
        <v>0.51597222222222217</v>
      </c>
      <c r="C1393" s="10" t="str">
        <f>"FES1162630406"</f>
        <v>FES1162630406</v>
      </c>
      <c r="D1393" s="10" t="s">
        <v>19</v>
      </c>
      <c r="E1393" s="10" t="s">
        <v>184</v>
      </c>
      <c r="F1393" s="10" t="str">
        <f>"2170635224 "</f>
        <v xml:space="preserve">2170635224 </v>
      </c>
      <c r="G1393" s="10" t="str">
        <f t="shared" si="41"/>
        <v>ON1</v>
      </c>
      <c r="H1393" s="10" t="s">
        <v>21</v>
      </c>
      <c r="I1393" s="10" t="s">
        <v>134</v>
      </c>
      <c r="J1393" s="10" t="str">
        <f>""</f>
        <v/>
      </c>
      <c r="K1393" s="10" t="str">
        <f>"PFES1162630406_0001"</f>
        <v>PFES1162630406_0001</v>
      </c>
      <c r="L1393" s="10">
        <v>1</v>
      </c>
      <c r="M1393" s="10">
        <v>1</v>
      </c>
    </row>
    <row r="1394" spans="1:13">
      <c r="A1394" s="8">
        <v>43270</v>
      </c>
      <c r="B1394" s="9">
        <v>0.51527777777777783</v>
      </c>
      <c r="C1394" s="10" t="str">
        <f>"FES1162630288"</f>
        <v>FES1162630288</v>
      </c>
      <c r="D1394" s="10" t="s">
        <v>19</v>
      </c>
      <c r="E1394" s="10" t="s">
        <v>206</v>
      </c>
      <c r="F1394" s="10" t="str">
        <f>"2170635630 "</f>
        <v xml:space="preserve">2170635630 </v>
      </c>
      <c r="G1394" s="10" t="str">
        <f t="shared" si="41"/>
        <v>ON1</v>
      </c>
      <c r="H1394" s="10" t="s">
        <v>21</v>
      </c>
      <c r="I1394" s="10" t="s">
        <v>207</v>
      </c>
      <c r="J1394" s="10" t="str">
        <f>""</f>
        <v/>
      </c>
      <c r="K1394" s="10" t="str">
        <f>"PFES1162630288_0001"</f>
        <v>PFES1162630288_0001</v>
      </c>
      <c r="L1394" s="10">
        <v>1</v>
      </c>
      <c r="M1394" s="10">
        <v>1</v>
      </c>
    </row>
    <row r="1395" spans="1:13">
      <c r="A1395" s="8">
        <v>43270</v>
      </c>
      <c r="B1395" s="9">
        <v>0.51458333333333328</v>
      </c>
      <c r="C1395" s="10" t="str">
        <f>"FES1162630435"</f>
        <v>FES1162630435</v>
      </c>
      <c r="D1395" s="10" t="s">
        <v>19</v>
      </c>
      <c r="E1395" s="10" t="s">
        <v>62</v>
      </c>
      <c r="F1395" s="10" t="str">
        <f>"2170635188 "</f>
        <v xml:space="preserve">2170635188 </v>
      </c>
      <c r="G1395" s="10" t="str">
        <f t="shared" si="41"/>
        <v>ON1</v>
      </c>
      <c r="H1395" s="10" t="s">
        <v>21</v>
      </c>
      <c r="I1395" s="10" t="s">
        <v>63</v>
      </c>
      <c r="J1395" s="10" t="str">
        <f>""</f>
        <v/>
      </c>
      <c r="K1395" s="10" t="str">
        <f>"PFES1162630435_0001"</f>
        <v>PFES1162630435_0001</v>
      </c>
      <c r="L1395" s="10">
        <v>1</v>
      </c>
      <c r="M1395" s="10">
        <v>1</v>
      </c>
    </row>
    <row r="1396" spans="1:13">
      <c r="A1396" s="8">
        <v>43270</v>
      </c>
      <c r="B1396" s="9">
        <v>0.51388888888888895</v>
      </c>
      <c r="C1396" s="10" t="str">
        <f>"FES1162630437"</f>
        <v>FES1162630437</v>
      </c>
      <c r="D1396" s="10" t="s">
        <v>19</v>
      </c>
      <c r="E1396" s="10" t="s">
        <v>345</v>
      </c>
      <c r="F1396" s="10" t="str">
        <f>"2170636410 "</f>
        <v xml:space="preserve">2170636410 </v>
      </c>
      <c r="G1396" s="10" t="str">
        <f t="shared" si="41"/>
        <v>ON1</v>
      </c>
      <c r="H1396" s="10" t="s">
        <v>21</v>
      </c>
      <c r="I1396" s="10" t="s">
        <v>228</v>
      </c>
      <c r="J1396" s="10" t="str">
        <f>""</f>
        <v/>
      </c>
      <c r="K1396" s="10" t="str">
        <f>"PFES1162630437_0001"</f>
        <v>PFES1162630437_0001</v>
      </c>
      <c r="L1396" s="10">
        <v>1</v>
      </c>
      <c r="M1396" s="10">
        <v>1</v>
      </c>
    </row>
    <row r="1397" spans="1:13">
      <c r="A1397" s="8">
        <v>43270</v>
      </c>
      <c r="B1397" s="9">
        <v>0.51250000000000007</v>
      </c>
      <c r="C1397" s="10" t="str">
        <f>"FES1162630290"</f>
        <v>FES1162630290</v>
      </c>
      <c r="D1397" s="10" t="s">
        <v>19</v>
      </c>
      <c r="E1397" s="10" t="s">
        <v>120</v>
      </c>
      <c r="F1397" s="10" t="str">
        <f>"2170635817 "</f>
        <v xml:space="preserve">2170635817 </v>
      </c>
      <c r="G1397" s="10" t="str">
        <f t="shared" si="41"/>
        <v>ON1</v>
      </c>
      <c r="H1397" s="10" t="s">
        <v>21</v>
      </c>
      <c r="I1397" s="10" t="s">
        <v>38</v>
      </c>
      <c r="J1397" s="10" t="str">
        <f>""</f>
        <v/>
      </c>
      <c r="K1397" s="10" t="str">
        <f>"PFES1162630290_0001"</f>
        <v>PFES1162630290_0001</v>
      </c>
      <c r="L1397" s="10">
        <v>1</v>
      </c>
      <c r="M1397" s="10">
        <v>1</v>
      </c>
    </row>
    <row r="1398" spans="1:13">
      <c r="A1398" s="8">
        <v>43270</v>
      </c>
      <c r="B1398" s="9">
        <v>0.51250000000000007</v>
      </c>
      <c r="C1398" s="10" t="str">
        <f>"FES1162630389"</f>
        <v>FES1162630389</v>
      </c>
      <c r="D1398" s="10" t="s">
        <v>19</v>
      </c>
      <c r="E1398" s="10" t="s">
        <v>403</v>
      </c>
      <c r="F1398" s="10" t="str">
        <f>"2170637838 "</f>
        <v xml:space="preserve">2170637838 </v>
      </c>
      <c r="G1398" s="10" t="str">
        <f t="shared" si="41"/>
        <v>ON1</v>
      </c>
      <c r="H1398" s="10" t="s">
        <v>21</v>
      </c>
      <c r="I1398" s="10" t="s">
        <v>66</v>
      </c>
      <c r="J1398" s="10" t="str">
        <f>""</f>
        <v/>
      </c>
      <c r="K1398" s="10" t="str">
        <f>"PFES1162630389_0001"</f>
        <v>PFES1162630389_0001</v>
      </c>
      <c r="L1398" s="10">
        <v>1</v>
      </c>
      <c r="M1398" s="10">
        <v>1</v>
      </c>
    </row>
    <row r="1399" spans="1:13">
      <c r="A1399" s="8">
        <v>43270</v>
      </c>
      <c r="B1399" s="9">
        <v>0.51250000000000007</v>
      </c>
      <c r="C1399" s="10" t="str">
        <f>"FES1162630282"</f>
        <v>FES1162630282</v>
      </c>
      <c r="D1399" s="10" t="s">
        <v>19</v>
      </c>
      <c r="E1399" s="10" t="s">
        <v>677</v>
      </c>
      <c r="F1399" s="10" t="str">
        <f>"21706347469 "</f>
        <v xml:space="preserve">21706347469 </v>
      </c>
      <c r="G1399" s="10" t="str">
        <f t="shared" si="41"/>
        <v>ON1</v>
      </c>
      <c r="H1399" s="10" t="s">
        <v>21</v>
      </c>
      <c r="I1399" s="10" t="s">
        <v>616</v>
      </c>
      <c r="J1399" s="10" t="str">
        <f>""</f>
        <v/>
      </c>
      <c r="K1399" s="10" t="str">
        <f>"PFES1162630282_0001"</f>
        <v>PFES1162630282_0001</v>
      </c>
      <c r="L1399" s="10">
        <v>1</v>
      </c>
      <c r="M1399" s="10">
        <v>1</v>
      </c>
    </row>
    <row r="1400" spans="1:13">
      <c r="A1400" s="8">
        <v>43270</v>
      </c>
      <c r="B1400" s="9">
        <v>0.51180555555555551</v>
      </c>
      <c r="C1400" s="10" t="str">
        <f>"FES1162630408"</f>
        <v>FES1162630408</v>
      </c>
      <c r="D1400" s="10" t="s">
        <v>19</v>
      </c>
      <c r="E1400" s="10" t="s">
        <v>67</v>
      </c>
      <c r="F1400" s="10" t="str">
        <f>"2170635245 "</f>
        <v xml:space="preserve">2170635245 </v>
      </c>
      <c r="G1400" s="10" t="str">
        <f t="shared" si="41"/>
        <v>ON1</v>
      </c>
      <c r="H1400" s="10" t="s">
        <v>21</v>
      </c>
      <c r="I1400" s="10" t="s">
        <v>146</v>
      </c>
      <c r="J1400" s="10" t="str">
        <f>""</f>
        <v/>
      </c>
      <c r="K1400" s="10" t="str">
        <f>"PFES1162630408_0001"</f>
        <v>PFES1162630408_0001</v>
      </c>
      <c r="L1400" s="10">
        <v>1</v>
      </c>
      <c r="M1400" s="10">
        <v>1</v>
      </c>
    </row>
    <row r="1401" spans="1:13">
      <c r="A1401" s="8">
        <v>43270</v>
      </c>
      <c r="B1401" s="9">
        <v>0.51180555555555551</v>
      </c>
      <c r="C1401" s="10" t="str">
        <f>"FES1162630429"</f>
        <v>FES1162630429</v>
      </c>
      <c r="D1401" s="10" t="s">
        <v>19</v>
      </c>
      <c r="E1401" s="10" t="s">
        <v>29</v>
      </c>
      <c r="F1401" s="10" t="str">
        <f>"2170632327 "</f>
        <v xml:space="preserve">2170632327 </v>
      </c>
      <c r="G1401" s="10" t="str">
        <f t="shared" si="41"/>
        <v>ON1</v>
      </c>
      <c r="H1401" s="10" t="s">
        <v>21</v>
      </c>
      <c r="I1401" s="10" t="s">
        <v>30</v>
      </c>
      <c r="J1401" s="10" t="str">
        <f>""</f>
        <v/>
      </c>
      <c r="K1401" s="10" t="str">
        <f>"PFES1162630429_0001"</f>
        <v>PFES1162630429_0001</v>
      </c>
      <c r="L1401" s="10">
        <v>1</v>
      </c>
      <c r="M1401" s="10">
        <v>1</v>
      </c>
    </row>
    <row r="1402" spans="1:13">
      <c r="A1402" s="8">
        <v>43270</v>
      </c>
      <c r="B1402" s="9">
        <v>0.51111111111111118</v>
      </c>
      <c r="C1402" s="10" t="str">
        <f>"FES1162630433"</f>
        <v>FES1162630433</v>
      </c>
      <c r="D1402" s="10" t="s">
        <v>19</v>
      </c>
      <c r="E1402" s="10" t="s">
        <v>29</v>
      </c>
      <c r="F1402" s="10" t="str">
        <f>"2170634782 "</f>
        <v xml:space="preserve">2170634782 </v>
      </c>
      <c r="G1402" s="10" t="str">
        <f t="shared" si="41"/>
        <v>ON1</v>
      </c>
      <c r="H1402" s="10" t="s">
        <v>21</v>
      </c>
      <c r="I1402" s="10" t="s">
        <v>30</v>
      </c>
      <c r="J1402" s="10" t="str">
        <f>""</f>
        <v/>
      </c>
      <c r="K1402" s="10" t="str">
        <f>"PFES1162630433_0001"</f>
        <v>PFES1162630433_0001</v>
      </c>
      <c r="L1402" s="10">
        <v>1</v>
      </c>
      <c r="M1402" s="10">
        <v>1</v>
      </c>
    </row>
    <row r="1403" spans="1:13">
      <c r="A1403" s="8">
        <v>43270</v>
      </c>
      <c r="B1403" s="9">
        <v>0.51111111111111118</v>
      </c>
      <c r="C1403" s="10" t="str">
        <f>"FES1162630320"</f>
        <v>FES1162630320</v>
      </c>
      <c r="D1403" s="10" t="s">
        <v>19</v>
      </c>
      <c r="E1403" s="10" t="s">
        <v>804</v>
      </c>
      <c r="F1403" s="10" t="str">
        <f>"2170637249 "</f>
        <v xml:space="preserve">2170637249 </v>
      </c>
      <c r="G1403" s="10" t="str">
        <f t="shared" si="41"/>
        <v>ON1</v>
      </c>
      <c r="H1403" s="10" t="s">
        <v>21</v>
      </c>
      <c r="I1403" s="10" t="s">
        <v>213</v>
      </c>
      <c r="J1403" s="10" t="str">
        <f>""</f>
        <v/>
      </c>
      <c r="K1403" s="10" t="str">
        <f>"PFES1162630320_0001"</f>
        <v>PFES1162630320_0001</v>
      </c>
      <c r="L1403" s="10">
        <v>1</v>
      </c>
      <c r="M1403" s="10">
        <v>1</v>
      </c>
    </row>
    <row r="1404" spans="1:13">
      <c r="A1404" s="8">
        <v>43270</v>
      </c>
      <c r="B1404" s="9">
        <v>0.51111111111111118</v>
      </c>
      <c r="C1404" s="10" t="str">
        <f>"FES1162630419"</f>
        <v>FES1162630419</v>
      </c>
      <c r="D1404" s="10" t="s">
        <v>19</v>
      </c>
      <c r="E1404" s="10" t="s">
        <v>328</v>
      </c>
      <c r="F1404" s="10" t="str">
        <f>"2170637354 "</f>
        <v xml:space="preserve">2170637354 </v>
      </c>
      <c r="G1404" s="10" t="str">
        <f t="shared" si="41"/>
        <v>ON1</v>
      </c>
      <c r="H1404" s="10" t="s">
        <v>21</v>
      </c>
      <c r="I1404" s="10" t="s">
        <v>329</v>
      </c>
      <c r="J1404" s="10" t="str">
        <f>""</f>
        <v/>
      </c>
      <c r="K1404" s="10" t="str">
        <f>"PFES1162630419_0001"</f>
        <v>PFES1162630419_0001</v>
      </c>
      <c r="L1404" s="10">
        <v>1</v>
      </c>
      <c r="M1404" s="10">
        <v>1</v>
      </c>
    </row>
    <row r="1405" spans="1:13">
      <c r="A1405" s="8">
        <v>43270</v>
      </c>
      <c r="B1405" s="9">
        <v>0.51041666666666663</v>
      </c>
      <c r="C1405" s="10" t="str">
        <f>"FES1162630341"</f>
        <v>FES1162630341</v>
      </c>
      <c r="D1405" s="10" t="s">
        <v>19</v>
      </c>
      <c r="E1405" s="10" t="s">
        <v>812</v>
      </c>
      <c r="F1405" s="10" t="str">
        <f>"2170637299 "</f>
        <v xml:space="preserve">2170637299 </v>
      </c>
      <c r="G1405" s="10" t="str">
        <f t="shared" si="41"/>
        <v>ON1</v>
      </c>
      <c r="H1405" s="10" t="s">
        <v>21</v>
      </c>
      <c r="I1405" s="10" t="s">
        <v>305</v>
      </c>
      <c r="J1405" s="10" t="str">
        <f>""</f>
        <v/>
      </c>
      <c r="K1405" s="10" t="str">
        <f>"PFES1162630341_0001"</f>
        <v>PFES1162630341_0001</v>
      </c>
      <c r="L1405" s="10">
        <v>1</v>
      </c>
      <c r="M1405" s="10">
        <v>1</v>
      </c>
    </row>
    <row r="1406" spans="1:13">
      <c r="A1406" s="8">
        <v>43270</v>
      </c>
      <c r="B1406" s="9">
        <v>0.51041666666666663</v>
      </c>
      <c r="C1406" s="10" t="str">
        <f>"FES1162630314"</f>
        <v>FES1162630314</v>
      </c>
      <c r="D1406" s="10" t="s">
        <v>19</v>
      </c>
      <c r="E1406" s="10" t="s">
        <v>67</v>
      </c>
      <c r="F1406" s="10" t="str">
        <f>"2170637156 "</f>
        <v xml:space="preserve">2170637156 </v>
      </c>
      <c r="G1406" s="10" t="str">
        <f t="shared" si="41"/>
        <v>ON1</v>
      </c>
      <c r="H1406" s="10" t="s">
        <v>21</v>
      </c>
      <c r="I1406" s="10" t="s">
        <v>32</v>
      </c>
      <c r="J1406" s="10" t="str">
        <f>""</f>
        <v/>
      </c>
      <c r="K1406" s="10" t="str">
        <f>"PFES1162630314_0001"</f>
        <v>PFES1162630314_0001</v>
      </c>
      <c r="L1406" s="10">
        <v>1</v>
      </c>
      <c r="M1406" s="10">
        <v>1</v>
      </c>
    </row>
    <row r="1407" spans="1:13">
      <c r="A1407" s="8">
        <v>43270</v>
      </c>
      <c r="B1407" s="9">
        <v>0.50972222222222219</v>
      </c>
      <c r="C1407" s="10" t="str">
        <f>"FES1162630385"</f>
        <v>FES1162630385</v>
      </c>
      <c r="D1407" s="10" t="s">
        <v>19</v>
      </c>
      <c r="E1407" s="10" t="s">
        <v>58</v>
      </c>
      <c r="F1407" s="10" t="str">
        <f>"2170637339 "</f>
        <v xml:space="preserve">2170637339 </v>
      </c>
      <c r="G1407" s="10" t="str">
        <f t="shared" si="41"/>
        <v>ON1</v>
      </c>
      <c r="H1407" s="10" t="s">
        <v>21</v>
      </c>
      <c r="I1407" s="10" t="s">
        <v>59</v>
      </c>
      <c r="J1407" s="10" t="str">
        <f>""</f>
        <v/>
      </c>
      <c r="K1407" s="10" t="str">
        <f>"PFES1162630385_0001"</f>
        <v>PFES1162630385_0001</v>
      </c>
      <c r="L1407" s="10">
        <v>1</v>
      </c>
      <c r="M1407" s="10">
        <v>1</v>
      </c>
    </row>
    <row r="1408" spans="1:13">
      <c r="A1408" s="8">
        <v>43270</v>
      </c>
      <c r="B1408" s="9">
        <v>0.50902777777777775</v>
      </c>
      <c r="C1408" s="10" t="str">
        <f>"FES1162630365"</f>
        <v>FES1162630365</v>
      </c>
      <c r="D1408" s="10" t="s">
        <v>19</v>
      </c>
      <c r="E1408" s="10" t="s">
        <v>813</v>
      </c>
      <c r="F1408" s="10" t="str">
        <f>"2170637325 "</f>
        <v xml:space="preserve">2170637325 </v>
      </c>
      <c r="G1408" s="10" t="str">
        <f t="shared" si="41"/>
        <v>ON1</v>
      </c>
      <c r="H1408" s="10" t="s">
        <v>21</v>
      </c>
      <c r="I1408" s="10" t="s">
        <v>71</v>
      </c>
      <c r="J1408" s="10" t="str">
        <f>""</f>
        <v/>
      </c>
      <c r="K1408" s="10" t="str">
        <f>"PFES1162630365_0001"</f>
        <v>PFES1162630365_0001</v>
      </c>
      <c r="L1408" s="10">
        <v>1</v>
      </c>
      <c r="M1408" s="10">
        <v>1</v>
      </c>
    </row>
    <row r="1409" spans="1:13">
      <c r="A1409" s="8">
        <v>43270</v>
      </c>
      <c r="B1409" s="9">
        <v>0.50902777777777775</v>
      </c>
      <c r="C1409" s="10" t="str">
        <f>"FES1162630458"</f>
        <v>FES1162630458</v>
      </c>
      <c r="D1409" s="10" t="s">
        <v>19</v>
      </c>
      <c r="E1409" s="10" t="s">
        <v>525</v>
      </c>
      <c r="F1409" s="10" t="str">
        <f>"2170637389 "</f>
        <v xml:space="preserve">2170637389 </v>
      </c>
      <c r="G1409" s="10" t="str">
        <f t="shared" si="41"/>
        <v>ON1</v>
      </c>
      <c r="H1409" s="10" t="s">
        <v>21</v>
      </c>
      <c r="I1409" s="10" t="s">
        <v>237</v>
      </c>
      <c r="J1409" s="10" t="str">
        <f>""</f>
        <v/>
      </c>
      <c r="K1409" s="10" t="str">
        <f>"PFES1162630458_0001"</f>
        <v>PFES1162630458_0001</v>
      </c>
      <c r="L1409" s="10">
        <v>1</v>
      </c>
      <c r="M1409" s="10">
        <v>1</v>
      </c>
    </row>
    <row r="1410" spans="1:13">
      <c r="A1410" s="8">
        <v>43270</v>
      </c>
      <c r="B1410" s="9">
        <v>0.5083333333333333</v>
      </c>
      <c r="C1410" s="10" t="str">
        <f>"FES1162630374"</f>
        <v>FES1162630374</v>
      </c>
      <c r="D1410" s="10" t="s">
        <v>19</v>
      </c>
      <c r="E1410" s="10" t="s">
        <v>398</v>
      </c>
      <c r="F1410" s="10" t="str">
        <f>"2170637321 "</f>
        <v xml:space="preserve">2170637321 </v>
      </c>
      <c r="G1410" s="10" t="str">
        <f t="shared" si="41"/>
        <v>ON1</v>
      </c>
      <c r="H1410" s="10" t="s">
        <v>21</v>
      </c>
      <c r="I1410" s="10" t="s">
        <v>32</v>
      </c>
      <c r="J1410" s="10" t="str">
        <f>""</f>
        <v/>
      </c>
      <c r="K1410" s="10" t="str">
        <f>"PFES1162630374_0001"</f>
        <v>PFES1162630374_0001</v>
      </c>
      <c r="L1410" s="10">
        <v>1</v>
      </c>
      <c r="M1410" s="10">
        <v>1</v>
      </c>
    </row>
    <row r="1411" spans="1:13">
      <c r="A1411" s="8">
        <v>43270</v>
      </c>
      <c r="B1411" s="9">
        <v>0.5083333333333333</v>
      </c>
      <c r="C1411" s="10" t="str">
        <f>"FES1162630347"</f>
        <v>FES1162630347</v>
      </c>
      <c r="D1411" s="10" t="s">
        <v>19</v>
      </c>
      <c r="E1411" s="10" t="s">
        <v>550</v>
      </c>
      <c r="F1411" s="10" t="str">
        <f>"2170625797 "</f>
        <v xml:space="preserve">2170625797 </v>
      </c>
      <c r="G1411" s="10" t="str">
        <f t="shared" si="41"/>
        <v>ON1</v>
      </c>
      <c r="H1411" s="10" t="s">
        <v>21</v>
      </c>
      <c r="I1411" s="10" t="s">
        <v>439</v>
      </c>
      <c r="J1411" s="10" t="str">
        <f>""</f>
        <v/>
      </c>
      <c r="K1411" s="10" t="str">
        <f>"PFES1162630347_0001"</f>
        <v>PFES1162630347_0001</v>
      </c>
      <c r="L1411" s="10">
        <v>1</v>
      </c>
      <c r="M1411" s="10">
        <v>1</v>
      </c>
    </row>
    <row r="1412" spans="1:13">
      <c r="A1412" s="8">
        <v>43270</v>
      </c>
      <c r="B1412" s="9">
        <v>0.50763888888888886</v>
      </c>
      <c r="C1412" s="10" t="str">
        <f>"FES1162630392"</f>
        <v>FES1162630392</v>
      </c>
      <c r="D1412" s="10" t="s">
        <v>19</v>
      </c>
      <c r="E1412" s="10" t="s">
        <v>298</v>
      </c>
      <c r="F1412" s="10" t="str">
        <f>"2170633940 "</f>
        <v xml:space="preserve">2170633940 </v>
      </c>
      <c r="G1412" s="10" t="str">
        <f t="shared" si="41"/>
        <v>ON1</v>
      </c>
      <c r="H1412" s="10" t="s">
        <v>21</v>
      </c>
      <c r="I1412" s="10" t="s">
        <v>299</v>
      </c>
      <c r="J1412" s="10" t="str">
        <f>""</f>
        <v/>
      </c>
      <c r="K1412" s="10" t="str">
        <f>"PFES1162630392_0001"</f>
        <v>PFES1162630392_0001</v>
      </c>
      <c r="L1412" s="10">
        <v>1</v>
      </c>
      <c r="M1412" s="10">
        <v>1</v>
      </c>
    </row>
    <row r="1413" spans="1:13">
      <c r="A1413" s="8">
        <v>43270</v>
      </c>
      <c r="B1413" s="9">
        <v>0.50763888888888886</v>
      </c>
      <c r="C1413" s="10" t="str">
        <f>"FES1162630286"</f>
        <v>FES1162630286</v>
      </c>
      <c r="D1413" s="10" t="s">
        <v>19</v>
      </c>
      <c r="E1413" s="10" t="s">
        <v>814</v>
      </c>
      <c r="F1413" s="10" t="str">
        <f>"217063534 "</f>
        <v xml:space="preserve">217063534 </v>
      </c>
      <c r="G1413" s="10" t="str">
        <f t="shared" si="41"/>
        <v>ON1</v>
      </c>
      <c r="H1413" s="10" t="s">
        <v>21</v>
      </c>
      <c r="I1413" s="10" t="s">
        <v>815</v>
      </c>
      <c r="J1413" s="10" t="str">
        <f>""</f>
        <v/>
      </c>
      <c r="K1413" s="10" t="str">
        <f>"PFES1162630286_0001"</f>
        <v>PFES1162630286_0001</v>
      </c>
      <c r="L1413" s="10">
        <v>1</v>
      </c>
      <c r="M1413" s="10">
        <v>1</v>
      </c>
    </row>
    <row r="1414" spans="1:13">
      <c r="A1414" s="8">
        <v>43270</v>
      </c>
      <c r="B1414" s="9">
        <v>0.50624999999999998</v>
      </c>
      <c r="C1414" s="10" t="str">
        <f>"FES1162630334"</f>
        <v>FES1162630334</v>
      </c>
      <c r="D1414" s="10" t="s">
        <v>19</v>
      </c>
      <c r="E1414" s="10" t="s">
        <v>113</v>
      </c>
      <c r="F1414" s="10" t="str">
        <f>"21706377284 "</f>
        <v xml:space="preserve">21706377284 </v>
      </c>
      <c r="G1414" s="10" t="str">
        <f t="shared" si="41"/>
        <v>ON1</v>
      </c>
      <c r="H1414" s="10" t="s">
        <v>21</v>
      </c>
      <c r="I1414" s="10" t="s">
        <v>114</v>
      </c>
      <c r="J1414" s="10" t="str">
        <f>""</f>
        <v/>
      </c>
      <c r="K1414" s="10" t="str">
        <f>"PFES1162630334_0001"</f>
        <v>PFES1162630334_0001</v>
      </c>
      <c r="L1414" s="10">
        <v>1</v>
      </c>
      <c r="M1414" s="10">
        <v>1</v>
      </c>
    </row>
    <row r="1415" spans="1:13">
      <c r="A1415" s="8">
        <v>43271</v>
      </c>
      <c r="B1415" s="9">
        <v>0.70277777777777783</v>
      </c>
      <c r="C1415" s="10" t="str">
        <f>"FES1162630813"</f>
        <v>FES1162630813</v>
      </c>
      <c r="D1415" s="10" t="s">
        <v>19</v>
      </c>
      <c r="E1415" s="10" t="s">
        <v>816</v>
      </c>
      <c r="F1415" s="10" t="str">
        <f>"2170637517 "</f>
        <v xml:space="preserve">2170637517 </v>
      </c>
      <c r="G1415" s="10" t="str">
        <f t="shared" si="41"/>
        <v>ON1</v>
      </c>
      <c r="H1415" s="10" t="s">
        <v>21</v>
      </c>
      <c r="I1415" s="10" t="s">
        <v>170</v>
      </c>
      <c r="J1415" s="10" t="str">
        <f>""</f>
        <v/>
      </c>
      <c r="K1415" s="10" t="str">
        <f>"PFES1162630813_0001"</f>
        <v>PFES1162630813_0001</v>
      </c>
      <c r="L1415" s="10">
        <v>1</v>
      </c>
      <c r="M1415" s="10">
        <v>2</v>
      </c>
    </row>
    <row r="1416" spans="1:13">
      <c r="A1416" s="8">
        <v>43271</v>
      </c>
      <c r="B1416" s="9">
        <v>0.70138888888888884</v>
      </c>
      <c r="C1416" s="10" t="str">
        <f>"FES1162630808"</f>
        <v>FES1162630808</v>
      </c>
      <c r="D1416" s="10" t="s">
        <v>19</v>
      </c>
      <c r="E1416" s="10" t="s">
        <v>92</v>
      </c>
      <c r="F1416" s="10" t="str">
        <f>"2170633656 "</f>
        <v xml:space="preserve">2170633656 </v>
      </c>
      <c r="G1416" s="10" t="str">
        <f t="shared" si="41"/>
        <v>ON1</v>
      </c>
      <c r="H1416" s="10" t="s">
        <v>21</v>
      </c>
      <c r="I1416" s="10" t="s">
        <v>93</v>
      </c>
      <c r="J1416" s="10" t="str">
        <f>""</f>
        <v/>
      </c>
      <c r="K1416" s="10" t="str">
        <f>"PFES1162630808_0001"</f>
        <v>PFES1162630808_0001</v>
      </c>
      <c r="L1416" s="10">
        <v>1</v>
      </c>
      <c r="M1416" s="10">
        <v>15</v>
      </c>
    </row>
    <row r="1417" spans="1:13">
      <c r="A1417" s="8">
        <v>43271</v>
      </c>
      <c r="B1417" s="9">
        <v>0.70138888888888884</v>
      </c>
      <c r="C1417" s="10" t="str">
        <f>"FES1162630799"</f>
        <v>FES1162630799</v>
      </c>
      <c r="D1417" s="10" t="s">
        <v>19</v>
      </c>
      <c r="E1417" s="10" t="s">
        <v>817</v>
      </c>
      <c r="F1417" s="10" t="str">
        <f>"2170637749 "</f>
        <v xml:space="preserve">2170637749 </v>
      </c>
      <c r="G1417" s="10" t="str">
        <f t="shared" si="41"/>
        <v>ON1</v>
      </c>
      <c r="H1417" s="10" t="s">
        <v>21</v>
      </c>
      <c r="I1417" s="10" t="s">
        <v>818</v>
      </c>
      <c r="J1417" s="10" t="str">
        <f>""</f>
        <v/>
      </c>
      <c r="K1417" s="10" t="str">
        <f>"PFES1162630799_0001"</f>
        <v>PFES1162630799_0001</v>
      </c>
      <c r="L1417" s="10">
        <v>1</v>
      </c>
      <c r="M1417" s="10">
        <v>14</v>
      </c>
    </row>
    <row r="1418" spans="1:13">
      <c r="A1418" s="8">
        <v>43271</v>
      </c>
      <c r="B1418" s="9">
        <v>0.7006944444444444</v>
      </c>
      <c r="C1418" s="10" t="str">
        <f>"FES1162630728"</f>
        <v>FES1162630728</v>
      </c>
      <c r="D1418" s="10" t="s">
        <v>19</v>
      </c>
      <c r="E1418" s="10" t="s">
        <v>721</v>
      </c>
      <c r="F1418" s="10" t="str">
        <f>"2170637655 "</f>
        <v xml:space="preserve">2170637655 </v>
      </c>
      <c r="G1418" s="10" t="str">
        <f t="shared" si="41"/>
        <v>ON1</v>
      </c>
      <c r="H1418" s="10" t="s">
        <v>21</v>
      </c>
      <c r="I1418" s="10" t="s">
        <v>59</v>
      </c>
      <c r="J1418" s="10" t="str">
        <f>""</f>
        <v/>
      </c>
      <c r="K1418" s="10" t="str">
        <f>"PFES1162630728_0001"</f>
        <v>PFES1162630728_0001</v>
      </c>
      <c r="L1418" s="10">
        <v>1</v>
      </c>
      <c r="M1418" s="10">
        <v>3</v>
      </c>
    </row>
    <row r="1419" spans="1:13">
      <c r="A1419" s="8">
        <v>43271</v>
      </c>
      <c r="B1419" s="9">
        <v>0.69791666666666663</v>
      </c>
      <c r="C1419" s="10" t="str">
        <f>"FES1162630724"</f>
        <v>FES1162630724</v>
      </c>
      <c r="D1419" s="10" t="s">
        <v>19</v>
      </c>
      <c r="E1419" s="10" t="s">
        <v>263</v>
      </c>
      <c r="F1419" s="10" t="str">
        <f>"2170637449 "</f>
        <v xml:space="preserve">2170637449 </v>
      </c>
      <c r="G1419" s="10" t="str">
        <f t="shared" si="41"/>
        <v>ON1</v>
      </c>
      <c r="H1419" s="10" t="s">
        <v>21</v>
      </c>
      <c r="I1419" s="10" t="s">
        <v>230</v>
      </c>
      <c r="J1419" s="10" t="str">
        <f>""</f>
        <v/>
      </c>
      <c r="K1419" s="10" t="str">
        <f>"PFES1162630724_0001"</f>
        <v>PFES1162630724_0001</v>
      </c>
      <c r="L1419" s="10">
        <v>1</v>
      </c>
      <c r="M1419" s="10">
        <v>6</v>
      </c>
    </row>
    <row r="1420" spans="1:13">
      <c r="A1420" s="8">
        <v>43271</v>
      </c>
      <c r="B1420" s="9">
        <v>0.6972222222222223</v>
      </c>
      <c r="C1420" s="10" t="str">
        <f>"FES1162630776"</f>
        <v>FES1162630776</v>
      </c>
      <c r="D1420" s="10" t="s">
        <v>19</v>
      </c>
      <c r="E1420" s="10" t="s">
        <v>819</v>
      </c>
      <c r="F1420" s="10" t="str">
        <f>"2170637600 "</f>
        <v xml:space="preserve">2170637600 </v>
      </c>
      <c r="G1420" s="10" t="str">
        <f t="shared" si="41"/>
        <v>ON1</v>
      </c>
      <c r="H1420" s="10" t="s">
        <v>21</v>
      </c>
      <c r="I1420" s="10" t="s">
        <v>674</v>
      </c>
      <c r="J1420" s="10" t="str">
        <f>""</f>
        <v/>
      </c>
      <c r="K1420" s="10" t="str">
        <f>"PFES1162630776_0001"</f>
        <v>PFES1162630776_0001</v>
      </c>
      <c r="L1420" s="10">
        <v>1</v>
      </c>
      <c r="M1420" s="10">
        <v>6</v>
      </c>
    </row>
    <row r="1421" spans="1:13">
      <c r="A1421" s="8">
        <v>43271</v>
      </c>
      <c r="B1421" s="9">
        <v>0.69652777777777775</v>
      </c>
      <c r="C1421" s="10" t="str">
        <f>"FES11630807"</f>
        <v>FES11630807</v>
      </c>
      <c r="D1421" s="10" t="s">
        <v>19</v>
      </c>
      <c r="E1421" s="10" t="s">
        <v>820</v>
      </c>
      <c r="F1421" s="10" t="str">
        <f>"2170630807 "</f>
        <v xml:space="preserve">2170630807 </v>
      </c>
      <c r="G1421" s="10" t="str">
        <f t="shared" si="41"/>
        <v>ON1</v>
      </c>
      <c r="H1421" s="10" t="s">
        <v>21</v>
      </c>
      <c r="I1421" s="10" t="s">
        <v>112</v>
      </c>
      <c r="J1421" s="10" t="str">
        <f>""</f>
        <v/>
      </c>
      <c r="K1421" s="10" t="str">
        <f>"PFES11630807_0001"</f>
        <v>PFES11630807_0001</v>
      </c>
      <c r="L1421" s="10">
        <v>1</v>
      </c>
      <c r="M1421" s="10">
        <v>13</v>
      </c>
    </row>
    <row r="1422" spans="1:13">
      <c r="A1422" s="8">
        <v>43271</v>
      </c>
      <c r="B1422" s="9">
        <v>0.69444444444444453</v>
      </c>
      <c r="C1422" s="10" t="str">
        <f>"FES1162630797"</f>
        <v>FES1162630797</v>
      </c>
      <c r="D1422" s="10" t="s">
        <v>19</v>
      </c>
      <c r="E1422" s="10" t="s">
        <v>117</v>
      </c>
      <c r="F1422" s="10" t="str">
        <f>"2170637746 "</f>
        <v xml:space="preserve">2170637746 </v>
      </c>
      <c r="G1422" s="10" t="str">
        <f t="shared" si="41"/>
        <v>ON1</v>
      </c>
      <c r="H1422" s="10" t="s">
        <v>21</v>
      </c>
      <c r="I1422" s="10" t="s">
        <v>118</v>
      </c>
      <c r="J1422" s="10" t="str">
        <f>""</f>
        <v/>
      </c>
      <c r="K1422" s="10" t="str">
        <f>"PFES1162630797_0001"</f>
        <v>PFES1162630797_0001</v>
      </c>
      <c r="L1422" s="10">
        <v>1</v>
      </c>
      <c r="M1422" s="10">
        <v>1</v>
      </c>
    </row>
    <row r="1423" spans="1:13">
      <c r="A1423" s="8">
        <v>43271</v>
      </c>
      <c r="B1423" s="9">
        <v>0.69444444444444453</v>
      </c>
      <c r="C1423" s="10" t="str">
        <f>"FES1162630782"</f>
        <v>FES1162630782</v>
      </c>
      <c r="D1423" s="10" t="s">
        <v>19</v>
      </c>
      <c r="E1423" s="10" t="s">
        <v>33</v>
      </c>
      <c r="F1423" s="10" t="str">
        <f>"2170637725 "</f>
        <v xml:space="preserve">2170637725 </v>
      </c>
      <c r="G1423" s="10" t="str">
        <f t="shared" si="41"/>
        <v>ON1</v>
      </c>
      <c r="H1423" s="10" t="s">
        <v>21</v>
      </c>
      <c r="I1423" s="10" t="s">
        <v>34</v>
      </c>
      <c r="J1423" s="10" t="str">
        <f>""</f>
        <v/>
      </c>
      <c r="K1423" s="10" t="str">
        <f>"PFES1162630782_0001"</f>
        <v>PFES1162630782_0001</v>
      </c>
      <c r="L1423" s="10">
        <v>1</v>
      </c>
      <c r="M1423" s="10">
        <v>1</v>
      </c>
    </row>
    <row r="1424" spans="1:13">
      <c r="A1424" s="8">
        <v>43271</v>
      </c>
      <c r="B1424" s="9">
        <v>0.69444444444444453</v>
      </c>
      <c r="C1424" s="10" t="str">
        <f>"FES1162630802"</f>
        <v>FES1162630802</v>
      </c>
      <c r="D1424" s="10" t="s">
        <v>19</v>
      </c>
      <c r="E1424" s="10" t="s">
        <v>779</v>
      </c>
      <c r="F1424" s="10" t="str">
        <f>"21706377752 "</f>
        <v xml:space="preserve">21706377752 </v>
      </c>
      <c r="G1424" s="10" t="str">
        <f t="shared" si="41"/>
        <v>ON1</v>
      </c>
      <c r="H1424" s="10" t="s">
        <v>21</v>
      </c>
      <c r="I1424" s="10" t="s">
        <v>112</v>
      </c>
      <c r="J1424" s="10" t="str">
        <f>""</f>
        <v/>
      </c>
      <c r="K1424" s="10" t="str">
        <f>"PFES1162630802_0001"</f>
        <v>PFES1162630802_0001</v>
      </c>
      <c r="L1424" s="10">
        <v>1</v>
      </c>
      <c r="M1424" s="10">
        <v>1</v>
      </c>
    </row>
    <row r="1425" spans="1:13">
      <c r="A1425" s="8">
        <v>43271</v>
      </c>
      <c r="B1425" s="9">
        <v>0.69374999999999998</v>
      </c>
      <c r="C1425" s="10" t="str">
        <f>"FES1162630791"</f>
        <v>FES1162630791</v>
      </c>
      <c r="D1425" s="10" t="s">
        <v>19</v>
      </c>
      <c r="E1425" s="10" t="s">
        <v>335</v>
      </c>
      <c r="F1425" s="10" t="str">
        <f>"2170637737 "</f>
        <v xml:space="preserve">2170637737 </v>
      </c>
      <c r="G1425" s="10" t="str">
        <f t="shared" si="41"/>
        <v>ON1</v>
      </c>
      <c r="H1425" s="10" t="s">
        <v>21</v>
      </c>
      <c r="I1425" s="10" t="s">
        <v>336</v>
      </c>
      <c r="J1425" s="10" t="str">
        <f>""</f>
        <v/>
      </c>
      <c r="K1425" s="10" t="str">
        <f>"PFES1162630791_0001"</f>
        <v>PFES1162630791_0001</v>
      </c>
      <c r="L1425" s="10">
        <v>1</v>
      </c>
      <c r="M1425" s="10">
        <v>1</v>
      </c>
    </row>
    <row r="1426" spans="1:13">
      <c r="A1426" s="8">
        <v>43271</v>
      </c>
      <c r="B1426" s="9">
        <v>0.69305555555555554</v>
      </c>
      <c r="C1426" s="10" t="str">
        <f>"FES1162630721"</f>
        <v>FES1162630721</v>
      </c>
      <c r="D1426" s="10" t="s">
        <v>19</v>
      </c>
      <c r="E1426" s="10" t="s">
        <v>145</v>
      </c>
      <c r="F1426" s="10" t="str">
        <f>"2170637119 "</f>
        <v xml:space="preserve">2170637119 </v>
      </c>
      <c r="G1426" s="10" t="str">
        <f t="shared" si="41"/>
        <v>ON1</v>
      </c>
      <c r="H1426" s="10" t="s">
        <v>21</v>
      </c>
      <c r="I1426" s="10" t="s">
        <v>146</v>
      </c>
      <c r="J1426" s="10" t="str">
        <f>""</f>
        <v/>
      </c>
      <c r="K1426" s="10" t="str">
        <f>"PFES1162630721_0001"</f>
        <v>PFES1162630721_0001</v>
      </c>
      <c r="L1426" s="10">
        <v>1</v>
      </c>
      <c r="M1426" s="10">
        <v>1</v>
      </c>
    </row>
    <row r="1427" spans="1:13">
      <c r="A1427" s="8">
        <v>43271</v>
      </c>
      <c r="B1427" s="9">
        <v>0.69305555555555554</v>
      </c>
      <c r="C1427" s="10" t="str">
        <f>"FES1162630723"</f>
        <v>FES1162630723</v>
      </c>
      <c r="D1427" s="10" t="s">
        <v>19</v>
      </c>
      <c r="E1427" s="10" t="s">
        <v>145</v>
      </c>
      <c r="F1427" s="10" t="str">
        <f>"2170637308 "</f>
        <v xml:space="preserve">2170637308 </v>
      </c>
      <c r="G1427" s="10" t="str">
        <f t="shared" si="41"/>
        <v>ON1</v>
      </c>
      <c r="H1427" s="10" t="s">
        <v>21</v>
      </c>
      <c r="I1427" s="10" t="s">
        <v>146</v>
      </c>
      <c r="J1427" s="10" t="str">
        <f>""</f>
        <v/>
      </c>
      <c r="K1427" s="10" t="str">
        <f>"PFES1162630723_0001"</f>
        <v>PFES1162630723_0001</v>
      </c>
      <c r="L1427" s="10">
        <v>1</v>
      </c>
      <c r="M1427" s="10">
        <v>1</v>
      </c>
    </row>
    <row r="1428" spans="1:13">
      <c r="A1428" s="8">
        <v>43271</v>
      </c>
      <c r="B1428" s="9">
        <v>0.69305555555555554</v>
      </c>
      <c r="C1428" s="10" t="str">
        <f>"FES1162630760"</f>
        <v>FES1162630760</v>
      </c>
      <c r="D1428" s="10" t="s">
        <v>19</v>
      </c>
      <c r="E1428" s="10" t="s">
        <v>122</v>
      </c>
      <c r="F1428" s="10" t="str">
        <f>"2170637623 "</f>
        <v xml:space="preserve">2170637623 </v>
      </c>
      <c r="G1428" s="10" t="str">
        <f t="shared" si="41"/>
        <v>ON1</v>
      </c>
      <c r="H1428" s="10" t="s">
        <v>21</v>
      </c>
      <c r="I1428" s="10" t="s">
        <v>75</v>
      </c>
      <c r="J1428" s="10" t="str">
        <f>""</f>
        <v/>
      </c>
      <c r="K1428" s="10" t="str">
        <f>"PFES1162630760_0001"</f>
        <v>PFES1162630760_0001</v>
      </c>
      <c r="L1428" s="10">
        <v>1</v>
      </c>
      <c r="M1428" s="10">
        <v>1</v>
      </c>
    </row>
    <row r="1429" spans="1:13">
      <c r="A1429" s="8">
        <v>43271</v>
      </c>
      <c r="B1429" s="9">
        <v>0.69236111111111109</v>
      </c>
      <c r="C1429" s="10" t="str">
        <f>"FES1162630734"</f>
        <v>FES1162630734</v>
      </c>
      <c r="D1429" s="10" t="s">
        <v>19</v>
      </c>
      <c r="E1429" s="10" t="s">
        <v>311</v>
      </c>
      <c r="F1429" s="10" t="str">
        <f>"2170637664 "</f>
        <v xml:space="preserve">2170637664 </v>
      </c>
      <c r="G1429" s="10" t="str">
        <f t="shared" si="41"/>
        <v>ON1</v>
      </c>
      <c r="H1429" s="10" t="s">
        <v>21</v>
      </c>
      <c r="I1429" s="10" t="s">
        <v>131</v>
      </c>
      <c r="J1429" s="10" t="str">
        <f>""</f>
        <v/>
      </c>
      <c r="K1429" s="10" t="str">
        <f>"PFES1162630734_0001"</f>
        <v>PFES1162630734_0001</v>
      </c>
      <c r="L1429" s="10">
        <v>1</v>
      </c>
      <c r="M1429" s="10">
        <v>1</v>
      </c>
    </row>
    <row r="1430" spans="1:13">
      <c r="A1430" s="8">
        <v>43271</v>
      </c>
      <c r="B1430" s="9">
        <v>0.69236111111111109</v>
      </c>
      <c r="C1430" s="10" t="str">
        <f>"FES1162630810"</f>
        <v>FES1162630810</v>
      </c>
      <c r="D1430" s="10" t="s">
        <v>19</v>
      </c>
      <c r="E1430" s="10" t="s">
        <v>171</v>
      </c>
      <c r="F1430" s="10" t="str">
        <f>"2170637766 "</f>
        <v xml:space="preserve">2170637766 </v>
      </c>
      <c r="G1430" s="10" t="str">
        <f t="shared" si="41"/>
        <v>ON1</v>
      </c>
      <c r="H1430" s="10" t="s">
        <v>21</v>
      </c>
      <c r="I1430" s="10" t="s">
        <v>172</v>
      </c>
      <c r="J1430" s="10" t="str">
        <f>""</f>
        <v/>
      </c>
      <c r="K1430" s="10" t="str">
        <f>"PFES1162630810_0001"</f>
        <v>PFES1162630810_0001</v>
      </c>
      <c r="L1430" s="10">
        <v>1</v>
      </c>
      <c r="M1430" s="10">
        <v>1</v>
      </c>
    </row>
    <row r="1431" spans="1:13">
      <c r="A1431" s="8">
        <v>43271</v>
      </c>
      <c r="B1431" s="9">
        <v>0.69236111111111109</v>
      </c>
      <c r="C1431" s="10" t="str">
        <f>"FES1162630750"</f>
        <v>FES1162630750</v>
      </c>
      <c r="D1431" s="10" t="s">
        <v>19</v>
      </c>
      <c r="E1431" s="10" t="s">
        <v>126</v>
      </c>
      <c r="F1431" s="10" t="str">
        <f>"2170637691 "</f>
        <v xml:space="preserve">2170637691 </v>
      </c>
      <c r="G1431" s="10" t="str">
        <f t="shared" si="41"/>
        <v>ON1</v>
      </c>
      <c r="H1431" s="10" t="s">
        <v>21</v>
      </c>
      <c r="I1431" s="10" t="s">
        <v>100</v>
      </c>
      <c r="J1431" s="10" t="str">
        <f>""</f>
        <v/>
      </c>
      <c r="K1431" s="10" t="str">
        <f>"PFES1162630750_0001"</f>
        <v>PFES1162630750_0001</v>
      </c>
      <c r="L1431" s="10">
        <v>1</v>
      </c>
      <c r="M1431" s="10">
        <v>1</v>
      </c>
    </row>
    <row r="1432" spans="1:13">
      <c r="A1432" s="8">
        <v>43271</v>
      </c>
      <c r="B1432" s="9">
        <v>0.69166666666666676</v>
      </c>
      <c r="C1432" s="10" t="str">
        <f>"FES1162630763"</f>
        <v>FES1162630763</v>
      </c>
      <c r="D1432" s="10" t="s">
        <v>19</v>
      </c>
      <c r="E1432" s="10" t="s">
        <v>720</v>
      </c>
      <c r="F1432" s="10" t="str">
        <f>"2170637700 "</f>
        <v xml:space="preserve">2170637700 </v>
      </c>
      <c r="G1432" s="10" t="str">
        <f t="shared" si="41"/>
        <v>ON1</v>
      </c>
      <c r="H1432" s="10" t="s">
        <v>21</v>
      </c>
      <c r="I1432" s="10" t="s">
        <v>578</v>
      </c>
      <c r="J1432" s="10" t="str">
        <f>""</f>
        <v/>
      </c>
      <c r="K1432" s="10" t="str">
        <f>"PFES1162630763_0001"</f>
        <v>PFES1162630763_0001</v>
      </c>
      <c r="L1432" s="10">
        <v>1</v>
      </c>
      <c r="M1432" s="10">
        <v>1</v>
      </c>
    </row>
    <row r="1433" spans="1:13">
      <c r="A1433" s="8">
        <v>43271</v>
      </c>
      <c r="B1433" s="9">
        <v>0.69166666666666676</v>
      </c>
      <c r="C1433" s="10" t="str">
        <f>"FES1162630761"</f>
        <v>FES1162630761</v>
      </c>
      <c r="D1433" s="10" t="s">
        <v>19</v>
      </c>
      <c r="E1433" s="10" t="s">
        <v>132</v>
      </c>
      <c r="F1433" s="10" t="str">
        <f>"2170637676 "</f>
        <v xml:space="preserve">2170637676 </v>
      </c>
      <c r="G1433" s="10" t="str">
        <f t="shared" ref="G1433:G1496" si="42">"ON1"</f>
        <v>ON1</v>
      </c>
      <c r="H1433" s="10" t="s">
        <v>21</v>
      </c>
      <c r="I1433" s="10" t="s">
        <v>69</v>
      </c>
      <c r="J1433" s="10" t="str">
        <f>""</f>
        <v/>
      </c>
      <c r="K1433" s="10" t="str">
        <f>"PFES1162630761_0001"</f>
        <v>PFES1162630761_0001</v>
      </c>
      <c r="L1433" s="10">
        <v>1</v>
      </c>
      <c r="M1433" s="10">
        <v>1</v>
      </c>
    </row>
    <row r="1434" spans="1:13">
      <c r="A1434" s="8">
        <v>43271</v>
      </c>
      <c r="B1434" s="9">
        <v>0.69097222222222221</v>
      </c>
      <c r="C1434" s="10" t="str">
        <f>"FES1162630812"</f>
        <v>FES1162630812</v>
      </c>
      <c r="D1434" s="10" t="s">
        <v>19</v>
      </c>
      <c r="E1434" s="10" t="s">
        <v>232</v>
      </c>
      <c r="F1434" s="10" t="str">
        <f>"2170633884 "</f>
        <v xml:space="preserve">2170633884 </v>
      </c>
      <c r="G1434" s="10" t="str">
        <f t="shared" si="42"/>
        <v>ON1</v>
      </c>
      <c r="H1434" s="10" t="s">
        <v>21</v>
      </c>
      <c r="I1434" s="10" t="s">
        <v>233</v>
      </c>
      <c r="J1434" s="10" t="str">
        <f>""</f>
        <v/>
      </c>
      <c r="K1434" s="10" t="str">
        <f>"PFES1162630812_0001"</f>
        <v>PFES1162630812_0001</v>
      </c>
      <c r="L1434" s="10">
        <v>1</v>
      </c>
      <c r="M1434" s="10">
        <v>1</v>
      </c>
    </row>
    <row r="1435" spans="1:13">
      <c r="A1435" s="8">
        <v>43271</v>
      </c>
      <c r="B1435" s="9">
        <v>0.69027777777777777</v>
      </c>
      <c r="C1435" s="10" t="str">
        <f>"FES1162630806"</f>
        <v>FES1162630806</v>
      </c>
      <c r="D1435" s="10" t="s">
        <v>19</v>
      </c>
      <c r="E1435" s="10" t="s">
        <v>145</v>
      </c>
      <c r="F1435" s="10" t="str">
        <f>"2170637763 "</f>
        <v xml:space="preserve">2170637763 </v>
      </c>
      <c r="G1435" s="10" t="str">
        <f t="shared" si="42"/>
        <v>ON1</v>
      </c>
      <c r="H1435" s="10" t="s">
        <v>21</v>
      </c>
      <c r="I1435" s="10" t="s">
        <v>146</v>
      </c>
      <c r="J1435" s="10" t="str">
        <f>""</f>
        <v/>
      </c>
      <c r="K1435" s="10" t="str">
        <f>"PFES1162630806_0001"</f>
        <v>PFES1162630806_0001</v>
      </c>
      <c r="L1435" s="10">
        <v>1</v>
      </c>
      <c r="M1435" s="10">
        <v>1</v>
      </c>
    </row>
    <row r="1436" spans="1:13">
      <c r="A1436" s="8">
        <v>43271</v>
      </c>
      <c r="B1436" s="9">
        <v>0.69027777777777777</v>
      </c>
      <c r="C1436" s="10" t="str">
        <f>"FES1162630803"</f>
        <v>FES1162630803</v>
      </c>
      <c r="D1436" s="10" t="s">
        <v>19</v>
      </c>
      <c r="E1436" s="10" t="s">
        <v>60</v>
      </c>
      <c r="F1436" s="10" t="str">
        <f>"2170637758 "</f>
        <v xml:space="preserve">2170637758 </v>
      </c>
      <c r="G1436" s="10" t="str">
        <f t="shared" si="42"/>
        <v>ON1</v>
      </c>
      <c r="H1436" s="10" t="s">
        <v>21</v>
      </c>
      <c r="I1436" s="10" t="s">
        <v>61</v>
      </c>
      <c r="J1436" s="10" t="str">
        <f>""</f>
        <v/>
      </c>
      <c r="K1436" s="10" t="str">
        <f>"PFES1162630803_0001"</f>
        <v>PFES1162630803_0001</v>
      </c>
      <c r="L1436" s="10">
        <v>1</v>
      </c>
      <c r="M1436" s="10">
        <v>1</v>
      </c>
    </row>
    <row r="1437" spans="1:13">
      <c r="A1437" s="8">
        <v>43271</v>
      </c>
      <c r="B1437" s="9">
        <v>0.68958333333333333</v>
      </c>
      <c r="C1437" s="10" t="str">
        <f>"FES1162630731"</f>
        <v>FES1162630731</v>
      </c>
      <c r="D1437" s="10" t="s">
        <v>19</v>
      </c>
      <c r="E1437" s="10" t="s">
        <v>163</v>
      </c>
      <c r="F1437" s="10" t="str">
        <f>"2170637659 "</f>
        <v xml:space="preserve">2170637659 </v>
      </c>
      <c r="G1437" s="10" t="str">
        <f t="shared" si="42"/>
        <v>ON1</v>
      </c>
      <c r="H1437" s="10" t="s">
        <v>21</v>
      </c>
      <c r="I1437" s="10" t="s">
        <v>51</v>
      </c>
      <c r="J1437" s="10" t="str">
        <f>""</f>
        <v/>
      </c>
      <c r="K1437" s="10" t="str">
        <f>"PFES1162630731_0001"</f>
        <v>PFES1162630731_0001</v>
      </c>
      <c r="L1437" s="10">
        <v>1</v>
      </c>
      <c r="M1437" s="10">
        <v>1</v>
      </c>
    </row>
    <row r="1438" spans="1:13">
      <c r="A1438" s="8">
        <v>43271</v>
      </c>
      <c r="B1438" s="9">
        <v>0.68958333333333333</v>
      </c>
      <c r="C1438" s="10" t="str">
        <f>"FES1162630771"</f>
        <v>FES1162630771</v>
      </c>
      <c r="D1438" s="10" t="s">
        <v>19</v>
      </c>
      <c r="E1438" s="10" t="s">
        <v>821</v>
      </c>
      <c r="F1438" s="10" t="str">
        <f>"2170637717 "</f>
        <v xml:space="preserve">2170637717 </v>
      </c>
      <c r="G1438" s="10" t="str">
        <f t="shared" si="42"/>
        <v>ON1</v>
      </c>
      <c r="H1438" s="10" t="s">
        <v>21</v>
      </c>
      <c r="I1438" s="10" t="s">
        <v>112</v>
      </c>
      <c r="J1438" s="10" t="str">
        <f>""</f>
        <v/>
      </c>
      <c r="K1438" s="10" t="str">
        <f>"PFES1162630771_0001"</f>
        <v>PFES1162630771_0001</v>
      </c>
      <c r="L1438" s="10">
        <v>1</v>
      </c>
      <c r="M1438" s="10">
        <v>1</v>
      </c>
    </row>
    <row r="1439" spans="1:13">
      <c r="A1439" s="8">
        <v>43271</v>
      </c>
      <c r="B1439" s="9">
        <v>0.68888888888888899</v>
      </c>
      <c r="C1439" s="10" t="str">
        <f>"FES1162630739"</f>
        <v>FES1162630739</v>
      </c>
      <c r="D1439" s="10" t="s">
        <v>19</v>
      </c>
      <c r="E1439" s="10" t="s">
        <v>750</v>
      </c>
      <c r="F1439" s="10" t="str">
        <f>"2170637675 "</f>
        <v xml:space="preserve">2170637675 </v>
      </c>
      <c r="G1439" s="10" t="str">
        <f t="shared" si="42"/>
        <v>ON1</v>
      </c>
      <c r="H1439" s="10" t="s">
        <v>21</v>
      </c>
      <c r="I1439" s="10" t="s">
        <v>641</v>
      </c>
      <c r="J1439" s="10" t="str">
        <f>""</f>
        <v/>
      </c>
      <c r="K1439" s="10" t="str">
        <f>"PFES1162630739_0001"</f>
        <v>PFES1162630739_0001</v>
      </c>
      <c r="L1439" s="10">
        <v>1</v>
      </c>
      <c r="M1439" s="10">
        <v>1</v>
      </c>
    </row>
    <row r="1440" spans="1:13">
      <c r="A1440" s="8">
        <v>43271</v>
      </c>
      <c r="B1440" s="9">
        <v>0.68888888888888899</v>
      </c>
      <c r="C1440" s="10" t="str">
        <f>"FES1162629935"</f>
        <v>FES1162629935</v>
      </c>
      <c r="D1440" s="10" t="s">
        <v>19</v>
      </c>
      <c r="E1440" s="10" t="s">
        <v>438</v>
      </c>
      <c r="F1440" s="10" t="str">
        <f>"2170636930 "</f>
        <v xml:space="preserve">2170636930 </v>
      </c>
      <c r="G1440" s="10" t="str">
        <f t="shared" si="42"/>
        <v>ON1</v>
      </c>
      <c r="H1440" s="10" t="s">
        <v>21</v>
      </c>
      <c r="I1440" s="10" t="s">
        <v>439</v>
      </c>
      <c r="J1440" s="10" t="str">
        <f>""</f>
        <v/>
      </c>
      <c r="K1440" s="10" t="str">
        <f>"PFES1162629935_0001"</f>
        <v>PFES1162629935_0001</v>
      </c>
      <c r="L1440" s="10">
        <v>1</v>
      </c>
      <c r="M1440" s="10">
        <v>10</v>
      </c>
    </row>
    <row r="1441" spans="1:13">
      <c r="A1441" s="8">
        <v>43271</v>
      </c>
      <c r="B1441" s="9">
        <v>0.68888888888888899</v>
      </c>
      <c r="C1441" s="10" t="str">
        <f>"FES1162630735"</f>
        <v>FES1162630735</v>
      </c>
      <c r="D1441" s="10" t="s">
        <v>19</v>
      </c>
      <c r="E1441" s="10" t="s">
        <v>235</v>
      </c>
      <c r="F1441" s="10" t="str">
        <f>"2170637667 "</f>
        <v xml:space="preserve">2170637667 </v>
      </c>
      <c r="G1441" s="10" t="str">
        <f t="shared" si="42"/>
        <v>ON1</v>
      </c>
      <c r="H1441" s="10" t="s">
        <v>21</v>
      </c>
      <c r="I1441" s="10" t="s">
        <v>174</v>
      </c>
      <c r="J1441" s="10" t="str">
        <f>""</f>
        <v/>
      </c>
      <c r="K1441" s="10" t="str">
        <f>"PFES1162630735_0001"</f>
        <v>PFES1162630735_0001</v>
      </c>
      <c r="L1441" s="10">
        <v>1</v>
      </c>
      <c r="M1441" s="10">
        <v>1</v>
      </c>
    </row>
    <row r="1442" spans="1:13">
      <c r="A1442" s="8">
        <v>43271</v>
      </c>
      <c r="B1442" s="9">
        <v>0.68888888888888899</v>
      </c>
      <c r="C1442" s="10" t="str">
        <f>"FES1162630801"</f>
        <v>FES1162630801</v>
      </c>
      <c r="D1442" s="10" t="s">
        <v>19</v>
      </c>
      <c r="E1442" s="10" t="s">
        <v>693</v>
      </c>
      <c r="F1442" s="10" t="str">
        <f>"2170637751 "</f>
        <v xml:space="preserve">2170637751 </v>
      </c>
      <c r="G1442" s="10" t="str">
        <f t="shared" si="42"/>
        <v>ON1</v>
      </c>
      <c r="H1442" s="10" t="s">
        <v>21</v>
      </c>
      <c r="I1442" s="10" t="s">
        <v>91</v>
      </c>
      <c r="J1442" s="10" t="str">
        <f>""</f>
        <v/>
      </c>
      <c r="K1442" s="10" t="str">
        <f>"PFES1162630801_0001"</f>
        <v>PFES1162630801_0001</v>
      </c>
      <c r="L1442" s="10">
        <v>1</v>
      </c>
      <c r="M1442" s="10">
        <v>1</v>
      </c>
    </row>
    <row r="1443" spans="1:13">
      <c r="A1443" s="8">
        <v>43271</v>
      </c>
      <c r="B1443" s="9">
        <v>0.68819444444444444</v>
      </c>
      <c r="C1443" s="10" t="str">
        <f>"FES1162630777"</f>
        <v>FES1162630777</v>
      </c>
      <c r="D1443" s="10" t="s">
        <v>19</v>
      </c>
      <c r="E1443" s="10" t="s">
        <v>95</v>
      </c>
      <c r="F1443" s="10" t="str">
        <f>"2170637719 "</f>
        <v xml:space="preserve">2170637719 </v>
      </c>
      <c r="G1443" s="10" t="str">
        <f t="shared" si="42"/>
        <v>ON1</v>
      </c>
      <c r="H1443" s="10" t="s">
        <v>21</v>
      </c>
      <c r="I1443" s="10" t="s">
        <v>96</v>
      </c>
      <c r="J1443" s="10" t="str">
        <f>""</f>
        <v/>
      </c>
      <c r="K1443" s="10" t="str">
        <f>"PFES1162630777_0001"</f>
        <v>PFES1162630777_0001</v>
      </c>
      <c r="L1443" s="10">
        <v>1</v>
      </c>
      <c r="M1443" s="10">
        <v>1</v>
      </c>
    </row>
    <row r="1444" spans="1:13">
      <c r="A1444" s="8">
        <v>43271</v>
      </c>
      <c r="B1444" s="9">
        <v>0.68819444444444444</v>
      </c>
      <c r="C1444" s="10" t="str">
        <f>"FES1162630786"</f>
        <v>FES1162630786</v>
      </c>
      <c r="D1444" s="10" t="s">
        <v>19</v>
      </c>
      <c r="E1444" s="10" t="s">
        <v>631</v>
      </c>
      <c r="F1444" s="10" t="str">
        <f>"2170637732 "</f>
        <v xml:space="preserve">2170637732 </v>
      </c>
      <c r="G1444" s="10" t="str">
        <f t="shared" si="42"/>
        <v>ON1</v>
      </c>
      <c r="H1444" s="10" t="s">
        <v>21</v>
      </c>
      <c r="I1444" s="10" t="s">
        <v>260</v>
      </c>
      <c r="J1444" s="10" t="str">
        <f>""</f>
        <v/>
      </c>
      <c r="K1444" s="10" t="str">
        <f>"PFES1162630786_0001"</f>
        <v>PFES1162630786_0001</v>
      </c>
      <c r="L1444" s="10">
        <v>1</v>
      </c>
      <c r="M1444" s="10">
        <v>1</v>
      </c>
    </row>
    <row r="1445" spans="1:13">
      <c r="A1445" s="8">
        <v>43271</v>
      </c>
      <c r="B1445" s="9">
        <v>0.6875</v>
      </c>
      <c r="C1445" s="10" t="str">
        <f>"FES1162630315"</f>
        <v>FES1162630315</v>
      </c>
      <c r="D1445" s="10" t="s">
        <v>19</v>
      </c>
      <c r="E1445" s="10" t="s">
        <v>99</v>
      </c>
      <c r="F1445" s="10" t="str">
        <f>"2170637169 "</f>
        <v xml:space="preserve">2170637169 </v>
      </c>
      <c r="G1445" s="10" t="str">
        <f t="shared" si="42"/>
        <v>ON1</v>
      </c>
      <c r="H1445" s="10" t="s">
        <v>21</v>
      </c>
      <c r="I1445" s="10" t="s">
        <v>100</v>
      </c>
      <c r="J1445" s="10" t="str">
        <f>""</f>
        <v/>
      </c>
      <c r="K1445" s="10" t="str">
        <f>"PFES1162630315_0001"</f>
        <v>PFES1162630315_0001</v>
      </c>
      <c r="L1445" s="10">
        <v>1</v>
      </c>
      <c r="M1445" s="10">
        <v>4</v>
      </c>
    </row>
    <row r="1446" spans="1:13">
      <c r="A1446" s="8">
        <v>43271</v>
      </c>
      <c r="B1446" s="9">
        <v>0.6875</v>
      </c>
      <c r="C1446" s="10" t="str">
        <f>"FES1162630779"</f>
        <v>FES1162630779</v>
      </c>
      <c r="D1446" s="10" t="s">
        <v>19</v>
      </c>
      <c r="E1446" s="10" t="s">
        <v>727</v>
      </c>
      <c r="F1446" s="10" t="str">
        <f>"2170637721 "</f>
        <v xml:space="preserve">2170637721 </v>
      </c>
      <c r="G1446" s="10" t="str">
        <f t="shared" si="42"/>
        <v>ON1</v>
      </c>
      <c r="H1446" s="10" t="s">
        <v>21</v>
      </c>
      <c r="I1446" s="10" t="s">
        <v>634</v>
      </c>
      <c r="J1446" s="10" t="str">
        <f>""</f>
        <v/>
      </c>
      <c r="K1446" s="10" t="str">
        <f>"PFES1162630779_0001"</f>
        <v>PFES1162630779_0001</v>
      </c>
      <c r="L1446" s="10">
        <v>1</v>
      </c>
      <c r="M1446" s="10">
        <v>1</v>
      </c>
    </row>
    <row r="1447" spans="1:13">
      <c r="A1447" s="8">
        <v>43271</v>
      </c>
      <c r="B1447" s="9">
        <v>0.6875</v>
      </c>
      <c r="C1447" s="10" t="str">
        <f>"FES1162630746"</f>
        <v>FES1162630746</v>
      </c>
      <c r="D1447" s="10" t="s">
        <v>19</v>
      </c>
      <c r="E1447" s="10" t="s">
        <v>613</v>
      </c>
      <c r="F1447" s="10" t="str">
        <f>"2170637661 "</f>
        <v xml:space="preserve">2170637661 </v>
      </c>
      <c r="G1447" s="10" t="str">
        <f t="shared" si="42"/>
        <v>ON1</v>
      </c>
      <c r="H1447" s="10" t="s">
        <v>21</v>
      </c>
      <c r="I1447" s="10" t="s">
        <v>614</v>
      </c>
      <c r="J1447" s="10" t="str">
        <f>""</f>
        <v/>
      </c>
      <c r="K1447" s="10" t="str">
        <f>"PFES1162630746_0001"</f>
        <v>PFES1162630746_0001</v>
      </c>
      <c r="L1447" s="10">
        <v>1</v>
      </c>
      <c r="M1447" s="10">
        <v>1</v>
      </c>
    </row>
    <row r="1448" spans="1:13">
      <c r="A1448" s="8">
        <v>43271</v>
      </c>
      <c r="B1448" s="9">
        <v>0.68680555555555556</v>
      </c>
      <c r="C1448" s="10" t="str">
        <f>"FES1162630781"</f>
        <v>FES1162630781</v>
      </c>
      <c r="D1448" s="10" t="s">
        <v>19</v>
      </c>
      <c r="E1448" s="10" t="s">
        <v>822</v>
      </c>
      <c r="F1448" s="10" t="str">
        <f>"2170637724 "</f>
        <v xml:space="preserve">2170637724 </v>
      </c>
      <c r="G1448" s="10" t="str">
        <f t="shared" si="42"/>
        <v>ON1</v>
      </c>
      <c r="H1448" s="10" t="s">
        <v>21</v>
      </c>
      <c r="I1448" s="10" t="s">
        <v>823</v>
      </c>
      <c r="J1448" s="10" t="str">
        <f>""</f>
        <v/>
      </c>
      <c r="K1448" s="10" t="str">
        <f>"PFES1162630781_0001"</f>
        <v>PFES1162630781_0001</v>
      </c>
      <c r="L1448" s="10">
        <v>1</v>
      </c>
      <c r="M1448" s="10">
        <v>1</v>
      </c>
    </row>
    <row r="1449" spans="1:13">
      <c r="A1449" s="8">
        <v>43271</v>
      </c>
      <c r="B1449" s="9">
        <v>0.68680555555555556</v>
      </c>
      <c r="C1449" s="10" t="str">
        <f>"FES1162630762"</f>
        <v>FES1162630762</v>
      </c>
      <c r="D1449" s="10" t="s">
        <v>19</v>
      </c>
      <c r="E1449" s="10" t="s">
        <v>316</v>
      </c>
      <c r="F1449" s="10" t="str">
        <f>"2170637699 "</f>
        <v xml:space="preserve">2170637699 </v>
      </c>
      <c r="G1449" s="10" t="str">
        <f t="shared" si="42"/>
        <v>ON1</v>
      </c>
      <c r="H1449" s="10" t="s">
        <v>21</v>
      </c>
      <c r="I1449" s="10" t="s">
        <v>317</v>
      </c>
      <c r="J1449" s="10" t="str">
        <f>""</f>
        <v/>
      </c>
      <c r="K1449" s="10" t="str">
        <f>"PFES1162630762_0001"</f>
        <v>PFES1162630762_0001</v>
      </c>
      <c r="L1449" s="10">
        <v>1</v>
      </c>
      <c r="M1449" s="10">
        <v>5</v>
      </c>
    </row>
    <row r="1450" spans="1:13">
      <c r="A1450" s="8">
        <v>43271</v>
      </c>
      <c r="B1450" s="9">
        <v>0.68680555555555556</v>
      </c>
      <c r="C1450" s="10" t="str">
        <f>"FES1162630769"</f>
        <v>FES1162630769</v>
      </c>
      <c r="D1450" s="10" t="s">
        <v>19</v>
      </c>
      <c r="E1450" s="10" t="s">
        <v>824</v>
      </c>
      <c r="F1450" s="10" t="str">
        <f>"2170637714 "</f>
        <v xml:space="preserve">2170637714 </v>
      </c>
      <c r="G1450" s="10" t="str">
        <f t="shared" si="42"/>
        <v>ON1</v>
      </c>
      <c r="H1450" s="10" t="s">
        <v>21</v>
      </c>
      <c r="I1450" s="10" t="s">
        <v>825</v>
      </c>
      <c r="J1450" s="10" t="str">
        <f>""</f>
        <v/>
      </c>
      <c r="K1450" s="10" t="str">
        <f>"PFES1162630769_0001"</f>
        <v>PFES1162630769_0001</v>
      </c>
      <c r="L1450" s="10">
        <v>1</v>
      </c>
      <c r="M1450" s="10">
        <v>1</v>
      </c>
    </row>
    <row r="1451" spans="1:13">
      <c r="A1451" s="8">
        <v>43271</v>
      </c>
      <c r="B1451" s="9">
        <v>0.68611111111111101</v>
      </c>
      <c r="C1451" s="10" t="str">
        <f>"FES1162630804"</f>
        <v>FES1162630804</v>
      </c>
      <c r="D1451" s="10" t="s">
        <v>19</v>
      </c>
      <c r="E1451" s="10" t="s">
        <v>126</v>
      </c>
      <c r="F1451" s="10" t="str">
        <f>"2170637759 "</f>
        <v xml:space="preserve">2170637759 </v>
      </c>
      <c r="G1451" s="10" t="str">
        <f t="shared" si="42"/>
        <v>ON1</v>
      </c>
      <c r="H1451" s="10" t="s">
        <v>21</v>
      </c>
      <c r="I1451" s="10" t="s">
        <v>100</v>
      </c>
      <c r="J1451" s="10" t="str">
        <f>""</f>
        <v/>
      </c>
      <c r="K1451" s="10" t="str">
        <f>"PFES1162630804_0001"</f>
        <v>PFES1162630804_0001</v>
      </c>
      <c r="L1451" s="10">
        <v>1</v>
      </c>
      <c r="M1451" s="10">
        <v>1</v>
      </c>
    </row>
    <row r="1452" spans="1:13">
      <c r="A1452" s="8">
        <v>43271</v>
      </c>
      <c r="B1452" s="9">
        <v>0.68611111111111101</v>
      </c>
      <c r="C1452" s="10" t="str">
        <f>"FES1162630783"</f>
        <v>FES1162630783</v>
      </c>
      <c r="D1452" s="10" t="s">
        <v>19</v>
      </c>
      <c r="E1452" s="10" t="s">
        <v>33</v>
      </c>
      <c r="F1452" s="10" t="str">
        <f>"2170637726 "</f>
        <v xml:space="preserve">2170637726 </v>
      </c>
      <c r="G1452" s="10" t="str">
        <f t="shared" si="42"/>
        <v>ON1</v>
      </c>
      <c r="H1452" s="10" t="s">
        <v>21</v>
      </c>
      <c r="I1452" s="10" t="s">
        <v>34</v>
      </c>
      <c r="J1452" s="10" t="str">
        <f>""</f>
        <v/>
      </c>
      <c r="K1452" s="10" t="str">
        <f>"PFES1162630783_0001"</f>
        <v>PFES1162630783_0001</v>
      </c>
      <c r="L1452" s="10">
        <v>1</v>
      </c>
      <c r="M1452" s="10">
        <v>4</v>
      </c>
    </row>
    <row r="1453" spans="1:13">
      <c r="A1453" s="8">
        <v>43271</v>
      </c>
      <c r="B1453" s="9">
        <v>0.68611111111111101</v>
      </c>
      <c r="C1453" s="10" t="str">
        <f>"FES1162630784"</f>
        <v>FES1162630784</v>
      </c>
      <c r="D1453" s="10" t="s">
        <v>19</v>
      </c>
      <c r="E1453" s="10" t="s">
        <v>821</v>
      </c>
      <c r="F1453" s="10" t="str">
        <f>"2170637727 "</f>
        <v xml:space="preserve">2170637727 </v>
      </c>
      <c r="G1453" s="10" t="str">
        <f t="shared" si="42"/>
        <v>ON1</v>
      </c>
      <c r="H1453" s="10" t="s">
        <v>21</v>
      </c>
      <c r="I1453" s="10" t="s">
        <v>112</v>
      </c>
      <c r="J1453" s="10" t="str">
        <f>""</f>
        <v/>
      </c>
      <c r="K1453" s="10" t="str">
        <f>"PFES1162630784_0001"</f>
        <v>PFES1162630784_0001</v>
      </c>
      <c r="L1453" s="10">
        <v>1</v>
      </c>
      <c r="M1453" s="10">
        <v>1</v>
      </c>
    </row>
    <row r="1454" spans="1:13">
      <c r="A1454" s="8">
        <v>43271</v>
      </c>
      <c r="B1454" s="9">
        <v>0.68541666666666667</v>
      </c>
      <c r="C1454" s="10" t="str">
        <f>"FES1162630787"</f>
        <v>FES1162630787</v>
      </c>
      <c r="D1454" s="10" t="s">
        <v>19</v>
      </c>
      <c r="E1454" s="10" t="s">
        <v>565</v>
      </c>
      <c r="F1454" s="10" t="str">
        <f>"2170637733 "</f>
        <v xml:space="preserve">2170637733 </v>
      </c>
      <c r="G1454" s="10" t="str">
        <f t="shared" si="42"/>
        <v>ON1</v>
      </c>
      <c r="H1454" s="10" t="s">
        <v>21</v>
      </c>
      <c r="I1454" s="10" t="s">
        <v>26</v>
      </c>
      <c r="J1454" s="10" t="str">
        <f>""</f>
        <v/>
      </c>
      <c r="K1454" s="10" t="str">
        <f>"PFES1162630787_0001"</f>
        <v>PFES1162630787_0001</v>
      </c>
      <c r="L1454" s="10">
        <v>1</v>
      </c>
      <c r="M1454" s="10">
        <v>3</v>
      </c>
    </row>
    <row r="1455" spans="1:13">
      <c r="A1455" s="8">
        <v>43271</v>
      </c>
      <c r="B1455" s="9">
        <v>0.68333333333333324</v>
      </c>
      <c r="C1455" s="10" t="str">
        <f>"FES1162630772"</f>
        <v>FES1162630772</v>
      </c>
      <c r="D1455" s="10" t="s">
        <v>19</v>
      </c>
      <c r="E1455" s="10" t="s">
        <v>123</v>
      </c>
      <c r="F1455" s="10" t="str">
        <f>"2170628061 "</f>
        <v xml:space="preserve">2170628061 </v>
      </c>
      <c r="G1455" s="10" t="str">
        <f t="shared" si="42"/>
        <v>ON1</v>
      </c>
      <c r="H1455" s="10" t="s">
        <v>21</v>
      </c>
      <c r="I1455" s="10" t="s">
        <v>51</v>
      </c>
      <c r="J1455" s="10" t="str">
        <f>""</f>
        <v/>
      </c>
      <c r="K1455" s="10" t="str">
        <f>"PFES1162630772_0001"</f>
        <v>PFES1162630772_0001</v>
      </c>
      <c r="L1455" s="10">
        <v>1</v>
      </c>
      <c r="M1455" s="10">
        <v>1</v>
      </c>
    </row>
    <row r="1456" spans="1:13">
      <c r="A1456" s="8">
        <v>43271</v>
      </c>
      <c r="B1456" s="9">
        <v>0.68333333333333324</v>
      </c>
      <c r="C1456" s="10" t="str">
        <f>"FES1162630637"</f>
        <v>FES1162630637</v>
      </c>
      <c r="D1456" s="10" t="s">
        <v>19</v>
      </c>
      <c r="E1456" s="10" t="s">
        <v>263</v>
      </c>
      <c r="F1456" s="10" t="str">
        <f>"2170637076 "</f>
        <v xml:space="preserve">2170637076 </v>
      </c>
      <c r="G1456" s="10" t="str">
        <f t="shared" si="42"/>
        <v>ON1</v>
      </c>
      <c r="H1456" s="10" t="s">
        <v>21</v>
      </c>
      <c r="I1456" s="10" t="s">
        <v>230</v>
      </c>
      <c r="J1456" s="10" t="str">
        <f>""</f>
        <v/>
      </c>
      <c r="K1456" s="10" t="str">
        <f>"PFES1162630637_0001"</f>
        <v>PFES1162630637_0001</v>
      </c>
      <c r="L1456" s="10">
        <v>1</v>
      </c>
      <c r="M1456" s="10">
        <v>3</v>
      </c>
    </row>
    <row r="1457" spans="1:13">
      <c r="A1457" s="8">
        <v>43271</v>
      </c>
      <c r="B1457" s="9">
        <v>0.68194444444444446</v>
      </c>
      <c r="C1457" s="10" t="str">
        <f>"FES1162630768"</f>
        <v>FES1162630768</v>
      </c>
      <c r="D1457" s="10" t="s">
        <v>19</v>
      </c>
      <c r="E1457" s="10" t="s">
        <v>826</v>
      </c>
      <c r="F1457" s="10" t="str">
        <f>"2170637711 "</f>
        <v xml:space="preserve">2170637711 </v>
      </c>
      <c r="G1457" s="10" t="str">
        <f t="shared" si="42"/>
        <v>ON1</v>
      </c>
      <c r="H1457" s="10" t="s">
        <v>21</v>
      </c>
      <c r="I1457" s="10" t="s">
        <v>827</v>
      </c>
      <c r="J1457" s="10" t="str">
        <f>""</f>
        <v/>
      </c>
      <c r="K1457" s="10" t="str">
        <f>"PFES1162630768_0001"</f>
        <v>PFES1162630768_0001</v>
      </c>
      <c r="L1457" s="10">
        <v>1</v>
      </c>
      <c r="M1457" s="10">
        <v>2</v>
      </c>
    </row>
    <row r="1458" spans="1:13">
      <c r="A1458" s="8">
        <v>43271</v>
      </c>
      <c r="B1458" s="9">
        <v>0.68055555555555547</v>
      </c>
      <c r="C1458" s="10" t="str">
        <f>"FES1162630789"</f>
        <v>FES1162630789</v>
      </c>
      <c r="D1458" s="10" t="s">
        <v>19</v>
      </c>
      <c r="E1458" s="10" t="s">
        <v>117</v>
      </c>
      <c r="F1458" s="10" t="str">
        <f>"2170630789 "</f>
        <v xml:space="preserve">2170630789 </v>
      </c>
      <c r="G1458" s="10" t="str">
        <f t="shared" si="42"/>
        <v>ON1</v>
      </c>
      <c r="H1458" s="10" t="s">
        <v>21</v>
      </c>
      <c r="I1458" s="10" t="s">
        <v>118</v>
      </c>
      <c r="J1458" s="10" t="str">
        <f>""</f>
        <v/>
      </c>
      <c r="K1458" s="10" t="str">
        <f>"PFES1162630789_0001"</f>
        <v>PFES1162630789_0001</v>
      </c>
      <c r="L1458" s="10">
        <v>1</v>
      </c>
      <c r="M1458" s="10">
        <v>1</v>
      </c>
    </row>
    <row r="1459" spans="1:13">
      <c r="A1459" s="8">
        <v>43271</v>
      </c>
      <c r="B1459" s="9">
        <v>0.67986111111111114</v>
      </c>
      <c r="C1459" s="10" t="str">
        <f>"FES1162630798"</f>
        <v>FES1162630798</v>
      </c>
      <c r="D1459" s="10" t="s">
        <v>19</v>
      </c>
      <c r="E1459" s="10" t="s">
        <v>828</v>
      </c>
      <c r="F1459" s="10" t="str">
        <f>"2170637748 "</f>
        <v xml:space="preserve">2170637748 </v>
      </c>
      <c r="G1459" s="10" t="str">
        <f t="shared" si="42"/>
        <v>ON1</v>
      </c>
      <c r="H1459" s="10" t="s">
        <v>21</v>
      </c>
      <c r="I1459" s="10" t="s">
        <v>260</v>
      </c>
      <c r="J1459" s="10" t="str">
        <f>""</f>
        <v/>
      </c>
      <c r="K1459" s="10" t="str">
        <f>"PFES1162630798_0001"</f>
        <v>PFES1162630798_0001</v>
      </c>
      <c r="L1459" s="10">
        <v>1</v>
      </c>
      <c r="M1459" s="10">
        <v>5</v>
      </c>
    </row>
    <row r="1460" spans="1:13">
      <c r="A1460" s="8">
        <v>43271</v>
      </c>
      <c r="B1460" s="9">
        <v>0.66249999999999998</v>
      </c>
      <c r="C1460" s="10" t="str">
        <f>"FES1162630694"</f>
        <v>FES1162630694</v>
      </c>
      <c r="D1460" s="10" t="s">
        <v>19</v>
      </c>
      <c r="E1460" s="10" t="s">
        <v>193</v>
      </c>
      <c r="F1460" s="10" t="str">
        <f>"2170629386 "</f>
        <v xml:space="preserve">2170629386 </v>
      </c>
      <c r="G1460" s="10" t="str">
        <f t="shared" si="42"/>
        <v>ON1</v>
      </c>
      <c r="H1460" s="10" t="s">
        <v>21</v>
      </c>
      <c r="I1460" s="10" t="s">
        <v>30</v>
      </c>
      <c r="J1460" s="10" t="str">
        <f>""</f>
        <v/>
      </c>
      <c r="K1460" s="10" t="str">
        <f>"PFES1162630694_0001"</f>
        <v>PFES1162630694_0001</v>
      </c>
      <c r="L1460" s="10">
        <v>1</v>
      </c>
      <c r="M1460" s="10">
        <v>10</v>
      </c>
    </row>
    <row r="1461" spans="1:13">
      <c r="A1461" s="8">
        <v>43271</v>
      </c>
      <c r="B1461" s="9">
        <v>0.66180555555555554</v>
      </c>
      <c r="C1461" s="10" t="str">
        <f>"FES1162630722"</f>
        <v>FES1162630722</v>
      </c>
      <c r="D1461" s="10" t="s">
        <v>19</v>
      </c>
      <c r="E1461" s="10" t="s">
        <v>169</v>
      </c>
      <c r="F1461" s="10" t="str">
        <f>"2170637290 "</f>
        <v xml:space="preserve">2170637290 </v>
      </c>
      <c r="G1461" s="10" t="str">
        <f t="shared" si="42"/>
        <v>ON1</v>
      </c>
      <c r="H1461" s="10" t="s">
        <v>21</v>
      </c>
      <c r="I1461" s="10" t="s">
        <v>170</v>
      </c>
      <c r="J1461" s="10" t="str">
        <f>""</f>
        <v/>
      </c>
      <c r="K1461" s="10" t="str">
        <f>"PFES1162630722_0001"</f>
        <v>PFES1162630722_0001</v>
      </c>
      <c r="L1461" s="10">
        <v>1</v>
      </c>
      <c r="M1461" s="10">
        <v>2</v>
      </c>
    </row>
    <row r="1462" spans="1:13">
      <c r="A1462" s="8">
        <v>43271</v>
      </c>
      <c r="B1462" s="9">
        <v>0.66111111111111109</v>
      </c>
      <c r="C1462" s="10" t="str">
        <f>"FES1162630720"</f>
        <v>FES1162630720</v>
      </c>
      <c r="D1462" s="10" t="s">
        <v>19</v>
      </c>
      <c r="E1462" s="10" t="s">
        <v>390</v>
      </c>
      <c r="F1462" s="10" t="str">
        <f>"2170635115 "</f>
        <v xml:space="preserve">2170635115 </v>
      </c>
      <c r="G1462" s="10" t="str">
        <f t="shared" si="42"/>
        <v>ON1</v>
      </c>
      <c r="H1462" s="10" t="s">
        <v>21</v>
      </c>
      <c r="I1462" s="10" t="s">
        <v>391</v>
      </c>
      <c r="J1462" s="10" t="str">
        <f>""</f>
        <v/>
      </c>
      <c r="K1462" s="10" t="str">
        <f>"PFES1162630720_0001"</f>
        <v>PFES1162630720_0001</v>
      </c>
      <c r="L1462" s="10">
        <v>1</v>
      </c>
      <c r="M1462" s="10">
        <v>3</v>
      </c>
    </row>
    <row r="1463" spans="1:13">
      <c r="A1463" s="8">
        <v>43271</v>
      </c>
      <c r="B1463" s="9">
        <v>0.62708333333333333</v>
      </c>
      <c r="C1463" s="10" t="str">
        <f>"FES1162630668"</f>
        <v>FES1162630668</v>
      </c>
      <c r="D1463" s="10" t="s">
        <v>19</v>
      </c>
      <c r="E1463" s="10" t="s">
        <v>310</v>
      </c>
      <c r="F1463" s="10" t="str">
        <f>"2170637612 "</f>
        <v xml:space="preserve">2170637612 </v>
      </c>
      <c r="G1463" s="10" t="str">
        <f t="shared" si="42"/>
        <v>ON1</v>
      </c>
      <c r="H1463" s="10" t="s">
        <v>21</v>
      </c>
      <c r="I1463" s="10" t="s">
        <v>255</v>
      </c>
      <c r="J1463" s="10" t="str">
        <f>""</f>
        <v/>
      </c>
      <c r="K1463" s="10" t="str">
        <f>"PFES1162630668_0001"</f>
        <v>PFES1162630668_0001</v>
      </c>
      <c r="L1463" s="10">
        <v>1</v>
      </c>
      <c r="M1463" s="10">
        <v>7</v>
      </c>
    </row>
    <row r="1464" spans="1:13">
      <c r="A1464" s="8">
        <v>43271</v>
      </c>
      <c r="B1464" s="9">
        <v>0.62638888888888888</v>
      </c>
      <c r="C1464" s="10" t="str">
        <f>"FES1162630727"</f>
        <v>FES1162630727</v>
      </c>
      <c r="D1464" s="10" t="s">
        <v>19</v>
      </c>
      <c r="E1464" s="10" t="s">
        <v>163</v>
      </c>
      <c r="F1464" s="10" t="str">
        <f>"2170637654 "</f>
        <v xml:space="preserve">2170637654 </v>
      </c>
      <c r="G1464" s="10" t="str">
        <f t="shared" si="42"/>
        <v>ON1</v>
      </c>
      <c r="H1464" s="10" t="s">
        <v>21</v>
      </c>
      <c r="I1464" s="10" t="s">
        <v>51</v>
      </c>
      <c r="J1464" s="10" t="str">
        <f>""</f>
        <v/>
      </c>
      <c r="K1464" s="10" t="str">
        <f>"PFES1162630727_0001"</f>
        <v>PFES1162630727_0001</v>
      </c>
      <c r="L1464" s="10">
        <v>1</v>
      </c>
      <c r="M1464" s="10">
        <v>6</v>
      </c>
    </row>
    <row r="1465" spans="1:13">
      <c r="A1465" s="8">
        <v>43271</v>
      </c>
      <c r="B1465" s="9">
        <v>0.625</v>
      </c>
      <c r="C1465" s="10" t="str">
        <f>"FES1162630736"</f>
        <v>FES1162630736</v>
      </c>
      <c r="D1465" s="10" t="s">
        <v>19</v>
      </c>
      <c r="E1465" s="10" t="s">
        <v>235</v>
      </c>
      <c r="F1465" s="10" t="str">
        <f>"2170637669 "</f>
        <v xml:space="preserve">2170637669 </v>
      </c>
      <c r="G1465" s="10" t="str">
        <f t="shared" si="42"/>
        <v>ON1</v>
      </c>
      <c r="H1465" s="10" t="s">
        <v>21</v>
      </c>
      <c r="I1465" s="10" t="s">
        <v>26</v>
      </c>
      <c r="J1465" s="10" t="str">
        <f>""</f>
        <v/>
      </c>
      <c r="K1465" s="10" t="str">
        <f>"PFES1162630736_0001"</f>
        <v>PFES1162630736_0001</v>
      </c>
      <c r="L1465" s="10">
        <v>1</v>
      </c>
      <c r="M1465" s="10">
        <v>4</v>
      </c>
    </row>
    <row r="1466" spans="1:13">
      <c r="A1466" s="8">
        <v>43271</v>
      </c>
      <c r="B1466" s="9">
        <v>0.62361111111111112</v>
      </c>
      <c r="C1466" s="10" t="str">
        <f>"FES1162630671"</f>
        <v>FES1162630671</v>
      </c>
      <c r="D1466" s="10" t="s">
        <v>19</v>
      </c>
      <c r="E1466" s="10" t="s">
        <v>829</v>
      </c>
      <c r="F1466" s="10" t="str">
        <f>"2170637439 "</f>
        <v xml:space="preserve">2170637439 </v>
      </c>
      <c r="G1466" s="10" t="str">
        <f t="shared" si="42"/>
        <v>ON1</v>
      </c>
      <c r="H1466" s="10" t="s">
        <v>21</v>
      </c>
      <c r="I1466" s="10" t="s">
        <v>305</v>
      </c>
      <c r="J1466" s="10" t="str">
        <f>""</f>
        <v/>
      </c>
      <c r="K1466" s="10" t="str">
        <f>"PFES1162630671_0001"</f>
        <v>PFES1162630671_0001</v>
      </c>
      <c r="L1466" s="10">
        <v>1</v>
      </c>
      <c r="M1466" s="10">
        <v>9</v>
      </c>
    </row>
    <row r="1467" spans="1:13">
      <c r="A1467" s="8">
        <v>43271</v>
      </c>
      <c r="B1467" s="9">
        <v>0.62222222222222223</v>
      </c>
      <c r="C1467" s="10" t="str">
        <f>"FES1162630764"</f>
        <v>FES1162630764</v>
      </c>
      <c r="D1467" s="10" t="s">
        <v>19</v>
      </c>
      <c r="E1467" s="10" t="s">
        <v>518</v>
      </c>
      <c r="F1467" s="10" t="str">
        <f>"2170637701 "</f>
        <v xml:space="preserve">2170637701 </v>
      </c>
      <c r="G1467" s="10" t="str">
        <f t="shared" si="42"/>
        <v>ON1</v>
      </c>
      <c r="H1467" s="10" t="s">
        <v>21</v>
      </c>
      <c r="I1467" s="10" t="s">
        <v>519</v>
      </c>
      <c r="J1467" s="10" t="str">
        <f>""</f>
        <v/>
      </c>
      <c r="K1467" s="10" t="str">
        <f>"PFES1162630764_0001"</f>
        <v>PFES1162630764_0001</v>
      </c>
      <c r="L1467" s="10">
        <v>1</v>
      </c>
      <c r="M1467" s="10">
        <v>5</v>
      </c>
    </row>
    <row r="1468" spans="1:13">
      <c r="A1468" s="8">
        <v>43271</v>
      </c>
      <c r="B1468" s="9">
        <v>0.62152777777777779</v>
      </c>
      <c r="C1468" s="10" t="str">
        <f>"FES1162630792"</f>
        <v>FES1162630792</v>
      </c>
      <c r="D1468" s="10" t="s">
        <v>19</v>
      </c>
      <c r="E1468" s="10" t="s">
        <v>234</v>
      </c>
      <c r="F1468" s="10" t="str">
        <f>"2170637740 "</f>
        <v xml:space="preserve">2170637740 </v>
      </c>
      <c r="G1468" s="10" t="str">
        <f t="shared" si="42"/>
        <v>ON1</v>
      </c>
      <c r="H1468" s="10" t="s">
        <v>21</v>
      </c>
      <c r="I1468" s="10" t="s">
        <v>104</v>
      </c>
      <c r="J1468" s="10" t="str">
        <f>""</f>
        <v/>
      </c>
      <c r="K1468" s="10" t="str">
        <f>"PFES1162630792_0001"</f>
        <v>PFES1162630792_0001</v>
      </c>
      <c r="L1468" s="10">
        <v>1</v>
      </c>
      <c r="M1468" s="10">
        <v>1</v>
      </c>
    </row>
    <row r="1469" spans="1:13">
      <c r="A1469" s="8">
        <v>43271</v>
      </c>
      <c r="B1469" s="9">
        <v>0.62152777777777779</v>
      </c>
      <c r="C1469" s="10" t="str">
        <f>"FES1162630662"</f>
        <v>FES1162630662</v>
      </c>
      <c r="D1469" s="10" t="s">
        <v>19</v>
      </c>
      <c r="E1469" s="10" t="s">
        <v>830</v>
      </c>
      <c r="F1469" s="10" t="str">
        <f>"2170637603 "</f>
        <v xml:space="preserve">2170637603 </v>
      </c>
      <c r="G1469" s="10" t="str">
        <f t="shared" si="42"/>
        <v>ON1</v>
      </c>
      <c r="H1469" s="10" t="s">
        <v>21</v>
      </c>
      <c r="I1469" s="10" t="s">
        <v>26</v>
      </c>
      <c r="J1469" s="10" t="str">
        <f>""</f>
        <v/>
      </c>
      <c r="K1469" s="10" t="str">
        <f>"PFES1162630662_0001"</f>
        <v>PFES1162630662_0001</v>
      </c>
      <c r="L1469" s="10">
        <v>1</v>
      </c>
      <c r="M1469" s="10">
        <v>1</v>
      </c>
    </row>
    <row r="1470" spans="1:13">
      <c r="A1470" s="8">
        <v>43271</v>
      </c>
      <c r="B1470" s="9">
        <v>0.60972222222222217</v>
      </c>
      <c r="C1470" s="10" t="str">
        <f>"FES1162630697"</f>
        <v>FES1162630697</v>
      </c>
      <c r="D1470" s="10" t="s">
        <v>19</v>
      </c>
      <c r="E1470" s="10" t="s">
        <v>831</v>
      </c>
      <c r="F1470" s="10" t="str">
        <f>"2170632639 "</f>
        <v xml:space="preserve">2170632639 </v>
      </c>
      <c r="G1470" s="10" t="str">
        <f t="shared" si="42"/>
        <v>ON1</v>
      </c>
      <c r="H1470" s="10" t="s">
        <v>21</v>
      </c>
      <c r="I1470" s="10" t="s">
        <v>810</v>
      </c>
      <c r="J1470" s="10" t="str">
        <f>""</f>
        <v/>
      </c>
      <c r="K1470" s="10" t="str">
        <f>"PFES1162630697_0001"</f>
        <v>PFES1162630697_0001</v>
      </c>
      <c r="L1470" s="10">
        <v>1</v>
      </c>
      <c r="M1470" s="10">
        <v>3</v>
      </c>
    </row>
    <row r="1471" spans="1:13">
      <c r="A1471" s="8">
        <v>43271</v>
      </c>
      <c r="B1471" s="9">
        <v>0.60486111111111118</v>
      </c>
      <c r="C1471" s="10" t="str">
        <f>"009935791767"</f>
        <v>009935791767</v>
      </c>
      <c r="D1471" s="10" t="s">
        <v>19</v>
      </c>
      <c r="E1471" s="10" t="s">
        <v>832</v>
      </c>
      <c r="F1471" s="10" t="str">
        <f>"1162627290 "</f>
        <v xml:space="preserve">1162627290 </v>
      </c>
      <c r="G1471" s="10" t="str">
        <f t="shared" si="42"/>
        <v>ON1</v>
      </c>
      <c r="H1471" s="10" t="s">
        <v>21</v>
      </c>
      <c r="I1471" s="10" t="s">
        <v>594</v>
      </c>
      <c r="J1471" s="10" t="str">
        <f>"RESEND AS PER ROBBY"</f>
        <v>RESEND AS PER ROBBY</v>
      </c>
      <c r="K1471" s="10" t="str">
        <f>"P009935791767_0001"</f>
        <v>P009935791767_0001</v>
      </c>
      <c r="L1471" s="10">
        <v>1</v>
      </c>
      <c r="M1471" s="10">
        <v>1</v>
      </c>
    </row>
    <row r="1472" spans="1:13">
      <c r="A1472" s="8">
        <v>43271</v>
      </c>
      <c r="B1472" s="9">
        <v>0.60416666666666663</v>
      </c>
      <c r="C1472" s="10" t="str">
        <f>"FES1162630770"</f>
        <v>FES1162630770</v>
      </c>
      <c r="D1472" s="10" t="s">
        <v>19</v>
      </c>
      <c r="E1472" s="10" t="s">
        <v>833</v>
      </c>
      <c r="F1472" s="10" t="str">
        <f>"2170637716 "</f>
        <v xml:space="preserve">2170637716 </v>
      </c>
      <c r="G1472" s="10" t="str">
        <f t="shared" si="42"/>
        <v>ON1</v>
      </c>
      <c r="H1472" s="10" t="s">
        <v>21</v>
      </c>
      <c r="I1472" s="10" t="s">
        <v>336</v>
      </c>
      <c r="J1472" s="10" t="str">
        <f>""</f>
        <v/>
      </c>
      <c r="K1472" s="10" t="str">
        <f>"PFES1162630770_0001"</f>
        <v>PFES1162630770_0001</v>
      </c>
      <c r="L1472" s="10">
        <v>1</v>
      </c>
      <c r="M1472" s="10">
        <v>1</v>
      </c>
    </row>
    <row r="1473" spans="1:13">
      <c r="A1473" s="8">
        <v>43271</v>
      </c>
      <c r="B1473" s="9">
        <v>0.6</v>
      </c>
      <c r="C1473" s="10" t="str">
        <f>"FES1162630680"</f>
        <v>FES1162630680</v>
      </c>
      <c r="D1473" s="10" t="s">
        <v>19</v>
      </c>
      <c r="E1473" s="10" t="s">
        <v>33</v>
      </c>
      <c r="F1473" s="10" t="str">
        <f>"2170637625 "</f>
        <v xml:space="preserve">2170637625 </v>
      </c>
      <c r="G1473" s="10" t="str">
        <f t="shared" si="42"/>
        <v>ON1</v>
      </c>
      <c r="H1473" s="10" t="s">
        <v>21</v>
      </c>
      <c r="I1473" s="10" t="s">
        <v>34</v>
      </c>
      <c r="J1473" s="10" t="str">
        <f>""</f>
        <v/>
      </c>
      <c r="K1473" s="10" t="str">
        <f>"PFES1162630680_0001"</f>
        <v>PFES1162630680_0001</v>
      </c>
      <c r="L1473" s="10">
        <v>1</v>
      </c>
      <c r="M1473" s="10">
        <v>18</v>
      </c>
    </row>
    <row r="1474" spans="1:13">
      <c r="A1474" s="8">
        <v>43271</v>
      </c>
      <c r="B1474" s="9">
        <v>0.59861111111111109</v>
      </c>
      <c r="C1474" s="10" t="str">
        <f>"FES1162630706"</f>
        <v>FES1162630706</v>
      </c>
      <c r="D1474" s="10" t="s">
        <v>19</v>
      </c>
      <c r="E1474" s="10" t="s">
        <v>834</v>
      </c>
      <c r="F1474" s="10" t="str">
        <f>"2170637631 "</f>
        <v xml:space="preserve">2170637631 </v>
      </c>
      <c r="G1474" s="10" t="str">
        <f t="shared" si="42"/>
        <v>ON1</v>
      </c>
      <c r="H1474" s="10" t="s">
        <v>21</v>
      </c>
      <c r="I1474" s="10" t="s">
        <v>835</v>
      </c>
      <c r="J1474" s="10" t="str">
        <f>""</f>
        <v/>
      </c>
      <c r="K1474" s="10" t="str">
        <f>"PFES1162630706_0001"</f>
        <v>PFES1162630706_0001</v>
      </c>
      <c r="L1474" s="10">
        <v>1</v>
      </c>
      <c r="M1474" s="10">
        <v>5</v>
      </c>
    </row>
    <row r="1475" spans="1:13">
      <c r="A1475" s="8">
        <v>43271</v>
      </c>
      <c r="B1475" s="9">
        <v>0.59861111111111109</v>
      </c>
      <c r="C1475" s="10" t="str">
        <f>"FES1162630738"</f>
        <v>FES1162630738</v>
      </c>
      <c r="D1475" s="10" t="s">
        <v>19</v>
      </c>
      <c r="E1475" s="10" t="s">
        <v>150</v>
      </c>
      <c r="F1475" s="10" t="str">
        <f>"2170637673 "</f>
        <v xml:space="preserve">2170637673 </v>
      </c>
      <c r="G1475" s="10" t="str">
        <f t="shared" si="42"/>
        <v>ON1</v>
      </c>
      <c r="H1475" s="10" t="s">
        <v>21</v>
      </c>
      <c r="I1475" s="10" t="s">
        <v>151</v>
      </c>
      <c r="J1475" s="10" t="str">
        <f>""</f>
        <v/>
      </c>
      <c r="K1475" s="10" t="str">
        <f>"PFES1162630738_0001"</f>
        <v>PFES1162630738_0001</v>
      </c>
      <c r="L1475" s="10">
        <v>1</v>
      </c>
      <c r="M1475" s="10">
        <v>1</v>
      </c>
    </row>
    <row r="1476" spans="1:13">
      <c r="A1476" s="8">
        <v>43271</v>
      </c>
      <c r="B1476" s="9">
        <v>0.59791666666666665</v>
      </c>
      <c r="C1476" s="10" t="str">
        <f>"FES1162630653"</f>
        <v>FES1162630653</v>
      </c>
      <c r="D1476" s="10" t="s">
        <v>19</v>
      </c>
      <c r="E1476" s="10" t="s">
        <v>33</v>
      </c>
      <c r="F1476" s="10" t="str">
        <f>"2170637586 "</f>
        <v xml:space="preserve">2170637586 </v>
      </c>
      <c r="G1476" s="10" t="str">
        <f t="shared" si="42"/>
        <v>ON1</v>
      </c>
      <c r="H1476" s="10" t="s">
        <v>21</v>
      </c>
      <c r="I1476" s="10" t="s">
        <v>34</v>
      </c>
      <c r="J1476" s="10" t="str">
        <f>""</f>
        <v/>
      </c>
      <c r="K1476" s="10" t="str">
        <f>"PFES1162630653_0001"</f>
        <v>PFES1162630653_0001</v>
      </c>
      <c r="L1476" s="10">
        <v>1</v>
      </c>
      <c r="M1476" s="10">
        <v>1</v>
      </c>
    </row>
    <row r="1477" spans="1:13">
      <c r="A1477" s="8">
        <v>43271</v>
      </c>
      <c r="B1477" s="9">
        <v>0.59791666666666665</v>
      </c>
      <c r="C1477" s="10" t="str">
        <f>"FES1162630719"</f>
        <v>FES1162630719</v>
      </c>
      <c r="D1477" s="10" t="s">
        <v>19</v>
      </c>
      <c r="E1477" s="10" t="s">
        <v>836</v>
      </c>
      <c r="F1477" s="10" t="str">
        <f>"2170637651 "</f>
        <v xml:space="preserve">2170637651 </v>
      </c>
      <c r="G1477" s="10" t="str">
        <f t="shared" si="42"/>
        <v>ON1</v>
      </c>
      <c r="H1477" s="10" t="s">
        <v>21</v>
      </c>
      <c r="I1477" s="10" t="s">
        <v>483</v>
      </c>
      <c r="J1477" s="10" t="str">
        <f>""</f>
        <v/>
      </c>
      <c r="K1477" s="10" t="str">
        <f>"PFES1162630719_0001"</f>
        <v>PFES1162630719_0001</v>
      </c>
      <c r="L1477" s="10">
        <v>1</v>
      </c>
      <c r="M1477" s="10">
        <v>3</v>
      </c>
    </row>
    <row r="1478" spans="1:13">
      <c r="A1478" s="8">
        <v>43271</v>
      </c>
      <c r="B1478" s="9">
        <v>0.59791666666666665</v>
      </c>
      <c r="C1478" s="10" t="str">
        <f>"FES1162630658"</f>
        <v>FES1162630658</v>
      </c>
      <c r="D1478" s="10" t="s">
        <v>19</v>
      </c>
      <c r="E1478" s="10" t="s">
        <v>837</v>
      </c>
      <c r="F1478" s="10" t="str">
        <f>"2170637593 "</f>
        <v xml:space="preserve">2170637593 </v>
      </c>
      <c r="G1478" s="10" t="str">
        <f t="shared" si="42"/>
        <v>ON1</v>
      </c>
      <c r="H1478" s="10" t="s">
        <v>21</v>
      </c>
      <c r="I1478" s="10" t="s">
        <v>767</v>
      </c>
      <c r="J1478" s="10" t="str">
        <f>""</f>
        <v/>
      </c>
      <c r="K1478" s="10" t="str">
        <f>"PFES1162630658_0001"</f>
        <v>PFES1162630658_0001</v>
      </c>
      <c r="L1478" s="10">
        <v>1</v>
      </c>
      <c r="M1478" s="10">
        <v>1</v>
      </c>
    </row>
    <row r="1479" spans="1:13">
      <c r="A1479" s="8">
        <v>43271</v>
      </c>
      <c r="B1479" s="9">
        <v>0.59722222222222221</v>
      </c>
      <c r="C1479" s="10" t="str">
        <f>"FES1162630659"</f>
        <v>FES1162630659</v>
      </c>
      <c r="D1479" s="10" t="s">
        <v>19</v>
      </c>
      <c r="E1479" s="10" t="s">
        <v>33</v>
      </c>
      <c r="F1479" s="10" t="str">
        <f>"2170635798 "</f>
        <v xml:space="preserve">2170635798 </v>
      </c>
      <c r="G1479" s="10" t="str">
        <f t="shared" si="42"/>
        <v>ON1</v>
      </c>
      <c r="H1479" s="10" t="s">
        <v>21</v>
      </c>
      <c r="I1479" s="10" t="s">
        <v>34</v>
      </c>
      <c r="J1479" s="10" t="str">
        <f>""</f>
        <v/>
      </c>
      <c r="K1479" s="10" t="str">
        <f>"PFES1162630659_0001"</f>
        <v>PFES1162630659_0001</v>
      </c>
      <c r="L1479" s="10">
        <v>1</v>
      </c>
      <c r="M1479" s="10">
        <v>1</v>
      </c>
    </row>
    <row r="1480" spans="1:13">
      <c r="A1480" s="8">
        <v>43271</v>
      </c>
      <c r="B1480" s="9">
        <v>0.59722222222222221</v>
      </c>
      <c r="C1480" s="10" t="str">
        <f>"FES1162630718"</f>
        <v>FES1162630718</v>
      </c>
      <c r="D1480" s="10" t="s">
        <v>19</v>
      </c>
      <c r="E1480" s="10" t="s">
        <v>270</v>
      </c>
      <c r="F1480" s="10" t="str">
        <f>"2170637648 "</f>
        <v xml:space="preserve">2170637648 </v>
      </c>
      <c r="G1480" s="10" t="str">
        <f t="shared" si="42"/>
        <v>ON1</v>
      </c>
      <c r="H1480" s="10" t="s">
        <v>21</v>
      </c>
      <c r="I1480" s="10" t="s">
        <v>238</v>
      </c>
      <c r="J1480" s="10" t="str">
        <f>""</f>
        <v/>
      </c>
      <c r="K1480" s="10" t="str">
        <f>"PFES1162630718_0001"</f>
        <v>PFES1162630718_0001</v>
      </c>
      <c r="L1480" s="10">
        <v>1</v>
      </c>
      <c r="M1480" s="10">
        <v>1</v>
      </c>
    </row>
    <row r="1481" spans="1:13">
      <c r="A1481" s="8">
        <v>43271</v>
      </c>
      <c r="B1481" s="9">
        <v>0.59722222222222221</v>
      </c>
      <c r="C1481" s="10" t="str">
        <f>"FES1162630674"</f>
        <v>FES1162630674</v>
      </c>
      <c r="D1481" s="10" t="s">
        <v>19</v>
      </c>
      <c r="E1481" s="10" t="s">
        <v>838</v>
      </c>
      <c r="F1481" s="10" t="str">
        <f>"2170637594 "</f>
        <v xml:space="preserve">2170637594 </v>
      </c>
      <c r="G1481" s="10" t="str">
        <f t="shared" si="42"/>
        <v>ON1</v>
      </c>
      <c r="H1481" s="10" t="s">
        <v>21</v>
      </c>
      <c r="I1481" s="10" t="s">
        <v>839</v>
      </c>
      <c r="J1481" s="10" t="str">
        <f>""</f>
        <v/>
      </c>
      <c r="K1481" s="10" t="str">
        <f>"PFES1162630674_0001"</f>
        <v>PFES1162630674_0001</v>
      </c>
      <c r="L1481" s="10">
        <v>1</v>
      </c>
      <c r="M1481" s="10">
        <v>1</v>
      </c>
    </row>
    <row r="1482" spans="1:13">
      <c r="A1482" s="8">
        <v>43271</v>
      </c>
      <c r="B1482" s="9">
        <v>0.59652777777777777</v>
      </c>
      <c r="C1482" s="10" t="str">
        <f>"FES1162630716"</f>
        <v>FES1162630716</v>
      </c>
      <c r="D1482" s="10" t="s">
        <v>19</v>
      </c>
      <c r="E1482" s="10" t="s">
        <v>411</v>
      </c>
      <c r="F1482" s="10" t="str">
        <f>"2170637644 "</f>
        <v xml:space="preserve">2170637644 </v>
      </c>
      <c r="G1482" s="10" t="str">
        <f t="shared" si="42"/>
        <v>ON1</v>
      </c>
      <c r="H1482" s="10" t="s">
        <v>21</v>
      </c>
      <c r="I1482" s="10" t="s">
        <v>28</v>
      </c>
      <c r="J1482" s="10" t="str">
        <f>""</f>
        <v/>
      </c>
      <c r="K1482" s="10" t="str">
        <f>"PFES1162630716_0001"</f>
        <v>PFES1162630716_0001</v>
      </c>
      <c r="L1482" s="10">
        <v>1</v>
      </c>
      <c r="M1482" s="10">
        <v>1</v>
      </c>
    </row>
    <row r="1483" spans="1:13">
      <c r="A1483" s="8">
        <v>43271</v>
      </c>
      <c r="B1483" s="9">
        <v>0.59583333333333333</v>
      </c>
      <c r="C1483" s="10" t="str">
        <f>"FES1162630704"</f>
        <v>FES1162630704</v>
      </c>
      <c r="D1483" s="10" t="s">
        <v>19</v>
      </c>
      <c r="E1483" s="10" t="s">
        <v>700</v>
      </c>
      <c r="F1483" s="10" t="str">
        <f>"2170634645 "</f>
        <v xml:space="preserve">2170634645 </v>
      </c>
      <c r="G1483" s="10" t="str">
        <f t="shared" si="42"/>
        <v>ON1</v>
      </c>
      <c r="H1483" s="10" t="s">
        <v>21</v>
      </c>
      <c r="I1483" s="10" t="s">
        <v>272</v>
      </c>
      <c r="J1483" s="10" t="str">
        <f>"INDUCTION"</f>
        <v>INDUCTION</v>
      </c>
      <c r="K1483" s="10" t="str">
        <f>"PFES1162630704_0001"</f>
        <v>PFES1162630704_0001</v>
      </c>
      <c r="L1483" s="10">
        <v>1</v>
      </c>
      <c r="M1483" s="10">
        <v>3</v>
      </c>
    </row>
    <row r="1484" spans="1:13">
      <c r="A1484" s="8">
        <v>43271</v>
      </c>
      <c r="B1484" s="9">
        <v>0.59513888888888888</v>
      </c>
      <c r="C1484" s="10" t="str">
        <f>"FES1162630755"</f>
        <v>FES1162630755</v>
      </c>
      <c r="D1484" s="10" t="s">
        <v>19</v>
      </c>
      <c r="E1484" s="10" t="s">
        <v>169</v>
      </c>
      <c r="F1484" s="10" t="str">
        <f>"2170637698 "</f>
        <v xml:space="preserve">2170637698 </v>
      </c>
      <c r="G1484" s="10" t="str">
        <f t="shared" si="42"/>
        <v>ON1</v>
      </c>
      <c r="H1484" s="10" t="s">
        <v>21</v>
      </c>
      <c r="I1484" s="10" t="s">
        <v>170</v>
      </c>
      <c r="J1484" s="10" t="str">
        <f>""</f>
        <v/>
      </c>
      <c r="K1484" s="10" t="str">
        <f>"PFES1162630755_0001"</f>
        <v>PFES1162630755_0001</v>
      </c>
      <c r="L1484" s="10">
        <v>1</v>
      </c>
      <c r="M1484" s="10">
        <v>2</v>
      </c>
    </row>
    <row r="1485" spans="1:13">
      <c r="A1485" s="8">
        <v>43271</v>
      </c>
      <c r="B1485" s="9">
        <v>0.59375</v>
      </c>
      <c r="C1485" s="10" t="str">
        <f>"FES1162630747"</f>
        <v>FES1162630747</v>
      </c>
      <c r="D1485" s="10" t="s">
        <v>19</v>
      </c>
      <c r="E1485" s="10" t="s">
        <v>840</v>
      </c>
      <c r="F1485" s="10" t="str">
        <f>"2170637670 "</f>
        <v xml:space="preserve">2170637670 </v>
      </c>
      <c r="G1485" s="10" t="str">
        <f t="shared" si="42"/>
        <v>ON1</v>
      </c>
      <c r="H1485" s="10" t="s">
        <v>21</v>
      </c>
      <c r="I1485" s="10" t="s">
        <v>841</v>
      </c>
      <c r="J1485" s="10" t="str">
        <f>""</f>
        <v/>
      </c>
      <c r="K1485" s="10" t="str">
        <f>"PFES1162630747_0001"</f>
        <v>PFES1162630747_0001</v>
      </c>
      <c r="L1485" s="10">
        <v>1</v>
      </c>
      <c r="M1485" s="10">
        <v>2</v>
      </c>
    </row>
    <row r="1486" spans="1:13">
      <c r="A1486" s="8">
        <v>43271</v>
      </c>
      <c r="B1486" s="9">
        <v>0.59236111111111112</v>
      </c>
      <c r="C1486" s="10" t="str">
        <f>"FES1162630695"</f>
        <v>FES1162630695</v>
      </c>
      <c r="D1486" s="10" t="s">
        <v>19</v>
      </c>
      <c r="E1486" s="10" t="s">
        <v>528</v>
      </c>
      <c r="F1486" s="10" t="str">
        <f>"2170633797 "</f>
        <v xml:space="preserve">2170633797 </v>
      </c>
      <c r="G1486" s="10" t="str">
        <f t="shared" si="42"/>
        <v>ON1</v>
      </c>
      <c r="H1486" s="10" t="s">
        <v>21</v>
      </c>
      <c r="I1486" s="10" t="s">
        <v>529</v>
      </c>
      <c r="J1486" s="10" t="str">
        <f>""</f>
        <v/>
      </c>
      <c r="K1486" s="10" t="str">
        <f>"PFES1162630695_0001"</f>
        <v>PFES1162630695_0001</v>
      </c>
      <c r="L1486" s="10">
        <v>1</v>
      </c>
      <c r="M1486" s="10">
        <v>2</v>
      </c>
    </row>
    <row r="1487" spans="1:13">
      <c r="A1487" s="8">
        <v>43271</v>
      </c>
      <c r="B1487" s="9">
        <v>0.59236111111111112</v>
      </c>
      <c r="C1487" s="10" t="str">
        <f>"FES1162630737"</f>
        <v>FES1162630737</v>
      </c>
      <c r="D1487" s="10" t="s">
        <v>19</v>
      </c>
      <c r="E1487" s="10" t="s">
        <v>550</v>
      </c>
      <c r="F1487" s="10" t="str">
        <f>"2170637671 "</f>
        <v xml:space="preserve">2170637671 </v>
      </c>
      <c r="G1487" s="10" t="str">
        <f t="shared" si="42"/>
        <v>ON1</v>
      </c>
      <c r="H1487" s="10" t="s">
        <v>21</v>
      </c>
      <c r="I1487" s="10" t="s">
        <v>439</v>
      </c>
      <c r="J1487" s="10" t="str">
        <f>""</f>
        <v/>
      </c>
      <c r="K1487" s="10" t="str">
        <f>"PFES1162630737_0001"</f>
        <v>PFES1162630737_0001</v>
      </c>
      <c r="L1487" s="10">
        <v>1</v>
      </c>
      <c r="M1487" s="10">
        <v>1</v>
      </c>
    </row>
    <row r="1488" spans="1:13">
      <c r="A1488" s="8">
        <v>43271</v>
      </c>
      <c r="B1488" s="9">
        <v>0.59166666666666667</v>
      </c>
      <c r="C1488" s="10" t="str">
        <f>"FES1162630758"</f>
        <v>FES1162630758</v>
      </c>
      <c r="D1488" s="10" t="s">
        <v>19</v>
      </c>
      <c r="E1488" s="10" t="s">
        <v>60</v>
      </c>
      <c r="F1488" s="10" t="str">
        <f>"2170637702 "</f>
        <v xml:space="preserve">2170637702 </v>
      </c>
      <c r="G1488" s="10" t="str">
        <f t="shared" si="42"/>
        <v>ON1</v>
      </c>
      <c r="H1488" s="10" t="s">
        <v>21</v>
      </c>
      <c r="I1488" s="10" t="s">
        <v>61</v>
      </c>
      <c r="J1488" s="10" t="str">
        <f>""</f>
        <v/>
      </c>
      <c r="K1488" s="10" t="str">
        <f>"PFES1162630758_0001"</f>
        <v>PFES1162630758_0001</v>
      </c>
      <c r="L1488" s="10">
        <v>1</v>
      </c>
      <c r="M1488" s="10">
        <v>1</v>
      </c>
    </row>
    <row r="1489" spans="1:13">
      <c r="A1489" s="8">
        <v>43271</v>
      </c>
      <c r="B1489" s="9">
        <v>0.59166666666666667</v>
      </c>
      <c r="C1489" s="10" t="str">
        <f>"FES1162630748"</f>
        <v>FES1162630748</v>
      </c>
      <c r="D1489" s="10" t="s">
        <v>19</v>
      </c>
      <c r="E1489" s="10" t="s">
        <v>169</v>
      </c>
      <c r="F1489" s="10" t="str">
        <f>"2170637687 "</f>
        <v xml:space="preserve">2170637687 </v>
      </c>
      <c r="G1489" s="10" t="str">
        <f t="shared" si="42"/>
        <v>ON1</v>
      </c>
      <c r="H1489" s="10" t="s">
        <v>21</v>
      </c>
      <c r="I1489" s="10" t="s">
        <v>170</v>
      </c>
      <c r="J1489" s="10" t="str">
        <f>""</f>
        <v/>
      </c>
      <c r="K1489" s="10" t="str">
        <f>"PFES1162630748_0001"</f>
        <v>PFES1162630748_0001</v>
      </c>
      <c r="L1489" s="10">
        <v>1</v>
      </c>
      <c r="M1489" s="10">
        <v>1</v>
      </c>
    </row>
    <row r="1490" spans="1:13">
      <c r="A1490" s="8">
        <v>43271</v>
      </c>
      <c r="B1490" s="9">
        <v>0.59166666666666667</v>
      </c>
      <c r="C1490" s="10" t="str">
        <f>"FES1162630715"</f>
        <v>FES1162630715</v>
      </c>
      <c r="D1490" s="10" t="s">
        <v>19</v>
      </c>
      <c r="E1490" s="10" t="s">
        <v>135</v>
      </c>
      <c r="F1490" s="10" t="str">
        <f>"2170637643 "</f>
        <v xml:space="preserve">2170637643 </v>
      </c>
      <c r="G1490" s="10" t="str">
        <f t="shared" si="42"/>
        <v>ON1</v>
      </c>
      <c r="H1490" s="10" t="s">
        <v>21</v>
      </c>
      <c r="I1490" s="10" t="s">
        <v>136</v>
      </c>
      <c r="J1490" s="10" t="str">
        <f>""</f>
        <v/>
      </c>
      <c r="K1490" s="10" t="str">
        <f>"PFES1162630715_0001"</f>
        <v>PFES1162630715_0001</v>
      </c>
      <c r="L1490" s="10">
        <v>1</v>
      </c>
      <c r="M1490" s="10">
        <v>4</v>
      </c>
    </row>
    <row r="1491" spans="1:13">
      <c r="A1491" s="8">
        <v>43271</v>
      </c>
      <c r="B1491" s="9">
        <v>0.59166666666666667</v>
      </c>
      <c r="C1491" s="10" t="str">
        <f>"FES1162630743"</f>
        <v>FES1162630743</v>
      </c>
      <c r="D1491" s="10" t="s">
        <v>19</v>
      </c>
      <c r="E1491" s="10" t="s">
        <v>436</v>
      </c>
      <c r="F1491" s="10" t="str">
        <f>"2170637682 "</f>
        <v xml:space="preserve">2170637682 </v>
      </c>
      <c r="G1491" s="10" t="str">
        <f t="shared" si="42"/>
        <v>ON1</v>
      </c>
      <c r="H1491" s="10" t="s">
        <v>21</v>
      </c>
      <c r="I1491" s="10" t="s">
        <v>437</v>
      </c>
      <c r="J1491" s="10" t="str">
        <f>""</f>
        <v/>
      </c>
      <c r="K1491" s="10" t="str">
        <f>"PFES1162630743_0001"</f>
        <v>PFES1162630743_0001</v>
      </c>
      <c r="L1491" s="10">
        <v>1</v>
      </c>
      <c r="M1491" s="10">
        <v>1</v>
      </c>
    </row>
    <row r="1492" spans="1:13">
      <c r="A1492" s="8">
        <v>43271</v>
      </c>
      <c r="B1492" s="9">
        <v>0.59097222222222223</v>
      </c>
      <c r="C1492" s="10" t="str">
        <f>"FES1162630726"</f>
        <v>FES1162630726</v>
      </c>
      <c r="D1492" s="10" t="s">
        <v>19</v>
      </c>
      <c r="E1492" s="10" t="s">
        <v>774</v>
      </c>
      <c r="F1492" s="10" t="str">
        <f>"2170637653 "</f>
        <v xml:space="preserve">2170637653 </v>
      </c>
      <c r="G1492" s="10" t="str">
        <f t="shared" si="42"/>
        <v>ON1</v>
      </c>
      <c r="H1492" s="10" t="s">
        <v>21</v>
      </c>
      <c r="I1492" s="10" t="s">
        <v>775</v>
      </c>
      <c r="J1492" s="10" t="str">
        <f>""</f>
        <v/>
      </c>
      <c r="K1492" s="10" t="str">
        <f>"PFES1162630726_0001"</f>
        <v>PFES1162630726_0001</v>
      </c>
      <c r="L1492" s="10">
        <v>1</v>
      </c>
      <c r="M1492" s="10">
        <v>1</v>
      </c>
    </row>
    <row r="1493" spans="1:13">
      <c r="A1493" s="8">
        <v>43271</v>
      </c>
      <c r="B1493" s="9">
        <v>0.59097222222222223</v>
      </c>
      <c r="C1493" s="10" t="str">
        <f>"FES1162630754"</f>
        <v>FES1162630754</v>
      </c>
      <c r="D1493" s="10" t="s">
        <v>19</v>
      </c>
      <c r="E1493" s="10" t="s">
        <v>720</v>
      </c>
      <c r="F1493" s="10" t="str">
        <f>"217067696 "</f>
        <v xml:space="preserve">217067696 </v>
      </c>
      <c r="G1493" s="10" t="str">
        <f t="shared" si="42"/>
        <v>ON1</v>
      </c>
      <c r="H1493" s="10" t="s">
        <v>21</v>
      </c>
      <c r="I1493" s="10" t="s">
        <v>578</v>
      </c>
      <c r="J1493" s="10" t="str">
        <f>""</f>
        <v/>
      </c>
      <c r="K1493" s="10" t="str">
        <f>"PFES1162630754_0001"</f>
        <v>PFES1162630754_0001</v>
      </c>
      <c r="L1493" s="10">
        <v>1</v>
      </c>
      <c r="M1493" s="10">
        <v>1</v>
      </c>
    </row>
    <row r="1494" spans="1:13">
      <c r="A1494" s="8">
        <v>43271</v>
      </c>
      <c r="B1494" s="9">
        <v>0.59027777777777779</v>
      </c>
      <c r="C1494" s="10" t="str">
        <f>"FES1162630752"</f>
        <v>FES1162630752</v>
      </c>
      <c r="D1494" s="10" t="s">
        <v>19</v>
      </c>
      <c r="E1494" s="10" t="s">
        <v>126</v>
      </c>
      <c r="F1494" s="10" t="str">
        <f>"2170637693 "</f>
        <v xml:space="preserve">2170637693 </v>
      </c>
      <c r="G1494" s="10" t="str">
        <f t="shared" si="42"/>
        <v>ON1</v>
      </c>
      <c r="H1494" s="10" t="s">
        <v>21</v>
      </c>
      <c r="I1494" s="10" t="s">
        <v>100</v>
      </c>
      <c r="J1494" s="10" t="str">
        <f>""</f>
        <v/>
      </c>
      <c r="K1494" s="10" t="str">
        <f>"PFES1162630752_0001"</f>
        <v>PFES1162630752_0001</v>
      </c>
      <c r="L1494" s="10">
        <v>1</v>
      </c>
      <c r="M1494" s="10">
        <v>1</v>
      </c>
    </row>
    <row r="1495" spans="1:13">
      <c r="A1495" s="8">
        <v>43271</v>
      </c>
      <c r="B1495" s="9">
        <v>0.58958333333333335</v>
      </c>
      <c r="C1495" s="10" t="str">
        <f>"FES1162630729"</f>
        <v>FES1162630729</v>
      </c>
      <c r="D1495" s="10" t="s">
        <v>19</v>
      </c>
      <c r="E1495" s="10" t="s">
        <v>47</v>
      </c>
      <c r="F1495" s="10" t="str">
        <f>"2170637657 "</f>
        <v xml:space="preserve">2170637657 </v>
      </c>
      <c r="G1495" s="10" t="str">
        <f t="shared" si="42"/>
        <v>ON1</v>
      </c>
      <c r="H1495" s="10" t="s">
        <v>21</v>
      </c>
      <c r="I1495" s="10" t="s">
        <v>30</v>
      </c>
      <c r="J1495" s="10" t="str">
        <f>""</f>
        <v/>
      </c>
      <c r="K1495" s="10" t="str">
        <f>"PFES1162630729_0001"</f>
        <v>PFES1162630729_0001</v>
      </c>
      <c r="L1495" s="10">
        <v>1</v>
      </c>
      <c r="M1495" s="10">
        <v>1</v>
      </c>
    </row>
    <row r="1496" spans="1:13">
      <c r="A1496" s="8">
        <v>43271</v>
      </c>
      <c r="B1496" s="9">
        <v>0.57291666666666663</v>
      </c>
      <c r="C1496" s="10" t="str">
        <f>"FES1162630686"</f>
        <v>FES1162630686</v>
      </c>
      <c r="D1496" s="10" t="s">
        <v>19</v>
      </c>
      <c r="E1496" s="10" t="s">
        <v>842</v>
      </c>
      <c r="F1496" s="10" t="str">
        <f>"2170635711 "</f>
        <v xml:space="preserve">2170635711 </v>
      </c>
      <c r="G1496" s="10" t="str">
        <f t="shared" si="42"/>
        <v>ON1</v>
      </c>
      <c r="H1496" s="10" t="s">
        <v>21</v>
      </c>
      <c r="I1496" s="10" t="s">
        <v>30</v>
      </c>
      <c r="J1496" s="10" t="str">
        <f>""</f>
        <v/>
      </c>
      <c r="K1496" s="10" t="str">
        <f>"PFES1162630686_0001"</f>
        <v>PFES1162630686_0001</v>
      </c>
      <c r="L1496" s="10">
        <v>1</v>
      </c>
      <c r="M1496" s="10">
        <v>1</v>
      </c>
    </row>
    <row r="1497" spans="1:13">
      <c r="A1497" s="8">
        <v>43271</v>
      </c>
      <c r="B1497" s="9">
        <v>0.57291666666666663</v>
      </c>
      <c r="C1497" s="10" t="str">
        <f>"FES1162630670"</f>
        <v>FES1162630670</v>
      </c>
      <c r="D1497" s="10" t="s">
        <v>19</v>
      </c>
      <c r="E1497" s="10" t="s">
        <v>403</v>
      </c>
      <c r="F1497" s="10" t="str">
        <f>"2170637614 "</f>
        <v xml:space="preserve">2170637614 </v>
      </c>
      <c r="G1497" s="10" t="str">
        <f t="shared" ref="G1497:G1507" si="43">"ON1"</f>
        <v>ON1</v>
      </c>
      <c r="H1497" s="10" t="s">
        <v>21</v>
      </c>
      <c r="I1497" s="10" t="s">
        <v>66</v>
      </c>
      <c r="J1497" s="10" t="str">
        <f>""</f>
        <v/>
      </c>
      <c r="K1497" s="10" t="str">
        <f>"PFES1162630670_0001"</f>
        <v>PFES1162630670_0001</v>
      </c>
      <c r="L1497" s="10">
        <v>1</v>
      </c>
      <c r="M1497" s="10">
        <v>1</v>
      </c>
    </row>
    <row r="1498" spans="1:13">
      <c r="A1498" s="8">
        <v>43271</v>
      </c>
      <c r="B1498" s="9">
        <v>0.57222222222222219</v>
      </c>
      <c r="C1498" s="10" t="str">
        <f>"FES1162630709"</f>
        <v>FES1162630709</v>
      </c>
      <c r="D1498" s="10" t="s">
        <v>19</v>
      </c>
      <c r="E1498" s="10" t="s">
        <v>120</v>
      </c>
      <c r="F1498" s="10" t="str">
        <f>"2170637635 "</f>
        <v xml:space="preserve">2170637635 </v>
      </c>
      <c r="G1498" s="10" t="str">
        <f t="shared" si="43"/>
        <v>ON1</v>
      </c>
      <c r="H1498" s="10" t="s">
        <v>21</v>
      </c>
      <c r="I1498" s="10" t="s">
        <v>38</v>
      </c>
      <c r="J1498" s="10" t="str">
        <f>""</f>
        <v/>
      </c>
      <c r="K1498" s="10" t="str">
        <f>"PFES1162630709_0001"</f>
        <v>PFES1162630709_0001</v>
      </c>
      <c r="L1498" s="10">
        <v>1</v>
      </c>
      <c r="M1498" s="10">
        <v>1</v>
      </c>
    </row>
    <row r="1499" spans="1:13">
      <c r="A1499" s="8">
        <v>43271</v>
      </c>
      <c r="B1499" s="9">
        <v>0.57222222222222219</v>
      </c>
      <c r="C1499" s="10" t="str">
        <f>"FES1162630713"</f>
        <v>FES1162630713</v>
      </c>
      <c r="D1499" s="10" t="s">
        <v>19</v>
      </c>
      <c r="E1499" s="10" t="s">
        <v>47</v>
      </c>
      <c r="F1499" s="10" t="str">
        <f>"2170637639 "</f>
        <v xml:space="preserve">2170637639 </v>
      </c>
      <c r="G1499" s="10" t="str">
        <f t="shared" si="43"/>
        <v>ON1</v>
      </c>
      <c r="H1499" s="10" t="s">
        <v>21</v>
      </c>
      <c r="I1499" s="10" t="s">
        <v>30</v>
      </c>
      <c r="J1499" s="10" t="str">
        <f>""</f>
        <v/>
      </c>
      <c r="K1499" s="10" t="str">
        <f>"PFES1162630713_0001"</f>
        <v>PFES1162630713_0001</v>
      </c>
      <c r="L1499" s="10">
        <v>1</v>
      </c>
      <c r="M1499" s="10">
        <v>1</v>
      </c>
    </row>
    <row r="1500" spans="1:13">
      <c r="A1500" s="8">
        <v>43271</v>
      </c>
      <c r="B1500" s="9">
        <v>0.57152777777777775</v>
      </c>
      <c r="C1500" s="10" t="str">
        <f>"FES1162630712"</f>
        <v>FES1162630712</v>
      </c>
      <c r="D1500" s="10" t="s">
        <v>19</v>
      </c>
      <c r="E1500" s="10" t="s">
        <v>62</v>
      </c>
      <c r="F1500" s="10" t="str">
        <f>"2170637638 "</f>
        <v xml:space="preserve">2170637638 </v>
      </c>
      <c r="G1500" s="10" t="str">
        <f t="shared" si="43"/>
        <v>ON1</v>
      </c>
      <c r="H1500" s="10" t="s">
        <v>21</v>
      </c>
      <c r="I1500" s="10" t="s">
        <v>63</v>
      </c>
      <c r="J1500" s="10" t="str">
        <f>""</f>
        <v/>
      </c>
      <c r="K1500" s="10" t="str">
        <f>"PFES1162630712_0001"</f>
        <v>PFES1162630712_0001</v>
      </c>
      <c r="L1500" s="10">
        <v>1</v>
      </c>
      <c r="M1500" s="10">
        <v>1</v>
      </c>
    </row>
    <row r="1501" spans="1:13">
      <c r="A1501" s="8">
        <v>43271</v>
      </c>
      <c r="B1501" s="9">
        <v>0.5708333333333333</v>
      </c>
      <c r="C1501" s="10" t="str">
        <f>"FES1162630699"</f>
        <v>FES1162630699</v>
      </c>
      <c r="D1501" s="10" t="s">
        <v>19</v>
      </c>
      <c r="E1501" s="10" t="s">
        <v>372</v>
      </c>
      <c r="F1501" s="10" t="str">
        <f>"2170628571 "</f>
        <v xml:space="preserve">2170628571 </v>
      </c>
      <c r="G1501" s="10" t="str">
        <f t="shared" si="43"/>
        <v>ON1</v>
      </c>
      <c r="H1501" s="10" t="s">
        <v>21</v>
      </c>
      <c r="I1501" s="10" t="s">
        <v>93</v>
      </c>
      <c r="J1501" s="10" t="str">
        <f>""</f>
        <v/>
      </c>
      <c r="K1501" s="10" t="str">
        <f>"PFES1162630699_0001"</f>
        <v>PFES1162630699_0001</v>
      </c>
      <c r="L1501" s="10">
        <v>1</v>
      </c>
      <c r="M1501" s="10">
        <v>1</v>
      </c>
    </row>
    <row r="1502" spans="1:13">
      <c r="A1502" s="8">
        <v>43271</v>
      </c>
      <c r="B1502" s="9">
        <v>0.5708333333333333</v>
      </c>
      <c r="C1502" s="10" t="str">
        <f>"FES1162630642"</f>
        <v>FES1162630642</v>
      </c>
      <c r="D1502" s="10" t="s">
        <v>19</v>
      </c>
      <c r="E1502" s="10" t="s">
        <v>117</v>
      </c>
      <c r="F1502" s="10" t="str">
        <f>"2170634679 "</f>
        <v xml:space="preserve">2170634679 </v>
      </c>
      <c r="G1502" s="10" t="str">
        <f t="shared" si="43"/>
        <v>ON1</v>
      </c>
      <c r="H1502" s="10" t="s">
        <v>21</v>
      </c>
      <c r="I1502" s="10" t="s">
        <v>118</v>
      </c>
      <c r="J1502" s="10" t="str">
        <f>""</f>
        <v/>
      </c>
      <c r="K1502" s="10" t="str">
        <f>"PFES1162630642_0001"</f>
        <v>PFES1162630642_0001</v>
      </c>
      <c r="L1502" s="10">
        <v>1</v>
      </c>
      <c r="M1502" s="10">
        <v>1</v>
      </c>
    </row>
    <row r="1503" spans="1:13">
      <c r="A1503" s="8">
        <v>43271</v>
      </c>
      <c r="B1503" s="9">
        <v>0.57013888888888886</v>
      </c>
      <c r="C1503" s="10" t="str">
        <f>"FES1162630655"</f>
        <v>FES1162630655</v>
      </c>
      <c r="D1503" s="10" t="s">
        <v>19</v>
      </c>
      <c r="E1503" s="10" t="s">
        <v>33</v>
      </c>
      <c r="F1503" s="10" t="str">
        <f>"2170637591 "</f>
        <v xml:space="preserve">2170637591 </v>
      </c>
      <c r="G1503" s="10" t="str">
        <f t="shared" si="43"/>
        <v>ON1</v>
      </c>
      <c r="H1503" s="10" t="s">
        <v>21</v>
      </c>
      <c r="I1503" s="10" t="s">
        <v>34</v>
      </c>
      <c r="J1503" s="10" t="str">
        <f>""</f>
        <v/>
      </c>
      <c r="K1503" s="10" t="str">
        <f>"PFES1162630655_0001"</f>
        <v>PFES1162630655_0001</v>
      </c>
      <c r="L1503" s="10">
        <v>1</v>
      </c>
      <c r="M1503" s="10">
        <v>1</v>
      </c>
    </row>
    <row r="1504" spans="1:13">
      <c r="A1504" s="8">
        <v>43271</v>
      </c>
      <c r="B1504" s="9">
        <v>0.57013888888888886</v>
      </c>
      <c r="C1504" s="10" t="str">
        <f>"FES1162630675"</f>
        <v>FES1162630675</v>
      </c>
      <c r="D1504" s="10" t="s">
        <v>19</v>
      </c>
      <c r="E1504" s="10" t="s">
        <v>132</v>
      </c>
      <c r="F1504" s="10" t="str">
        <f>"2170637613 "</f>
        <v xml:space="preserve">2170637613 </v>
      </c>
      <c r="G1504" s="10" t="str">
        <f t="shared" si="43"/>
        <v>ON1</v>
      </c>
      <c r="H1504" s="10" t="s">
        <v>21</v>
      </c>
      <c r="I1504" s="10" t="s">
        <v>69</v>
      </c>
      <c r="J1504" s="10" t="str">
        <f>""</f>
        <v/>
      </c>
      <c r="K1504" s="10" t="str">
        <f>"PFES1162630675_0001"</f>
        <v>PFES1162630675_0001</v>
      </c>
      <c r="L1504" s="10">
        <v>1</v>
      </c>
      <c r="M1504" s="10">
        <v>1</v>
      </c>
    </row>
    <row r="1505" spans="1:13">
      <c r="A1505" s="8">
        <v>43271</v>
      </c>
      <c r="B1505" s="9">
        <v>0.56944444444444442</v>
      </c>
      <c r="C1505" s="10" t="str">
        <f>"FES1162630678"</f>
        <v>FES1162630678</v>
      </c>
      <c r="D1505" s="10" t="s">
        <v>19</v>
      </c>
      <c r="E1505" s="10" t="s">
        <v>119</v>
      </c>
      <c r="F1505" s="10" t="str">
        <f>"2170637622 "</f>
        <v xml:space="preserve">2170637622 </v>
      </c>
      <c r="G1505" s="10" t="str">
        <f t="shared" si="43"/>
        <v>ON1</v>
      </c>
      <c r="H1505" s="10" t="s">
        <v>21</v>
      </c>
      <c r="I1505" s="10" t="s">
        <v>83</v>
      </c>
      <c r="J1505" s="10" t="str">
        <f>""</f>
        <v/>
      </c>
      <c r="K1505" s="10" t="str">
        <f>"PFES1162630678_0001"</f>
        <v>PFES1162630678_0001</v>
      </c>
      <c r="L1505" s="10">
        <v>1</v>
      </c>
      <c r="M1505" s="10">
        <v>1</v>
      </c>
    </row>
    <row r="1506" spans="1:13">
      <c r="A1506" s="8">
        <v>43271</v>
      </c>
      <c r="B1506" s="9">
        <v>0.56944444444444442</v>
      </c>
      <c r="C1506" s="10" t="str">
        <f>"FES1162630575"</f>
        <v>FES1162630575</v>
      </c>
      <c r="D1506" s="10" t="s">
        <v>19</v>
      </c>
      <c r="E1506" s="10" t="s">
        <v>117</v>
      </c>
      <c r="F1506" s="10" t="str">
        <f>"2170635852 "</f>
        <v xml:space="preserve">2170635852 </v>
      </c>
      <c r="G1506" s="10" t="str">
        <f t="shared" si="43"/>
        <v>ON1</v>
      </c>
      <c r="H1506" s="10" t="s">
        <v>21</v>
      </c>
      <c r="I1506" s="10" t="s">
        <v>118</v>
      </c>
      <c r="J1506" s="10" t="str">
        <f>""</f>
        <v/>
      </c>
      <c r="K1506" s="10" t="str">
        <f>"PFES1162630575_0001"</f>
        <v>PFES1162630575_0001</v>
      </c>
      <c r="L1506" s="10">
        <v>1</v>
      </c>
      <c r="M1506" s="10">
        <v>1</v>
      </c>
    </row>
    <row r="1507" spans="1:13">
      <c r="A1507" s="8">
        <v>43271</v>
      </c>
      <c r="B1507" s="9">
        <v>0.56874999999999998</v>
      </c>
      <c r="C1507" s="10" t="str">
        <f>"FES1162630682"</f>
        <v>FES1162630682</v>
      </c>
      <c r="D1507" s="10" t="s">
        <v>19</v>
      </c>
      <c r="E1507" s="10" t="s">
        <v>23</v>
      </c>
      <c r="F1507" s="10" t="str">
        <f>"2170637628 "</f>
        <v xml:space="preserve">2170637628 </v>
      </c>
      <c r="G1507" s="10" t="str">
        <f t="shared" si="43"/>
        <v>ON1</v>
      </c>
      <c r="H1507" s="10" t="s">
        <v>21</v>
      </c>
      <c r="I1507" s="10" t="s">
        <v>24</v>
      </c>
      <c r="J1507" s="10" t="str">
        <f>""</f>
        <v/>
      </c>
      <c r="K1507" s="10" t="str">
        <f>"PFES1162630682_0001"</f>
        <v>PFES1162630682_0001</v>
      </c>
      <c r="L1507" s="10">
        <v>1</v>
      </c>
      <c r="M1507" s="10">
        <v>1</v>
      </c>
    </row>
    <row r="1508" spans="1:13">
      <c r="A1508" s="8">
        <v>43271</v>
      </c>
      <c r="B1508" s="9">
        <v>0.56736111111111109</v>
      </c>
      <c r="C1508" s="10" t="str">
        <f>"FES1162630700"</f>
        <v>FES1162630700</v>
      </c>
      <c r="D1508" s="10" t="s">
        <v>19</v>
      </c>
      <c r="E1508" s="10" t="s">
        <v>229</v>
      </c>
      <c r="F1508" s="10" t="str">
        <f>"2170630123 "</f>
        <v xml:space="preserve">2170630123 </v>
      </c>
      <c r="G1508" s="10" t="str">
        <f>"DBC"</f>
        <v>DBC</v>
      </c>
      <c r="H1508" s="10" t="s">
        <v>21</v>
      </c>
      <c r="I1508" s="10" t="s">
        <v>230</v>
      </c>
      <c r="J1508" s="10" t="str">
        <f>""</f>
        <v/>
      </c>
      <c r="K1508" s="10" t="str">
        <f>"PFES1162630700_0001"</f>
        <v>PFES1162630700_0001</v>
      </c>
      <c r="L1508" s="10">
        <v>2</v>
      </c>
      <c r="M1508" s="10">
        <v>24</v>
      </c>
    </row>
    <row r="1509" spans="1:13">
      <c r="A1509" s="8">
        <v>43271</v>
      </c>
      <c r="B1509" s="9">
        <v>0.54861111111111105</v>
      </c>
      <c r="C1509" s="10" t="str">
        <f>"FES1162630667"</f>
        <v>FES1162630667</v>
      </c>
      <c r="D1509" s="10" t="s">
        <v>19</v>
      </c>
      <c r="E1509" s="10" t="s">
        <v>843</v>
      </c>
      <c r="F1509" s="10" t="str">
        <f>"2170637611 "</f>
        <v xml:space="preserve">2170637611 </v>
      </c>
      <c r="G1509" s="10" t="str">
        <f t="shared" ref="G1509:G1518" si="44">"ON1"</f>
        <v>ON1</v>
      </c>
      <c r="H1509" s="10" t="s">
        <v>21</v>
      </c>
      <c r="I1509" s="10" t="s">
        <v>702</v>
      </c>
      <c r="J1509" s="10" t="str">
        <f>""</f>
        <v/>
      </c>
      <c r="K1509" s="10" t="str">
        <f>"PFES1162630667_0001"</f>
        <v>PFES1162630667_0001</v>
      </c>
      <c r="L1509" s="10">
        <v>1</v>
      </c>
      <c r="M1509" s="10">
        <v>10</v>
      </c>
    </row>
    <row r="1510" spans="1:13">
      <c r="A1510" s="8">
        <v>43271</v>
      </c>
      <c r="B1510" s="9">
        <v>0.54583333333333328</v>
      </c>
      <c r="C1510" s="10" t="str">
        <f>"FES1162630684"</f>
        <v>FES1162630684</v>
      </c>
      <c r="D1510" s="10" t="s">
        <v>19</v>
      </c>
      <c r="E1510" s="10" t="s">
        <v>221</v>
      </c>
      <c r="F1510" s="10" t="str">
        <f>"2170637630 "</f>
        <v xml:space="preserve">2170637630 </v>
      </c>
      <c r="G1510" s="10" t="str">
        <f t="shared" si="44"/>
        <v>ON1</v>
      </c>
      <c r="H1510" s="10" t="s">
        <v>21</v>
      </c>
      <c r="I1510" s="10" t="s">
        <v>222</v>
      </c>
      <c r="J1510" s="10" t="str">
        <f>""</f>
        <v/>
      </c>
      <c r="K1510" s="10" t="str">
        <f>"PFES1162630684_0001"</f>
        <v>PFES1162630684_0001</v>
      </c>
      <c r="L1510" s="10">
        <v>1</v>
      </c>
      <c r="M1510" s="10">
        <v>1</v>
      </c>
    </row>
    <row r="1511" spans="1:13">
      <c r="A1511" s="8">
        <v>43271</v>
      </c>
      <c r="B1511" s="9">
        <v>0.54305555555555551</v>
      </c>
      <c r="C1511" s="10" t="str">
        <f>"FES1162630673"</f>
        <v>FES1162630673</v>
      </c>
      <c r="D1511" s="10" t="s">
        <v>19</v>
      </c>
      <c r="E1511" s="10" t="s">
        <v>844</v>
      </c>
      <c r="F1511" s="10" t="str">
        <f>"2170637570 "</f>
        <v xml:space="preserve">2170637570 </v>
      </c>
      <c r="G1511" s="10" t="str">
        <f t="shared" si="44"/>
        <v>ON1</v>
      </c>
      <c r="H1511" s="10" t="s">
        <v>21</v>
      </c>
      <c r="I1511" s="10" t="s">
        <v>209</v>
      </c>
      <c r="J1511" s="10" t="str">
        <f>""</f>
        <v/>
      </c>
      <c r="K1511" s="10" t="str">
        <f>"PFES1162630673_0001"</f>
        <v>PFES1162630673_0001</v>
      </c>
      <c r="L1511" s="10">
        <v>1</v>
      </c>
      <c r="M1511" s="10">
        <v>2</v>
      </c>
    </row>
    <row r="1512" spans="1:13">
      <c r="A1512" s="8">
        <v>43271</v>
      </c>
      <c r="B1512" s="9">
        <v>0.53611111111111109</v>
      </c>
      <c r="C1512" s="10" t="str">
        <f>"FES1162630688"</f>
        <v>FES1162630688</v>
      </c>
      <c r="D1512" s="10" t="s">
        <v>19</v>
      </c>
      <c r="E1512" s="10" t="s">
        <v>183</v>
      </c>
      <c r="F1512" s="10" t="str">
        <f>"2170635645 "</f>
        <v xml:space="preserve">2170635645 </v>
      </c>
      <c r="G1512" s="10" t="str">
        <f t="shared" si="44"/>
        <v>ON1</v>
      </c>
      <c r="H1512" s="10" t="s">
        <v>21</v>
      </c>
      <c r="I1512" s="10" t="s">
        <v>93</v>
      </c>
      <c r="J1512" s="10" t="str">
        <f>""</f>
        <v/>
      </c>
      <c r="K1512" s="10" t="str">
        <f>"PFES1162630688_0001"</f>
        <v>PFES1162630688_0001</v>
      </c>
      <c r="L1512" s="10">
        <v>1</v>
      </c>
      <c r="M1512" s="10">
        <v>2</v>
      </c>
    </row>
    <row r="1513" spans="1:13">
      <c r="A1513" s="8">
        <v>43271</v>
      </c>
      <c r="B1513" s="9">
        <v>0.53472222222222221</v>
      </c>
      <c r="C1513" s="10" t="str">
        <f>"FES1162630703"</f>
        <v>FES1162630703</v>
      </c>
      <c r="D1513" s="10" t="s">
        <v>19</v>
      </c>
      <c r="E1513" s="10" t="s">
        <v>229</v>
      </c>
      <c r="F1513" s="10" t="str">
        <f>"2170621228 "</f>
        <v xml:space="preserve">2170621228 </v>
      </c>
      <c r="G1513" s="10" t="str">
        <f t="shared" si="44"/>
        <v>ON1</v>
      </c>
      <c r="H1513" s="10" t="s">
        <v>21</v>
      </c>
      <c r="I1513" s="10" t="s">
        <v>230</v>
      </c>
      <c r="J1513" s="10" t="str">
        <f>""</f>
        <v/>
      </c>
      <c r="K1513" s="10" t="str">
        <f>"PFES1162630703_0001"</f>
        <v>PFES1162630703_0001</v>
      </c>
      <c r="L1513" s="10">
        <v>1</v>
      </c>
      <c r="M1513" s="10">
        <v>14</v>
      </c>
    </row>
    <row r="1514" spans="1:13">
      <c r="A1514" s="8">
        <v>43271</v>
      </c>
      <c r="B1514" s="9">
        <v>0.53402777777777777</v>
      </c>
      <c r="C1514" s="10" t="str">
        <f>"FES1162630629"</f>
        <v>FES1162630629</v>
      </c>
      <c r="D1514" s="10" t="s">
        <v>19</v>
      </c>
      <c r="E1514" s="10" t="s">
        <v>845</v>
      </c>
      <c r="F1514" s="10" t="str">
        <f>"2170637557 "</f>
        <v xml:space="preserve">2170637557 </v>
      </c>
      <c r="G1514" s="10" t="str">
        <f t="shared" si="44"/>
        <v>ON1</v>
      </c>
      <c r="H1514" s="10" t="s">
        <v>21</v>
      </c>
      <c r="I1514" s="10" t="s">
        <v>38</v>
      </c>
      <c r="J1514" s="10" t="str">
        <f>""</f>
        <v/>
      </c>
      <c r="K1514" s="10" t="str">
        <f>"PFES1162630629_0001"</f>
        <v>PFES1162630629_0001</v>
      </c>
      <c r="L1514" s="10">
        <v>1</v>
      </c>
      <c r="M1514" s="10">
        <v>4</v>
      </c>
    </row>
    <row r="1515" spans="1:13">
      <c r="A1515" s="8">
        <v>43271</v>
      </c>
      <c r="B1515" s="9">
        <v>0.53125</v>
      </c>
      <c r="C1515" s="10" t="str">
        <f>"FES1162630676"</f>
        <v>FES1162630676</v>
      </c>
      <c r="D1515" s="10" t="s">
        <v>19</v>
      </c>
      <c r="E1515" s="10" t="s">
        <v>434</v>
      </c>
      <c r="F1515" s="10" t="str">
        <f>"2170637617 "</f>
        <v xml:space="preserve">2170637617 </v>
      </c>
      <c r="G1515" s="10" t="str">
        <f t="shared" si="44"/>
        <v>ON1</v>
      </c>
      <c r="H1515" s="10" t="s">
        <v>21</v>
      </c>
      <c r="I1515" s="10" t="s">
        <v>846</v>
      </c>
      <c r="J1515" s="10" t="str">
        <f>""</f>
        <v/>
      </c>
      <c r="K1515" s="10" t="str">
        <f>"PFES1162630676_0001"</f>
        <v>PFES1162630676_0001</v>
      </c>
      <c r="L1515" s="10">
        <v>1</v>
      </c>
      <c r="M1515" s="10">
        <v>3</v>
      </c>
    </row>
    <row r="1516" spans="1:13">
      <c r="A1516" s="8">
        <v>43271</v>
      </c>
      <c r="B1516" s="9">
        <v>0.52916666666666667</v>
      </c>
      <c r="C1516" s="10" t="str">
        <f>"FES1162630689"</f>
        <v>FES1162630689</v>
      </c>
      <c r="D1516" s="10" t="s">
        <v>19</v>
      </c>
      <c r="E1516" s="10" t="s">
        <v>463</v>
      </c>
      <c r="F1516" s="10" t="str">
        <f>"2170635602 "</f>
        <v xml:space="preserve">2170635602 </v>
      </c>
      <c r="G1516" s="10" t="str">
        <f t="shared" si="44"/>
        <v>ON1</v>
      </c>
      <c r="H1516" s="10" t="s">
        <v>21</v>
      </c>
      <c r="I1516" s="10" t="s">
        <v>32</v>
      </c>
      <c r="J1516" s="10" t="str">
        <f>""</f>
        <v/>
      </c>
      <c r="K1516" s="10" t="str">
        <f>"PFES1162630689_0001"</f>
        <v>PFES1162630689_0001</v>
      </c>
      <c r="L1516" s="10">
        <v>1</v>
      </c>
      <c r="M1516" s="10">
        <v>2</v>
      </c>
    </row>
    <row r="1517" spans="1:13">
      <c r="A1517" s="8">
        <v>43271</v>
      </c>
      <c r="B1517" s="9">
        <v>0.52777777777777779</v>
      </c>
      <c r="C1517" s="10" t="str">
        <f>"FES1162630717"</f>
        <v>FES1162630717</v>
      </c>
      <c r="D1517" s="10" t="s">
        <v>19</v>
      </c>
      <c r="E1517" s="10" t="s">
        <v>847</v>
      </c>
      <c r="F1517" s="10" t="str">
        <f>"2170637645 "</f>
        <v xml:space="preserve">2170637645 </v>
      </c>
      <c r="G1517" s="10" t="str">
        <f t="shared" si="44"/>
        <v>ON1</v>
      </c>
      <c r="H1517" s="10" t="s">
        <v>21</v>
      </c>
      <c r="I1517" s="10" t="s">
        <v>69</v>
      </c>
      <c r="J1517" s="10" t="str">
        <f>""</f>
        <v/>
      </c>
      <c r="K1517" s="10" t="str">
        <f>"PFES1162630717_0001"</f>
        <v>PFES1162630717_0001</v>
      </c>
      <c r="L1517" s="10">
        <v>1</v>
      </c>
      <c r="M1517" s="10">
        <v>2</v>
      </c>
    </row>
    <row r="1518" spans="1:13">
      <c r="A1518" s="8">
        <v>43271</v>
      </c>
      <c r="B1518" s="9">
        <v>0.52152777777777781</v>
      </c>
      <c r="C1518" s="10" t="str">
        <f>"FES1162630710"</f>
        <v>FES1162630710</v>
      </c>
      <c r="D1518" s="10" t="s">
        <v>19</v>
      </c>
      <c r="E1518" s="10" t="s">
        <v>474</v>
      </c>
      <c r="F1518" s="10" t="str">
        <f>"2170637636 "</f>
        <v xml:space="preserve">2170637636 </v>
      </c>
      <c r="G1518" s="10" t="str">
        <f t="shared" si="44"/>
        <v>ON1</v>
      </c>
      <c r="H1518" s="10" t="s">
        <v>21</v>
      </c>
      <c r="I1518" s="10" t="s">
        <v>228</v>
      </c>
      <c r="J1518" s="10" t="str">
        <f>""</f>
        <v/>
      </c>
      <c r="K1518" s="10" t="str">
        <f>"PFES1162630710_0001"</f>
        <v>PFES1162630710_0001</v>
      </c>
      <c r="L1518" s="10">
        <v>1</v>
      </c>
      <c r="M1518" s="10">
        <v>2</v>
      </c>
    </row>
    <row r="1519" spans="1:13">
      <c r="A1519" s="8">
        <v>43271</v>
      </c>
      <c r="B1519" s="9">
        <v>0.52013888888888882</v>
      </c>
      <c r="C1519" s="10" t="str">
        <f>"FES1162630685"</f>
        <v>FES1162630685</v>
      </c>
      <c r="D1519" s="10" t="s">
        <v>19</v>
      </c>
      <c r="E1519" s="10" t="s">
        <v>204</v>
      </c>
      <c r="F1519" s="10" t="str">
        <f>"2170635396 "</f>
        <v xml:space="preserve">2170635396 </v>
      </c>
      <c r="G1519" s="10" t="str">
        <f>"DBC"</f>
        <v>DBC</v>
      </c>
      <c r="H1519" s="10" t="s">
        <v>21</v>
      </c>
      <c r="I1519" s="10" t="s">
        <v>205</v>
      </c>
      <c r="J1519" s="10" t="str">
        <f>""</f>
        <v/>
      </c>
      <c r="K1519" s="10" t="str">
        <f>"PFES1162630685_0001"</f>
        <v>PFES1162630685_0001</v>
      </c>
      <c r="L1519" s="10">
        <v>1</v>
      </c>
      <c r="M1519" s="10">
        <v>28</v>
      </c>
    </row>
    <row r="1520" spans="1:13">
      <c r="A1520" s="8">
        <v>43271</v>
      </c>
      <c r="B1520" s="9">
        <v>0.51874999999999993</v>
      </c>
      <c r="C1520" s="10" t="str">
        <f>"FES1162630605"</f>
        <v>FES1162630605</v>
      </c>
      <c r="D1520" s="10" t="s">
        <v>19</v>
      </c>
      <c r="E1520" s="10" t="s">
        <v>536</v>
      </c>
      <c r="F1520" s="10" t="str">
        <f>"2170637525 "</f>
        <v xml:space="preserve">2170637525 </v>
      </c>
      <c r="G1520" s="10" t="str">
        <f t="shared" ref="G1520:G1558" si="45">"ON1"</f>
        <v>ON1</v>
      </c>
      <c r="H1520" s="10" t="s">
        <v>21</v>
      </c>
      <c r="I1520" s="10" t="s">
        <v>487</v>
      </c>
      <c r="J1520" s="10" t="str">
        <f>""</f>
        <v/>
      </c>
      <c r="K1520" s="10" t="str">
        <f>"PFES1162630605_0001"</f>
        <v>PFES1162630605_0001</v>
      </c>
      <c r="L1520" s="10">
        <v>1</v>
      </c>
      <c r="M1520" s="10">
        <v>3</v>
      </c>
    </row>
    <row r="1521" spans="1:13">
      <c r="A1521" s="8">
        <v>43271</v>
      </c>
      <c r="B1521" s="9">
        <v>0.51736111111111105</v>
      </c>
      <c r="C1521" s="10" t="str">
        <f>"FES1162630641"</f>
        <v>FES1162630641</v>
      </c>
      <c r="D1521" s="10" t="s">
        <v>19</v>
      </c>
      <c r="E1521" s="10" t="s">
        <v>178</v>
      </c>
      <c r="F1521" s="10" t="str">
        <f>"2170633804 "</f>
        <v xml:space="preserve">2170633804 </v>
      </c>
      <c r="G1521" s="10" t="str">
        <f t="shared" si="45"/>
        <v>ON1</v>
      </c>
      <c r="H1521" s="10" t="s">
        <v>21</v>
      </c>
      <c r="I1521" s="10" t="s">
        <v>93</v>
      </c>
      <c r="J1521" s="10" t="str">
        <f>""</f>
        <v/>
      </c>
      <c r="K1521" s="10" t="str">
        <f>"PFES1162630641_0001"</f>
        <v>PFES1162630641_0001</v>
      </c>
      <c r="L1521" s="10">
        <v>1</v>
      </c>
      <c r="M1521" s="10">
        <v>7</v>
      </c>
    </row>
    <row r="1522" spans="1:13">
      <c r="A1522" s="8">
        <v>43271</v>
      </c>
      <c r="B1522" s="9">
        <v>0.51388888888888895</v>
      </c>
      <c r="C1522" s="10" t="str">
        <f>"FES116630693"</f>
        <v>FES116630693</v>
      </c>
      <c r="D1522" s="10" t="s">
        <v>19</v>
      </c>
      <c r="E1522" s="10" t="s">
        <v>193</v>
      </c>
      <c r="F1522" s="10" t="str">
        <f>"2170628866 "</f>
        <v xml:space="preserve">2170628866 </v>
      </c>
      <c r="G1522" s="10" t="str">
        <f t="shared" si="45"/>
        <v>ON1</v>
      </c>
      <c r="H1522" s="10" t="s">
        <v>21</v>
      </c>
      <c r="I1522" s="10" t="s">
        <v>30</v>
      </c>
      <c r="J1522" s="10" t="str">
        <f>""</f>
        <v/>
      </c>
      <c r="K1522" s="10" t="str">
        <f>"PFES116630693_0001"</f>
        <v>PFES116630693_0001</v>
      </c>
      <c r="L1522" s="10">
        <v>1</v>
      </c>
      <c r="M1522" s="10">
        <v>8</v>
      </c>
    </row>
    <row r="1523" spans="1:13">
      <c r="A1523" s="8">
        <v>43271</v>
      </c>
      <c r="B1523" s="9">
        <v>0.5131944444444444</v>
      </c>
      <c r="C1523" s="10" t="str">
        <f>"FES1162630654"</f>
        <v>FES1162630654</v>
      </c>
      <c r="D1523" s="10" t="s">
        <v>19</v>
      </c>
      <c r="E1523" s="10" t="s">
        <v>76</v>
      </c>
      <c r="F1523" s="10" t="str">
        <f>"2170637589 "</f>
        <v xml:space="preserve">2170637589 </v>
      </c>
      <c r="G1523" s="10" t="str">
        <f t="shared" si="45"/>
        <v>ON1</v>
      </c>
      <c r="H1523" s="10" t="s">
        <v>21</v>
      </c>
      <c r="I1523" s="10" t="s">
        <v>77</v>
      </c>
      <c r="J1523" s="10" t="str">
        <f>""</f>
        <v/>
      </c>
      <c r="K1523" s="10" t="str">
        <f>"PFES1162630654_0001"</f>
        <v>PFES1162630654_0001</v>
      </c>
      <c r="L1523" s="10">
        <v>1</v>
      </c>
      <c r="M1523" s="10">
        <v>3</v>
      </c>
    </row>
    <row r="1524" spans="1:13">
      <c r="A1524" s="8">
        <v>43271</v>
      </c>
      <c r="B1524" s="9">
        <v>0.51250000000000007</v>
      </c>
      <c r="C1524" s="10" t="str">
        <f>"FES1162630690"</f>
        <v>FES1162630690</v>
      </c>
      <c r="D1524" s="10" t="s">
        <v>19</v>
      </c>
      <c r="E1524" s="10" t="s">
        <v>171</v>
      </c>
      <c r="F1524" s="10" t="str">
        <f>"2170633222 "</f>
        <v xml:space="preserve">2170633222 </v>
      </c>
      <c r="G1524" s="10" t="str">
        <f t="shared" si="45"/>
        <v>ON1</v>
      </c>
      <c r="H1524" s="10" t="s">
        <v>21</v>
      </c>
      <c r="I1524" s="10" t="s">
        <v>172</v>
      </c>
      <c r="J1524" s="10" t="str">
        <f>""</f>
        <v/>
      </c>
      <c r="K1524" s="10" t="str">
        <f>"PFES1162630690_0001"</f>
        <v>PFES1162630690_0001</v>
      </c>
      <c r="L1524" s="10">
        <v>1</v>
      </c>
      <c r="M1524" s="10">
        <v>2</v>
      </c>
    </row>
    <row r="1525" spans="1:13">
      <c r="A1525" s="8">
        <v>43271</v>
      </c>
      <c r="B1525" s="9">
        <v>0.51111111111111118</v>
      </c>
      <c r="C1525" s="10" t="str">
        <f>"FES1162630691"</f>
        <v>FES1162630691</v>
      </c>
      <c r="D1525" s="10" t="s">
        <v>19</v>
      </c>
      <c r="E1525" s="10" t="s">
        <v>236</v>
      </c>
      <c r="F1525" s="10" t="str">
        <f>"2170632166 "</f>
        <v xml:space="preserve">2170632166 </v>
      </c>
      <c r="G1525" s="10" t="str">
        <f t="shared" si="45"/>
        <v>ON1</v>
      </c>
      <c r="H1525" s="10" t="s">
        <v>21</v>
      </c>
      <c r="I1525" s="10" t="s">
        <v>237</v>
      </c>
      <c r="J1525" s="10" t="str">
        <f>""</f>
        <v/>
      </c>
      <c r="K1525" s="10" t="str">
        <f>"PFES1162630691_0001"</f>
        <v>PFES1162630691_0001</v>
      </c>
      <c r="L1525" s="10">
        <v>1</v>
      </c>
      <c r="M1525" s="10">
        <v>2</v>
      </c>
    </row>
    <row r="1526" spans="1:13">
      <c r="A1526" s="8">
        <v>43271</v>
      </c>
      <c r="B1526" s="9">
        <v>0.50972222222222219</v>
      </c>
      <c r="C1526" s="10" t="str">
        <f>"FES1162630681"</f>
        <v>FES1162630681</v>
      </c>
      <c r="D1526" s="10" t="s">
        <v>19</v>
      </c>
      <c r="E1526" s="10" t="s">
        <v>474</v>
      </c>
      <c r="F1526" s="10" t="str">
        <f>"2170637627 "</f>
        <v xml:space="preserve">2170637627 </v>
      </c>
      <c r="G1526" s="10" t="str">
        <f t="shared" si="45"/>
        <v>ON1</v>
      </c>
      <c r="H1526" s="10" t="s">
        <v>21</v>
      </c>
      <c r="I1526" s="10" t="s">
        <v>228</v>
      </c>
      <c r="J1526" s="10" t="str">
        <f>""</f>
        <v/>
      </c>
      <c r="K1526" s="10" t="str">
        <f>"PFES1162630681_0001"</f>
        <v>PFES1162630681_0001</v>
      </c>
      <c r="L1526" s="10">
        <v>1</v>
      </c>
      <c r="M1526" s="10">
        <v>3</v>
      </c>
    </row>
    <row r="1527" spans="1:13">
      <c r="A1527" s="8">
        <v>43271</v>
      </c>
      <c r="B1527" s="9">
        <v>0.50902777777777775</v>
      </c>
      <c r="C1527" s="10" t="str">
        <f>"FES1162630701"</f>
        <v>FES1162630701</v>
      </c>
      <c r="D1527" s="10" t="s">
        <v>19</v>
      </c>
      <c r="E1527" s="10" t="s">
        <v>149</v>
      </c>
      <c r="F1527" s="10" t="str">
        <f>"2170631435 "</f>
        <v xml:space="preserve">2170631435 </v>
      </c>
      <c r="G1527" s="10" t="str">
        <f t="shared" si="45"/>
        <v>ON1</v>
      </c>
      <c r="H1527" s="10" t="s">
        <v>21</v>
      </c>
      <c r="I1527" s="10" t="s">
        <v>96</v>
      </c>
      <c r="J1527" s="10" t="str">
        <f>""</f>
        <v/>
      </c>
      <c r="K1527" s="10" t="str">
        <f>"PFES1162630701_0001"</f>
        <v>PFES1162630701_0001</v>
      </c>
      <c r="L1527" s="10">
        <v>1</v>
      </c>
      <c r="M1527" s="10">
        <v>10</v>
      </c>
    </row>
    <row r="1528" spans="1:13">
      <c r="A1528" s="8">
        <v>43271</v>
      </c>
      <c r="B1528" s="9">
        <v>0.5083333333333333</v>
      </c>
      <c r="C1528" s="10" t="str">
        <f>"FES1162630705"</f>
        <v>FES1162630705</v>
      </c>
      <c r="D1528" s="10" t="s">
        <v>19</v>
      </c>
      <c r="E1528" s="10" t="s">
        <v>103</v>
      </c>
      <c r="F1528" s="10" t="str">
        <f>"2170635569 "</f>
        <v xml:space="preserve">2170635569 </v>
      </c>
      <c r="G1528" s="10" t="str">
        <f t="shared" si="45"/>
        <v>ON1</v>
      </c>
      <c r="H1528" s="10" t="s">
        <v>21</v>
      </c>
      <c r="I1528" s="10" t="s">
        <v>104</v>
      </c>
      <c r="J1528" s="10" t="str">
        <f>""</f>
        <v/>
      </c>
      <c r="K1528" s="10" t="str">
        <f>"PFES1162630705_0001"</f>
        <v>PFES1162630705_0001</v>
      </c>
      <c r="L1528" s="10">
        <v>1</v>
      </c>
      <c r="M1528" s="10">
        <v>3</v>
      </c>
    </row>
    <row r="1529" spans="1:13">
      <c r="A1529" s="8">
        <v>43271</v>
      </c>
      <c r="B1529" s="9">
        <v>0.50624999999999998</v>
      </c>
      <c r="C1529" s="10" t="str">
        <f>"FES1162630711"</f>
        <v>FES1162630711</v>
      </c>
      <c r="D1529" s="10" t="s">
        <v>19</v>
      </c>
      <c r="E1529" s="10" t="s">
        <v>150</v>
      </c>
      <c r="F1529" s="10" t="str">
        <f>"2170633904 "</f>
        <v xml:space="preserve">2170633904 </v>
      </c>
      <c r="G1529" s="10" t="str">
        <f t="shared" si="45"/>
        <v>ON1</v>
      </c>
      <c r="H1529" s="10" t="s">
        <v>21</v>
      </c>
      <c r="I1529" s="10" t="s">
        <v>151</v>
      </c>
      <c r="J1529" s="10" t="str">
        <f>""</f>
        <v/>
      </c>
      <c r="K1529" s="10" t="str">
        <f>"PFES1162630711_0001"</f>
        <v>PFES1162630711_0001</v>
      </c>
      <c r="L1529" s="10">
        <v>1</v>
      </c>
      <c r="M1529" s="10">
        <v>3</v>
      </c>
    </row>
    <row r="1530" spans="1:13">
      <c r="A1530" s="8">
        <v>43271</v>
      </c>
      <c r="B1530" s="9">
        <v>0.50555555555555554</v>
      </c>
      <c r="C1530" s="10" t="str">
        <f>"FES1162630608"</f>
        <v>FES1162630608</v>
      </c>
      <c r="D1530" s="10" t="s">
        <v>19</v>
      </c>
      <c r="E1530" s="10" t="s">
        <v>848</v>
      </c>
      <c r="F1530" s="10" t="str">
        <f>"2170637530 "</f>
        <v xml:space="preserve">2170637530 </v>
      </c>
      <c r="G1530" s="10" t="str">
        <f t="shared" si="45"/>
        <v>ON1</v>
      </c>
      <c r="H1530" s="10" t="s">
        <v>21</v>
      </c>
      <c r="I1530" s="10" t="s">
        <v>849</v>
      </c>
      <c r="J1530" s="10" t="str">
        <f>""</f>
        <v/>
      </c>
      <c r="K1530" s="10" t="str">
        <f>"PFES1162630608_0001"</f>
        <v>PFES1162630608_0001</v>
      </c>
      <c r="L1530" s="10">
        <v>1</v>
      </c>
      <c r="M1530" s="10">
        <v>6</v>
      </c>
    </row>
    <row r="1531" spans="1:13">
      <c r="A1531" s="8">
        <v>43271</v>
      </c>
      <c r="B1531" s="9">
        <v>0.50416666666666665</v>
      </c>
      <c r="C1531" s="10" t="str">
        <f>"FES1162630573"</f>
        <v>FES1162630573</v>
      </c>
      <c r="D1531" s="10" t="s">
        <v>19</v>
      </c>
      <c r="E1531" s="10" t="s">
        <v>67</v>
      </c>
      <c r="F1531" s="10" t="str">
        <f>"2170635770 "</f>
        <v xml:space="preserve">2170635770 </v>
      </c>
      <c r="G1531" s="10" t="str">
        <f t="shared" si="45"/>
        <v>ON1</v>
      </c>
      <c r="H1531" s="10" t="s">
        <v>21</v>
      </c>
      <c r="I1531" s="10" t="s">
        <v>238</v>
      </c>
      <c r="J1531" s="10" t="str">
        <f>""</f>
        <v/>
      </c>
      <c r="K1531" s="10" t="str">
        <f>"PFES1162630573_0001"</f>
        <v>PFES1162630573_0001</v>
      </c>
      <c r="L1531" s="10">
        <v>1</v>
      </c>
      <c r="M1531" s="10">
        <v>4</v>
      </c>
    </row>
    <row r="1532" spans="1:13">
      <c r="A1532" s="8">
        <v>43271</v>
      </c>
      <c r="B1532" s="9">
        <v>0.50277777777777777</v>
      </c>
      <c r="C1532" s="10" t="str">
        <f>"FES1162630587"</f>
        <v>FES1162630587</v>
      </c>
      <c r="D1532" s="10" t="s">
        <v>19</v>
      </c>
      <c r="E1532" s="10" t="s">
        <v>123</v>
      </c>
      <c r="F1532" s="10" t="str">
        <f>"2170636552 "</f>
        <v xml:space="preserve">2170636552 </v>
      </c>
      <c r="G1532" s="10" t="str">
        <f t="shared" si="45"/>
        <v>ON1</v>
      </c>
      <c r="H1532" s="10" t="s">
        <v>21</v>
      </c>
      <c r="I1532" s="10" t="s">
        <v>26</v>
      </c>
      <c r="J1532" s="10" t="str">
        <f>""</f>
        <v/>
      </c>
      <c r="K1532" s="10" t="str">
        <f>"PFES1162630587_0001"</f>
        <v>PFES1162630587_0001</v>
      </c>
      <c r="L1532" s="10">
        <v>1</v>
      </c>
      <c r="M1532" s="10">
        <v>1</v>
      </c>
    </row>
    <row r="1533" spans="1:13">
      <c r="A1533" s="8">
        <v>43271</v>
      </c>
      <c r="B1533" s="9">
        <v>0.50138888888888888</v>
      </c>
      <c r="C1533" s="10" t="str">
        <f>"FES1162630592"</f>
        <v>FES1162630592</v>
      </c>
      <c r="D1533" s="10" t="s">
        <v>19</v>
      </c>
      <c r="E1533" s="10" t="s">
        <v>850</v>
      </c>
      <c r="F1533" s="10" t="str">
        <f>"2170637056 "</f>
        <v xml:space="preserve">2170637056 </v>
      </c>
      <c r="G1533" s="10" t="str">
        <f t="shared" si="45"/>
        <v>ON1</v>
      </c>
      <c r="H1533" s="10" t="s">
        <v>21</v>
      </c>
      <c r="I1533" s="10" t="s">
        <v>326</v>
      </c>
      <c r="J1533" s="10" t="str">
        <f>""</f>
        <v/>
      </c>
      <c r="K1533" s="10" t="str">
        <f>"PFES1162630592_0001"</f>
        <v>PFES1162630592_0001</v>
      </c>
      <c r="L1533" s="10">
        <v>1</v>
      </c>
      <c r="M1533" s="10">
        <v>1</v>
      </c>
    </row>
    <row r="1534" spans="1:13">
      <c r="A1534" s="8">
        <v>43271</v>
      </c>
      <c r="B1534" s="9">
        <v>0.5</v>
      </c>
      <c r="C1534" s="10" t="str">
        <f>"FES1162630614"</f>
        <v>FES1162630614</v>
      </c>
      <c r="D1534" s="10" t="s">
        <v>19</v>
      </c>
      <c r="E1534" s="10" t="s">
        <v>414</v>
      </c>
      <c r="F1534" s="10" t="str">
        <f>"2170637536 "</f>
        <v xml:space="preserve">2170637536 </v>
      </c>
      <c r="G1534" s="10" t="str">
        <f t="shared" si="45"/>
        <v>ON1</v>
      </c>
      <c r="H1534" s="10" t="s">
        <v>21</v>
      </c>
      <c r="I1534" s="10" t="s">
        <v>415</v>
      </c>
      <c r="J1534" s="10" t="str">
        <f>""</f>
        <v/>
      </c>
      <c r="K1534" s="10" t="str">
        <f>"PFES1162630614_0001"</f>
        <v>PFES1162630614_0001</v>
      </c>
      <c r="L1534" s="10">
        <v>1</v>
      </c>
      <c r="M1534" s="10">
        <v>4</v>
      </c>
    </row>
    <row r="1535" spans="1:13">
      <c r="A1535" s="8">
        <v>43271</v>
      </c>
      <c r="B1535" s="9">
        <v>0.4993055555555555</v>
      </c>
      <c r="C1535" s="10" t="str">
        <f>"FES1162630665"</f>
        <v>FES1162630665</v>
      </c>
      <c r="D1535" s="10" t="s">
        <v>19</v>
      </c>
      <c r="E1535" s="10" t="s">
        <v>468</v>
      </c>
      <c r="F1535" s="10" t="str">
        <f>"2170637607 "</f>
        <v xml:space="preserve">2170637607 </v>
      </c>
      <c r="G1535" s="10" t="str">
        <f t="shared" si="45"/>
        <v>ON1</v>
      </c>
      <c r="H1535" s="10" t="s">
        <v>21</v>
      </c>
      <c r="I1535" s="10" t="s">
        <v>469</v>
      </c>
      <c r="J1535" s="10" t="str">
        <f>""</f>
        <v/>
      </c>
      <c r="K1535" s="10" t="str">
        <f>"PFES1162630665_0001"</f>
        <v>PFES1162630665_0001</v>
      </c>
      <c r="L1535" s="10">
        <v>1</v>
      </c>
      <c r="M1535" s="10">
        <v>5</v>
      </c>
    </row>
    <row r="1536" spans="1:13">
      <c r="A1536" s="8">
        <v>43271</v>
      </c>
      <c r="B1536" s="9">
        <v>0.49791666666666662</v>
      </c>
      <c r="C1536" s="10" t="str">
        <f>"FES1162630590"</f>
        <v>FES1162630590</v>
      </c>
      <c r="D1536" s="10" t="s">
        <v>19</v>
      </c>
      <c r="E1536" s="10" t="s">
        <v>491</v>
      </c>
      <c r="F1536" s="10" t="str">
        <f>"2170636860 "</f>
        <v xml:space="preserve">2170636860 </v>
      </c>
      <c r="G1536" s="10" t="str">
        <f t="shared" si="45"/>
        <v>ON1</v>
      </c>
      <c r="H1536" s="10" t="s">
        <v>21</v>
      </c>
      <c r="I1536" s="10" t="s">
        <v>228</v>
      </c>
      <c r="J1536" s="10" t="str">
        <f>""</f>
        <v/>
      </c>
      <c r="K1536" s="10" t="str">
        <f>"PFES1162630590_0001"</f>
        <v>PFES1162630590_0001</v>
      </c>
      <c r="L1536" s="10">
        <v>1</v>
      </c>
      <c r="M1536" s="10">
        <v>4</v>
      </c>
    </row>
    <row r="1537" spans="1:13">
      <c r="A1537" s="8">
        <v>43271</v>
      </c>
      <c r="B1537" s="9">
        <v>0.49791666666666662</v>
      </c>
      <c r="C1537" s="10" t="str">
        <f>"FES1162630586"</f>
        <v>FES1162630586</v>
      </c>
      <c r="D1537" s="10" t="s">
        <v>19</v>
      </c>
      <c r="E1537" s="10" t="s">
        <v>163</v>
      </c>
      <c r="F1537" s="10" t="str">
        <f>"2170636504 "</f>
        <v xml:space="preserve">2170636504 </v>
      </c>
      <c r="G1537" s="10" t="str">
        <f t="shared" si="45"/>
        <v>ON1</v>
      </c>
      <c r="H1537" s="10" t="s">
        <v>21</v>
      </c>
      <c r="I1537" s="10" t="s">
        <v>51</v>
      </c>
      <c r="J1537" s="10" t="str">
        <f>""</f>
        <v/>
      </c>
      <c r="K1537" s="10" t="str">
        <f>"PFES1162630586_0001"</f>
        <v>PFES1162630586_0001</v>
      </c>
      <c r="L1537" s="10">
        <v>1</v>
      </c>
      <c r="M1537" s="10">
        <v>1</v>
      </c>
    </row>
    <row r="1538" spans="1:13">
      <c r="A1538" s="8">
        <v>43271</v>
      </c>
      <c r="B1538" s="9">
        <v>0.49722222222222223</v>
      </c>
      <c r="C1538" s="10" t="str">
        <f>"FES1162630577"</f>
        <v>FES1162630577</v>
      </c>
      <c r="D1538" s="10" t="s">
        <v>19</v>
      </c>
      <c r="E1538" s="10" t="s">
        <v>123</v>
      </c>
      <c r="F1538" s="10" t="str">
        <f>"2170635878 "</f>
        <v xml:space="preserve">2170635878 </v>
      </c>
      <c r="G1538" s="10" t="str">
        <f t="shared" si="45"/>
        <v>ON1</v>
      </c>
      <c r="H1538" s="10" t="s">
        <v>21</v>
      </c>
      <c r="I1538" s="10" t="s">
        <v>26</v>
      </c>
      <c r="J1538" s="10" t="str">
        <f>""</f>
        <v/>
      </c>
      <c r="K1538" s="10" t="str">
        <f>"PFES1162630577_0001"</f>
        <v>PFES1162630577_0001</v>
      </c>
      <c r="L1538" s="10">
        <v>1</v>
      </c>
      <c r="M1538" s="10">
        <v>1</v>
      </c>
    </row>
    <row r="1539" spans="1:13">
      <c r="A1539" s="8">
        <v>43271</v>
      </c>
      <c r="B1539" s="9">
        <v>0.49652777777777773</v>
      </c>
      <c r="C1539" s="10" t="str">
        <f>"FES1162630626"</f>
        <v>FES1162630626</v>
      </c>
      <c r="D1539" s="10" t="s">
        <v>19</v>
      </c>
      <c r="E1539" s="10" t="s">
        <v>445</v>
      </c>
      <c r="F1539" s="10" t="str">
        <f>"2170637553 "</f>
        <v xml:space="preserve">2170637553 </v>
      </c>
      <c r="G1539" s="10" t="str">
        <f t="shared" si="45"/>
        <v>ON1</v>
      </c>
      <c r="H1539" s="10" t="s">
        <v>21</v>
      </c>
      <c r="I1539" s="10" t="s">
        <v>446</v>
      </c>
      <c r="J1539" s="10" t="str">
        <f>""</f>
        <v/>
      </c>
      <c r="K1539" s="10" t="str">
        <f>"PFES1162630626_0001"</f>
        <v>PFES1162630626_0001</v>
      </c>
      <c r="L1539" s="10">
        <v>1</v>
      </c>
      <c r="M1539" s="10">
        <v>2</v>
      </c>
    </row>
    <row r="1540" spans="1:13">
      <c r="A1540" s="8">
        <v>43271</v>
      </c>
      <c r="B1540" s="9">
        <v>0.49652777777777773</v>
      </c>
      <c r="C1540" s="10" t="str">
        <f>"FES1162630613"</f>
        <v>FES1162630613</v>
      </c>
      <c r="D1540" s="10" t="s">
        <v>19</v>
      </c>
      <c r="E1540" s="10" t="s">
        <v>851</v>
      </c>
      <c r="F1540" s="10" t="str">
        <f>"2170637535 "</f>
        <v xml:space="preserve">2170637535 </v>
      </c>
      <c r="G1540" s="10" t="str">
        <f t="shared" si="45"/>
        <v>ON1</v>
      </c>
      <c r="H1540" s="10" t="s">
        <v>21</v>
      </c>
      <c r="I1540" s="10" t="s">
        <v>483</v>
      </c>
      <c r="J1540" s="10" t="str">
        <f>""</f>
        <v/>
      </c>
      <c r="K1540" s="10" t="str">
        <f>"PFES1162630613_0001"</f>
        <v>PFES1162630613_0001</v>
      </c>
      <c r="L1540" s="10">
        <v>1</v>
      </c>
      <c r="M1540" s="10">
        <v>1</v>
      </c>
    </row>
    <row r="1541" spans="1:13">
      <c r="A1541" s="8">
        <v>43271</v>
      </c>
      <c r="B1541" s="9">
        <v>0.49583333333333335</v>
      </c>
      <c r="C1541" s="10" t="str">
        <f>"FES1162630616"</f>
        <v>FES1162630616</v>
      </c>
      <c r="D1541" s="10" t="s">
        <v>19</v>
      </c>
      <c r="E1541" s="10" t="s">
        <v>543</v>
      </c>
      <c r="F1541" s="10" t="str">
        <f>"217063751 "</f>
        <v xml:space="preserve">217063751 </v>
      </c>
      <c r="G1541" s="10" t="str">
        <f t="shared" si="45"/>
        <v>ON1</v>
      </c>
      <c r="H1541" s="10" t="s">
        <v>21</v>
      </c>
      <c r="I1541" s="10" t="s">
        <v>544</v>
      </c>
      <c r="J1541" s="10" t="str">
        <f>""</f>
        <v/>
      </c>
      <c r="K1541" s="10" t="str">
        <f>"PFES1162630616_0001"</f>
        <v>PFES1162630616_0001</v>
      </c>
      <c r="L1541" s="10">
        <v>1</v>
      </c>
      <c r="M1541" s="10">
        <v>1</v>
      </c>
    </row>
    <row r="1542" spans="1:13">
      <c r="A1542" s="8">
        <v>43271</v>
      </c>
      <c r="B1542" s="9">
        <v>0.49583333333333335</v>
      </c>
      <c r="C1542" s="10" t="str">
        <f>"FES1162630636"</f>
        <v>FES1162630636</v>
      </c>
      <c r="D1542" s="10" t="s">
        <v>19</v>
      </c>
      <c r="E1542" s="10" t="s">
        <v>169</v>
      </c>
      <c r="F1542" s="10" t="str">
        <f>"2170637568 "</f>
        <v xml:space="preserve">2170637568 </v>
      </c>
      <c r="G1542" s="10" t="str">
        <f t="shared" si="45"/>
        <v>ON1</v>
      </c>
      <c r="H1542" s="10" t="s">
        <v>21</v>
      </c>
      <c r="I1542" s="10" t="s">
        <v>170</v>
      </c>
      <c r="J1542" s="10" t="str">
        <f>""</f>
        <v/>
      </c>
      <c r="K1542" s="10" t="str">
        <f>"PFES1162630636_0001"</f>
        <v>PFES1162630636_0001</v>
      </c>
      <c r="L1542" s="10">
        <v>1</v>
      </c>
      <c r="M1542" s="10">
        <v>3</v>
      </c>
    </row>
    <row r="1543" spans="1:13">
      <c r="A1543" s="8">
        <v>43271</v>
      </c>
      <c r="B1543" s="9">
        <v>0.49583333333333335</v>
      </c>
      <c r="C1543" s="10" t="str">
        <f>"FES1162630609"</f>
        <v>FES1162630609</v>
      </c>
      <c r="D1543" s="10" t="s">
        <v>19</v>
      </c>
      <c r="E1543" s="10" t="s">
        <v>848</v>
      </c>
      <c r="F1543" s="10" t="str">
        <f>"2170637531 "</f>
        <v xml:space="preserve">2170637531 </v>
      </c>
      <c r="G1543" s="10" t="str">
        <f t="shared" si="45"/>
        <v>ON1</v>
      </c>
      <c r="H1543" s="10" t="s">
        <v>21</v>
      </c>
      <c r="I1543" s="10" t="s">
        <v>849</v>
      </c>
      <c r="J1543" s="10" t="str">
        <f>""</f>
        <v/>
      </c>
      <c r="K1543" s="10" t="str">
        <f>"PFES1162630609_0001"</f>
        <v>PFES1162630609_0001</v>
      </c>
      <c r="L1543" s="10">
        <v>1</v>
      </c>
      <c r="M1543" s="10">
        <v>1</v>
      </c>
    </row>
    <row r="1544" spans="1:13">
      <c r="A1544" s="8">
        <v>43271</v>
      </c>
      <c r="B1544" s="9">
        <v>0.49513888888888885</v>
      </c>
      <c r="C1544" s="10" t="str">
        <f>"FES1162630576"</f>
        <v>FES1162630576</v>
      </c>
      <c r="D1544" s="10" t="s">
        <v>19</v>
      </c>
      <c r="E1544" s="10" t="s">
        <v>123</v>
      </c>
      <c r="F1544" s="10" t="str">
        <f>"2170635874 "</f>
        <v xml:space="preserve">2170635874 </v>
      </c>
      <c r="G1544" s="10" t="str">
        <f t="shared" si="45"/>
        <v>ON1</v>
      </c>
      <c r="H1544" s="10" t="s">
        <v>21</v>
      </c>
      <c r="I1544" s="10" t="s">
        <v>26</v>
      </c>
      <c r="J1544" s="10" t="str">
        <f>""</f>
        <v/>
      </c>
      <c r="K1544" s="10" t="str">
        <f>"PFES1162630576_0001"</f>
        <v>PFES1162630576_0001</v>
      </c>
      <c r="L1544" s="10">
        <v>1</v>
      </c>
      <c r="M1544" s="10">
        <v>1</v>
      </c>
    </row>
    <row r="1545" spans="1:13">
      <c r="A1545" s="8">
        <v>43271</v>
      </c>
      <c r="B1545" s="9">
        <v>0.49513888888888885</v>
      </c>
      <c r="C1545" s="10" t="str">
        <f>"FES1162630604"</f>
        <v>FES1162630604</v>
      </c>
      <c r="D1545" s="10" t="s">
        <v>19</v>
      </c>
      <c r="E1545" s="10" t="s">
        <v>851</v>
      </c>
      <c r="F1545" s="10" t="str">
        <f>"2170637524 "</f>
        <v xml:space="preserve">2170637524 </v>
      </c>
      <c r="G1545" s="10" t="str">
        <f t="shared" si="45"/>
        <v>ON1</v>
      </c>
      <c r="H1545" s="10" t="s">
        <v>21</v>
      </c>
      <c r="I1545" s="10" t="s">
        <v>483</v>
      </c>
      <c r="J1545" s="10" t="str">
        <f>""</f>
        <v/>
      </c>
      <c r="K1545" s="10" t="str">
        <f>"PFES1162630604_0001"</f>
        <v>PFES1162630604_0001</v>
      </c>
      <c r="L1545" s="10">
        <v>1</v>
      </c>
      <c r="M1545" s="10">
        <v>1</v>
      </c>
    </row>
    <row r="1546" spans="1:13">
      <c r="A1546" s="8">
        <v>43271</v>
      </c>
      <c r="B1546" s="9">
        <v>0.49444444444444446</v>
      </c>
      <c r="C1546" s="10" t="str">
        <f>"FES1162630645"</f>
        <v>FES1162630645</v>
      </c>
      <c r="D1546" s="10" t="s">
        <v>19</v>
      </c>
      <c r="E1546" s="10" t="s">
        <v>123</v>
      </c>
      <c r="F1546" s="10" t="str">
        <f>"2170635878 "</f>
        <v xml:space="preserve">2170635878 </v>
      </c>
      <c r="G1546" s="10" t="str">
        <f t="shared" si="45"/>
        <v>ON1</v>
      </c>
      <c r="H1546" s="10" t="s">
        <v>21</v>
      </c>
      <c r="I1546" s="10" t="s">
        <v>26</v>
      </c>
      <c r="J1546" s="10" t="str">
        <f>""</f>
        <v/>
      </c>
      <c r="K1546" s="10" t="str">
        <f>"PFES1162630645_0001"</f>
        <v>PFES1162630645_0001</v>
      </c>
      <c r="L1546" s="10">
        <v>1</v>
      </c>
      <c r="M1546" s="10">
        <v>1</v>
      </c>
    </row>
    <row r="1547" spans="1:13">
      <c r="A1547" s="8">
        <v>43271</v>
      </c>
      <c r="B1547" s="9">
        <v>0.49444444444444446</v>
      </c>
      <c r="C1547" s="10" t="str">
        <f>"FES1162630584"</f>
        <v>FES1162630584</v>
      </c>
      <c r="D1547" s="10" t="s">
        <v>19</v>
      </c>
      <c r="E1547" s="10" t="s">
        <v>488</v>
      </c>
      <c r="F1547" s="10" t="str">
        <f>"2170636386 "</f>
        <v xml:space="preserve">2170636386 </v>
      </c>
      <c r="G1547" s="10" t="str">
        <f t="shared" si="45"/>
        <v>ON1</v>
      </c>
      <c r="H1547" s="10" t="s">
        <v>21</v>
      </c>
      <c r="I1547" s="10" t="s">
        <v>207</v>
      </c>
      <c r="J1547" s="10" t="str">
        <f>""</f>
        <v/>
      </c>
      <c r="K1547" s="10" t="str">
        <f>"PFES1162630584_0001"</f>
        <v>PFES1162630584_0001</v>
      </c>
      <c r="L1547" s="10">
        <v>1</v>
      </c>
      <c r="M1547" s="10">
        <v>6</v>
      </c>
    </row>
    <row r="1548" spans="1:13">
      <c r="A1548" s="8">
        <v>43271</v>
      </c>
      <c r="B1548" s="9">
        <v>0.49444444444444446</v>
      </c>
      <c r="C1548" s="10" t="str">
        <f>"FES1162630612"</f>
        <v>FES1162630612</v>
      </c>
      <c r="D1548" s="10" t="s">
        <v>19</v>
      </c>
      <c r="E1548" s="10" t="s">
        <v>851</v>
      </c>
      <c r="F1548" s="10" t="str">
        <f>"2170637534 "</f>
        <v xml:space="preserve">2170637534 </v>
      </c>
      <c r="G1548" s="10" t="str">
        <f t="shared" si="45"/>
        <v>ON1</v>
      </c>
      <c r="H1548" s="10" t="s">
        <v>21</v>
      </c>
      <c r="I1548" s="10" t="s">
        <v>483</v>
      </c>
      <c r="J1548" s="10" t="str">
        <f>""</f>
        <v/>
      </c>
      <c r="K1548" s="10" t="str">
        <f>"PFES1162630612_0001"</f>
        <v>PFES1162630612_0001</v>
      </c>
      <c r="L1548" s="10">
        <v>1</v>
      </c>
      <c r="M1548" s="10">
        <v>1</v>
      </c>
    </row>
    <row r="1549" spans="1:13">
      <c r="A1549" s="8">
        <v>43271</v>
      </c>
      <c r="B1549" s="9">
        <v>0.49374999999999997</v>
      </c>
      <c r="C1549" s="10" t="str">
        <f>"FES1162630606"</f>
        <v>FES1162630606</v>
      </c>
      <c r="D1549" s="10" t="s">
        <v>19</v>
      </c>
      <c r="E1549" s="10" t="s">
        <v>852</v>
      </c>
      <c r="F1549" s="10" t="str">
        <f>"2170637527 "</f>
        <v xml:space="preserve">2170637527 </v>
      </c>
      <c r="G1549" s="10" t="str">
        <f t="shared" si="45"/>
        <v>ON1</v>
      </c>
      <c r="H1549" s="10" t="s">
        <v>21</v>
      </c>
      <c r="I1549" s="10" t="s">
        <v>26</v>
      </c>
      <c r="J1549" s="10" t="str">
        <f>""</f>
        <v/>
      </c>
      <c r="K1549" s="10" t="str">
        <f>"PFES1162630606_0001"</f>
        <v>PFES1162630606_0001</v>
      </c>
      <c r="L1549" s="10">
        <v>1</v>
      </c>
      <c r="M1549" s="10">
        <v>1</v>
      </c>
    </row>
    <row r="1550" spans="1:13">
      <c r="A1550" s="8">
        <v>43271</v>
      </c>
      <c r="B1550" s="9">
        <v>0.49236111111111108</v>
      </c>
      <c r="C1550" s="10" t="str">
        <f>"FES1162630623"</f>
        <v>FES1162630623</v>
      </c>
      <c r="D1550" s="10" t="s">
        <v>19</v>
      </c>
      <c r="E1550" s="10" t="s">
        <v>853</v>
      </c>
      <c r="F1550" s="10" t="str">
        <f>"2170637548 "</f>
        <v xml:space="preserve">2170637548 </v>
      </c>
      <c r="G1550" s="10" t="str">
        <f t="shared" si="45"/>
        <v>ON1</v>
      </c>
      <c r="H1550" s="10" t="s">
        <v>21</v>
      </c>
      <c r="I1550" s="10" t="s">
        <v>59</v>
      </c>
      <c r="J1550" s="10" t="str">
        <f>""</f>
        <v/>
      </c>
      <c r="K1550" s="10" t="str">
        <f>"PFES1162630623_0001"</f>
        <v>PFES1162630623_0001</v>
      </c>
      <c r="L1550" s="10">
        <v>1</v>
      </c>
      <c r="M1550" s="10">
        <v>1</v>
      </c>
    </row>
    <row r="1551" spans="1:13">
      <c r="A1551" s="8">
        <v>43271</v>
      </c>
      <c r="B1551" s="9">
        <v>0.49236111111111108</v>
      </c>
      <c r="C1551" s="10" t="str">
        <f>"FES1162630651"</f>
        <v>FES1162630651</v>
      </c>
      <c r="D1551" s="10" t="s">
        <v>19</v>
      </c>
      <c r="E1551" s="10" t="s">
        <v>684</v>
      </c>
      <c r="F1551" s="10" t="str">
        <f>"2170637582 "</f>
        <v xml:space="preserve">2170637582 </v>
      </c>
      <c r="G1551" s="10" t="str">
        <f t="shared" si="45"/>
        <v>ON1</v>
      </c>
      <c r="H1551" s="10" t="s">
        <v>21</v>
      </c>
      <c r="I1551" s="10" t="s">
        <v>382</v>
      </c>
      <c r="J1551" s="10" t="str">
        <f>""</f>
        <v/>
      </c>
      <c r="K1551" s="10" t="str">
        <f>"PFES1162630651_0001"</f>
        <v>PFES1162630651_0001</v>
      </c>
      <c r="L1551" s="10">
        <v>1</v>
      </c>
      <c r="M1551" s="10">
        <v>1</v>
      </c>
    </row>
    <row r="1552" spans="1:13">
      <c r="A1552" s="8">
        <v>43271</v>
      </c>
      <c r="B1552" s="9">
        <v>0.4909722222222222</v>
      </c>
      <c r="C1552" s="10" t="str">
        <f>"FES1162630661"</f>
        <v>FES1162630661</v>
      </c>
      <c r="D1552" s="10" t="s">
        <v>19</v>
      </c>
      <c r="E1552" s="10" t="s">
        <v>130</v>
      </c>
      <c r="F1552" s="10" t="str">
        <f>"2170637601 "</f>
        <v xml:space="preserve">2170637601 </v>
      </c>
      <c r="G1552" s="10" t="str">
        <f t="shared" si="45"/>
        <v>ON1</v>
      </c>
      <c r="H1552" s="10" t="s">
        <v>21</v>
      </c>
      <c r="I1552" s="10" t="s">
        <v>131</v>
      </c>
      <c r="J1552" s="10" t="str">
        <f>""</f>
        <v/>
      </c>
      <c r="K1552" s="10" t="str">
        <f>"PFES1162630661_0001"</f>
        <v>PFES1162630661_0001</v>
      </c>
      <c r="L1552" s="10">
        <v>1</v>
      </c>
      <c r="M1552" s="10">
        <v>1</v>
      </c>
    </row>
    <row r="1553" spans="1:13">
      <c r="A1553" s="8">
        <v>43271</v>
      </c>
      <c r="B1553" s="9">
        <v>0.4909722222222222</v>
      </c>
      <c r="C1553" s="10" t="str">
        <f>"FES1162630607"</f>
        <v>FES1162630607</v>
      </c>
      <c r="D1553" s="10" t="s">
        <v>19</v>
      </c>
      <c r="E1553" s="10" t="s">
        <v>94</v>
      </c>
      <c r="F1553" s="10" t="str">
        <f>"2170637528 "</f>
        <v xml:space="preserve">2170637528 </v>
      </c>
      <c r="G1553" s="10" t="str">
        <f t="shared" si="45"/>
        <v>ON1</v>
      </c>
      <c r="H1553" s="10" t="s">
        <v>21</v>
      </c>
      <c r="I1553" s="10" t="s">
        <v>55</v>
      </c>
      <c r="J1553" s="10" t="str">
        <f>""</f>
        <v/>
      </c>
      <c r="K1553" s="10" t="str">
        <f>"PFES1162630607_0001"</f>
        <v>PFES1162630607_0001</v>
      </c>
      <c r="L1553" s="10">
        <v>1</v>
      </c>
      <c r="M1553" s="10">
        <v>19</v>
      </c>
    </row>
    <row r="1554" spans="1:13">
      <c r="A1554" s="8">
        <v>43271</v>
      </c>
      <c r="B1554" s="9">
        <v>0.49027777777777781</v>
      </c>
      <c r="C1554" s="10" t="str">
        <f>"FES1162630656"</f>
        <v>FES1162630656</v>
      </c>
      <c r="D1554" s="10" t="s">
        <v>19</v>
      </c>
      <c r="E1554" s="10" t="s">
        <v>854</v>
      </c>
      <c r="F1554" s="10" t="str">
        <f>"2170637592 "</f>
        <v xml:space="preserve">2170637592 </v>
      </c>
      <c r="G1554" s="10" t="str">
        <f t="shared" si="45"/>
        <v>ON1</v>
      </c>
      <c r="H1554" s="10" t="s">
        <v>21</v>
      </c>
      <c r="I1554" s="10" t="s">
        <v>75</v>
      </c>
      <c r="J1554" s="10" t="str">
        <f>""</f>
        <v/>
      </c>
      <c r="K1554" s="10" t="str">
        <f>"PFES1162630656_0001"</f>
        <v>PFES1162630656_0001</v>
      </c>
      <c r="L1554" s="10">
        <v>1</v>
      </c>
      <c r="M1554" s="10">
        <v>1</v>
      </c>
    </row>
    <row r="1555" spans="1:13">
      <c r="A1555" s="8">
        <v>43271</v>
      </c>
      <c r="B1555" s="9">
        <v>0.49027777777777781</v>
      </c>
      <c r="C1555" s="10" t="str">
        <f>"FES1162630599"</f>
        <v>FES1162630599</v>
      </c>
      <c r="D1555" s="10" t="s">
        <v>19</v>
      </c>
      <c r="E1555" s="10" t="s">
        <v>434</v>
      </c>
      <c r="F1555" s="10" t="str">
        <f>"2170637515 "</f>
        <v xml:space="preserve">2170637515 </v>
      </c>
      <c r="G1555" s="10" t="str">
        <f t="shared" si="45"/>
        <v>ON1</v>
      </c>
      <c r="H1555" s="10" t="s">
        <v>21</v>
      </c>
      <c r="I1555" s="10" t="s">
        <v>349</v>
      </c>
      <c r="J1555" s="10" t="str">
        <f>""</f>
        <v/>
      </c>
      <c r="K1555" s="10" t="str">
        <f>"PFES1162630599_0001"</f>
        <v>PFES1162630599_0001</v>
      </c>
      <c r="L1555" s="10">
        <v>1</v>
      </c>
      <c r="M1555" s="10">
        <v>1</v>
      </c>
    </row>
    <row r="1556" spans="1:13">
      <c r="A1556" s="8">
        <v>43271</v>
      </c>
      <c r="B1556" s="9">
        <v>0.48958333333333331</v>
      </c>
      <c r="C1556" s="10" t="str">
        <f>"FES1162630657"</f>
        <v>FES1162630657</v>
      </c>
      <c r="D1556" s="10" t="s">
        <v>19</v>
      </c>
      <c r="E1556" s="10" t="s">
        <v>56</v>
      </c>
      <c r="F1556" s="10" t="str">
        <f>"2170635022 "</f>
        <v xml:space="preserve">2170635022 </v>
      </c>
      <c r="G1556" s="10" t="str">
        <f t="shared" si="45"/>
        <v>ON1</v>
      </c>
      <c r="H1556" s="10" t="s">
        <v>21</v>
      </c>
      <c r="I1556" s="10" t="s">
        <v>57</v>
      </c>
      <c r="J1556" s="10" t="str">
        <f>""</f>
        <v/>
      </c>
      <c r="K1556" s="10" t="str">
        <f>"PFES1162630657_0001"</f>
        <v>PFES1162630657_0001</v>
      </c>
      <c r="L1556" s="10">
        <v>1</v>
      </c>
      <c r="M1556" s="10">
        <v>4</v>
      </c>
    </row>
    <row r="1557" spans="1:13">
      <c r="A1557" s="8">
        <v>43271</v>
      </c>
      <c r="B1557" s="9">
        <v>0.48888888888888887</v>
      </c>
      <c r="C1557" s="10" t="str">
        <f>"FES1162630633"</f>
        <v>FES1162630633</v>
      </c>
      <c r="D1557" s="10" t="s">
        <v>19</v>
      </c>
      <c r="E1557" s="10" t="s">
        <v>809</v>
      </c>
      <c r="F1557" s="10" t="str">
        <f>"2170637563 "</f>
        <v xml:space="preserve">2170637563 </v>
      </c>
      <c r="G1557" s="10" t="str">
        <f t="shared" si="45"/>
        <v>ON1</v>
      </c>
      <c r="H1557" s="10" t="s">
        <v>21</v>
      </c>
      <c r="I1557" s="10" t="s">
        <v>810</v>
      </c>
      <c r="J1557" s="10" t="str">
        <f>""</f>
        <v/>
      </c>
      <c r="K1557" s="10" t="str">
        <f>"PFES1162630633_0001"</f>
        <v>PFES1162630633_0001</v>
      </c>
      <c r="L1557" s="10">
        <v>1</v>
      </c>
      <c r="M1557" s="10">
        <v>1</v>
      </c>
    </row>
    <row r="1558" spans="1:13">
      <c r="A1558" s="8">
        <v>43271</v>
      </c>
      <c r="B1558" s="9">
        <v>0.48888888888888887</v>
      </c>
      <c r="C1558" s="10" t="str">
        <f>"FES1162630595"</f>
        <v>FES1162630595</v>
      </c>
      <c r="D1558" s="10" t="s">
        <v>19</v>
      </c>
      <c r="E1558" s="10" t="s">
        <v>121</v>
      </c>
      <c r="F1558" s="10" t="str">
        <f>"2170637457 "</f>
        <v xml:space="preserve">2170637457 </v>
      </c>
      <c r="G1558" s="10" t="str">
        <f t="shared" si="45"/>
        <v>ON1</v>
      </c>
      <c r="H1558" s="10" t="s">
        <v>21</v>
      </c>
      <c r="I1558" s="10" t="s">
        <v>79</v>
      </c>
      <c r="J1558" s="10" t="str">
        <f>""</f>
        <v/>
      </c>
      <c r="K1558" s="10" t="str">
        <f>"PFES1162630595_0001"</f>
        <v>PFES1162630595_0001</v>
      </c>
      <c r="L1558" s="10">
        <v>1</v>
      </c>
      <c r="M1558" s="10">
        <v>1</v>
      </c>
    </row>
    <row r="1559" spans="1:13">
      <c r="A1559" s="8">
        <v>43271</v>
      </c>
      <c r="B1559" s="9">
        <v>0.48819444444444443</v>
      </c>
      <c r="C1559" s="10" t="str">
        <f>"FES1162630640"</f>
        <v>FES1162630640</v>
      </c>
      <c r="D1559" s="10" t="s">
        <v>19</v>
      </c>
      <c r="E1559" s="10" t="s">
        <v>105</v>
      </c>
      <c r="F1559" s="10" t="str">
        <f>"2170629604 "</f>
        <v xml:space="preserve">2170629604 </v>
      </c>
      <c r="G1559" s="10" t="str">
        <f>"DBC"</f>
        <v>DBC</v>
      </c>
      <c r="H1559" s="10" t="s">
        <v>21</v>
      </c>
      <c r="I1559" s="10" t="s">
        <v>106</v>
      </c>
      <c r="J1559" s="10" t="str">
        <f>""</f>
        <v/>
      </c>
      <c r="K1559" s="10" t="str">
        <f>"PFES1162630640_0001"</f>
        <v>PFES1162630640_0001</v>
      </c>
      <c r="L1559" s="10">
        <v>1</v>
      </c>
      <c r="M1559" s="10">
        <v>22</v>
      </c>
    </row>
    <row r="1560" spans="1:13">
      <c r="A1560" s="8">
        <v>43271</v>
      </c>
      <c r="B1560" s="9">
        <v>0.48819444444444443</v>
      </c>
      <c r="C1560" s="10" t="str">
        <f>"FES1162630619"</f>
        <v>FES1162630619</v>
      </c>
      <c r="D1560" s="10" t="s">
        <v>19</v>
      </c>
      <c r="E1560" s="10" t="s">
        <v>117</v>
      </c>
      <c r="F1560" s="10" t="str">
        <f>"2170637544 "</f>
        <v xml:space="preserve">2170637544 </v>
      </c>
      <c r="G1560" s="10" t="str">
        <f t="shared" ref="G1560:G1599" si="46">"ON1"</f>
        <v>ON1</v>
      </c>
      <c r="H1560" s="10" t="s">
        <v>21</v>
      </c>
      <c r="I1560" s="10" t="s">
        <v>118</v>
      </c>
      <c r="J1560" s="10" t="str">
        <f>""</f>
        <v/>
      </c>
      <c r="K1560" s="10" t="str">
        <f>"PFES1162630619_0001"</f>
        <v>PFES1162630619_0001</v>
      </c>
      <c r="L1560" s="10">
        <v>1</v>
      </c>
      <c r="M1560" s="10">
        <v>1</v>
      </c>
    </row>
    <row r="1561" spans="1:13">
      <c r="A1561" s="8">
        <v>43271</v>
      </c>
      <c r="B1561" s="9">
        <v>0.48819444444444443</v>
      </c>
      <c r="C1561" s="10" t="str">
        <f>"FES1162630650"</f>
        <v>FES1162630650</v>
      </c>
      <c r="D1561" s="10" t="s">
        <v>19</v>
      </c>
      <c r="E1561" s="10" t="s">
        <v>126</v>
      </c>
      <c r="F1561" s="10" t="str">
        <f>"2170637579 "</f>
        <v xml:space="preserve">2170637579 </v>
      </c>
      <c r="G1561" s="10" t="str">
        <f t="shared" si="46"/>
        <v>ON1</v>
      </c>
      <c r="H1561" s="10" t="s">
        <v>21</v>
      </c>
      <c r="I1561" s="10" t="s">
        <v>100</v>
      </c>
      <c r="J1561" s="10" t="str">
        <f>""</f>
        <v/>
      </c>
      <c r="K1561" s="10" t="str">
        <f>"PFES1162630650_0001"</f>
        <v>PFES1162630650_0001</v>
      </c>
      <c r="L1561" s="10">
        <v>1</v>
      </c>
      <c r="M1561" s="10">
        <v>1</v>
      </c>
    </row>
    <row r="1562" spans="1:13">
      <c r="A1562" s="8">
        <v>43271</v>
      </c>
      <c r="B1562" s="9">
        <v>0.48749999999999999</v>
      </c>
      <c r="C1562" s="10" t="str">
        <f>"FES1162630591"</f>
        <v>FES1162630591</v>
      </c>
      <c r="D1562" s="10" t="s">
        <v>19</v>
      </c>
      <c r="E1562" s="10" t="s">
        <v>95</v>
      </c>
      <c r="F1562" s="10" t="str">
        <f>"2170637003 "</f>
        <v xml:space="preserve">2170637003 </v>
      </c>
      <c r="G1562" s="10" t="str">
        <f t="shared" si="46"/>
        <v>ON1</v>
      </c>
      <c r="H1562" s="10" t="s">
        <v>21</v>
      </c>
      <c r="I1562" s="10" t="s">
        <v>96</v>
      </c>
      <c r="J1562" s="10" t="str">
        <f>""</f>
        <v/>
      </c>
      <c r="K1562" s="10" t="str">
        <f>"PFES1162630591_0001"</f>
        <v>PFES1162630591_0001</v>
      </c>
      <c r="L1562" s="10">
        <v>1</v>
      </c>
      <c r="M1562" s="10">
        <v>4</v>
      </c>
    </row>
    <row r="1563" spans="1:13">
      <c r="A1563" s="8">
        <v>43271</v>
      </c>
      <c r="B1563" s="9">
        <v>0.48680555555555555</v>
      </c>
      <c r="C1563" s="10" t="str">
        <f>"FES1162630581"</f>
        <v>FES1162630581</v>
      </c>
      <c r="D1563" s="10" t="s">
        <v>19</v>
      </c>
      <c r="E1563" s="10" t="s">
        <v>181</v>
      </c>
      <c r="F1563" s="10" t="str">
        <f>"2170636054 "</f>
        <v xml:space="preserve">2170636054 </v>
      </c>
      <c r="G1563" s="10" t="str">
        <f t="shared" si="46"/>
        <v>ON1</v>
      </c>
      <c r="H1563" s="10" t="s">
        <v>21</v>
      </c>
      <c r="I1563" s="10" t="s">
        <v>182</v>
      </c>
      <c r="J1563" s="10" t="str">
        <f>""</f>
        <v/>
      </c>
      <c r="K1563" s="10" t="str">
        <f>"PFES1162630581_0001"</f>
        <v>PFES1162630581_0001</v>
      </c>
      <c r="L1563" s="10">
        <v>1</v>
      </c>
      <c r="M1563" s="10">
        <v>1</v>
      </c>
    </row>
    <row r="1564" spans="1:13">
      <c r="A1564" s="8">
        <v>43271</v>
      </c>
      <c r="B1564" s="9">
        <v>0.48680555555555555</v>
      </c>
      <c r="C1564" s="10" t="str">
        <f>"FES1162630639"</f>
        <v>FES1162630639</v>
      </c>
      <c r="D1564" s="10" t="s">
        <v>19</v>
      </c>
      <c r="E1564" s="10" t="s">
        <v>67</v>
      </c>
      <c r="F1564" s="10" t="str">
        <f>"217069368 "</f>
        <v xml:space="preserve">217069368 </v>
      </c>
      <c r="G1564" s="10" t="str">
        <f t="shared" si="46"/>
        <v>ON1</v>
      </c>
      <c r="H1564" s="10" t="s">
        <v>21</v>
      </c>
      <c r="I1564" s="10" t="s">
        <v>397</v>
      </c>
      <c r="J1564" s="10" t="str">
        <f>""</f>
        <v/>
      </c>
      <c r="K1564" s="10" t="str">
        <f>"PFES1162630639_0001"</f>
        <v>PFES1162630639_0001</v>
      </c>
      <c r="L1564" s="10">
        <v>1</v>
      </c>
      <c r="M1564" s="10">
        <v>1</v>
      </c>
    </row>
    <row r="1565" spans="1:13">
      <c r="A1565" s="8">
        <v>43271</v>
      </c>
      <c r="B1565" s="9">
        <v>0.4861111111111111</v>
      </c>
      <c r="C1565" s="10" t="str">
        <f>"FES1162630628"</f>
        <v>FES1162630628</v>
      </c>
      <c r="D1565" s="10" t="s">
        <v>19</v>
      </c>
      <c r="E1565" s="10" t="s">
        <v>132</v>
      </c>
      <c r="F1565" s="10" t="str">
        <f>"217063537 "</f>
        <v xml:space="preserve">217063537 </v>
      </c>
      <c r="G1565" s="10" t="str">
        <f t="shared" si="46"/>
        <v>ON1</v>
      </c>
      <c r="H1565" s="10" t="s">
        <v>21</v>
      </c>
      <c r="I1565" s="10" t="s">
        <v>69</v>
      </c>
      <c r="J1565" s="10" t="str">
        <f>""</f>
        <v/>
      </c>
      <c r="K1565" s="10" t="str">
        <f>"PFES1162630628_0001"</f>
        <v>PFES1162630628_0001</v>
      </c>
      <c r="L1565" s="10">
        <v>1</v>
      </c>
      <c r="M1565" s="10">
        <v>1</v>
      </c>
    </row>
    <row r="1566" spans="1:13">
      <c r="A1566" s="8">
        <v>43271</v>
      </c>
      <c r="B1566" s="9">
        <v>0.4861111111111111</v>
      </c>
      <c r="C1566" s="10" t="str">
        <f>"FES1162630649"</f>
        <v>FES1162630649</v>
      </c>
      <c r="D1566" s="10" t="s">
        <v>19</v>
      </c>
      <c r="E1566" s="10" t="s">
        <v>855</v>
      </c>
      <c r="F1566" s="10" t="str">
        <f>"2170637587 "</f>
        <v xml:space="preserve">2170637587 </v>
      </c>
      <c r="G1566" s="10" t="str">
        <f t="shared" si="46"/>
        <v>ON1</v>
      </c>
      <c r="H1566" s="10" t="s">
        <v>21</v>
      </c>
      <c r="I1566" s="10" t="s">
        <v>104</v>
      </c>
      <c r="J1566" s="10" t="str">
        <f>""</f>
        <v/>
      </c>
      <c r="K1566" s="10" t="str">
        <f>"PFES1162630649_0001"</f>
        <v>PFES1162630649_0001</v>
      </c>
      <c r="L1566" s="10">
        <v>1</v>
      </c>
      <c r="M1566" s="10">
        <v>3</v>
      </c>
    </row>
    <row r="1567" spans="1:13">
      <c r="A1567" s="8">
        <v>43271</v>
      </c>
      <c r="B1567" s="9">
        <v>0.48472222222222222</v>
      </c>
      <c r="C1567" s="10" t="str">
        <f>"FES1162630566"</f>
        <v>FES1162630566</v>
      </c>
      <c r="D1567" s="10" t="s">
        <v>19</v>
      </c>
      <c r="E1567" s="10" t="s">
        <v>167</v>
      </c>
      <c r="F1567" s="10" t="str">
        <f>"2170630631152 "</f>
        <v xml:space="preserve">2170630631152 </v>
      </c>
      <c r="G1567" s="10" t="str">
        <f t="shared" si="46"/>
        <v>ON1</v>
      </c>
      <c r="H1567" s="10" t="s">
        <v>21</v>
      </c>
      <c r="I1567" s="10" t="s">
        <v>168</v>
      </c>
      <c r="J1567" s="10" t="str">
        <f>""</f>
        <v/>
      </c>
      <c r="K1567" s="10" t="str">
        <f>"PFES1162630566_0001"</f>
        <v>PFES1162630566_0001</v>
      </c>
      <c r="L1567" s="10">
        <v>1</v>
      </c>
      <c r="M1567" s="10">
        <v>4</v>
      </c>
    </row>
    <row r="1568" spans="1:13">
      <c r="A1568" s="8">
        <v>43271</v>
      </c>
      <c r="B1568" s="9">
        <v>0.48333333333333334</v>
      </c>
      <c r="C1568" s="10" t="str">
        <f>"FES1162630438"</f>
        <v>FES1162630438</v>
      </c>
      <c r="D1568" s="10" t="s">
        <v>19</v>
      </c>
      <c r="E1568" s="10" t="s">
        <v>291</v>
      </c>
      <c r="F1568" s="10" t="str">
        <f>"2170637342 "</f>
        <v xml:space="preserve">2170637342 </v>
      </c>
      <c r="G1568" s="10" t="str">
        <f t="shared" si="46"/>
        <v>ON1</v>
      </c>
      <c r="H1568" s="10" t="s">
        <v>21</v>
      </c>
      <c r="I1568" s="10" t="s">
        <v>292</v>
      </c>
      <c r="J1568" s="10" t="str">
        <f>""</f>
        <v/>
      </c>
      <c r="K1568" s="10" t="str">
        <f>"PFES1162630438_0001"</f>
        <v>PFES1162630438_0001</v>
      </c>
      <c r="L1568" s="10">
        <v>1</v>
      </c>
      <c r="M1568" s="10">
        <v>6</v>
      </c>
    </row>
    <row r="1569" spans="1:13">
      <c r="A1569" s="8">
        <v>43271</v>
      </c>
      <c r="B1569" s="9">
        <v>0.48125000000000001</v>
      </c>
      <c r="C1569" s="10" t="str">
        <f>"FES1162630624"</f>
        <v>FES1162630624</v>
      </c>
      <c r="D1569" s="10" t="s">
        <v>19</v>
      </c>
      <c r="E1569" s="10" t="s">
        <v>117</v>
      </c>
      <c r="F1569" s="10" t="str">
        <f>"2170637550 "</f>
        <v xml:space="preserve">2170637550 </v>
      </c>
      <c r="G1569" s="10" t="str">
        <f t="shared" si="46"/>
        <v>ON1</v>
      </c>
      <c r="H1569" s="10" t="s">
        <v>21</v>
      </c>
      <c r="I1569" s="10" t="s">
        <v>118</v>
      </c>
      <c r="J1569" s="10" t="str">
        <f>""</f>
        <v/>
      </c>
      <c r="K1569" s="10" t="str">
        <f>"PFES1162630624_0001"</f>
        <v>PFES1162630624_0001</v>
      </c>
      <c r="L1569" s="10">
        <v>1</v>
      </c>
      <c r="M1569" s="10">
        <v>9</v>
      </c>
    </row>
    <row r="1570" spans="1:13">
      <c r="A1570" s="8">
        <v>43271</v>
      </c>
      <c r="B1570" s="9">
        <v>0.48055555555555557</v>
      </c>
      <c r="C1570" s="10" t="str">
        <f>"FES1162630627"</f>
        <v>FES1162630627</v>
      </c>
      <c r="D1570" s="10" t="s">
        <v>19</v>
      </c>
      <c r="E1570" s="10" t="s">
        <v>140</v>
      </c>
      <c r="F1570" s="10" t="str">
        <f>"2170637560 "</f>
        <v xml:space="preserve">2170637560 </v>
      </c>
      <c r="G1570" s="10" t="str">
        <f t="shared" si="46"/>
        <v>ON1</v>
      </c>
      <c r="H1570" s="10" t="s">
        <v>21</v>
      </c>
      <c r="I1570" s="10" t="s">
        <v>141</v>
      </c>
      <c r="J1570" s="10" t="str">
        <f>""</f>
        <v/>
      </c>
      <c r="K1570" s="10" t="str">
        <f>"PFES1162630627_0001"</f>
        <v>PFES1162630627_0001</v>
      </c>
      <c r="L1570" s="10">
        <v>1</v>
      </c>
      <c r="M1570" s="10">
        <v>11</v>
      </c>
    </row>
    <row r="1571" spans="1:13">
      <c r="A1571" s="8">
        <v>43271</v>
      </c>
      <c r="B1571" s="9">
        <v>0.47222222222222227</v>
      </c>
      <c r="C1571" s="10" t="str">
        <f>"FES1162630574"</f>
        <v>FES1162630574</v>
      </c>
      <c r="D1571" s="10" t="s">
        <v>19</v>
      </c>
      <c r="E1571" s="10" t="s">
        <v>120</v>
      </c>
      <c r="F1571" s="10" t="str">
        <f>"2170635817 "</f>
        <v xml:space="preserve">2170635817 </v>
      </c>
      <c r="G1571" s="10" t="str">
        <f t="shared" si="46"/>
        <v>ON1</v>
      </c>
      <c r="H1571" s="10" t="s">
        <v>21</v>
      </c>
      <c r="I1571" s="10" t="s">
        <v>38</v>
      </c>
      <c r="J1571" s="10" t="str">
        <f>""</f>
        <v/>
      </c>
      <c r="K1571" s="10" t="str">
        <f>"PFES1162630574_0001"</f>
        <v>PFES1162630574_0001</v>
      </c>
      <c r="L1571" s="10">
        <v>1</v>
      </c>
      <c r="M1571" s="10">
        <v>1</v>
      </c>
    </row>
    <row r="1572" spans="1:13">
      <c r="A1572" s="8">
        <v>43271</v>
      </c>
      <c r="B1572" s="9">
        <v>0.47222222222222227</v>
      </c>
      <c r="C1572" s="10" t="str">
        <f>"FES1162630596"</f>
        <v>FES1162630596</v>
      </c>
      <c r="D1572" s="10" t="s">
        <v>19</v>
      </c>
      <c r="E1572" s="10" t="s">
        <v>410</v>
      </c>
      <c r="F1572" s="10" t="str">
        <f>"2170637473 "</f>
        <v xml:space="preserve">2170637473 </v>
      </c>
      <c r="G1572" s="10" t="str">
        <f t="shared" si="46"/>
        <v>ON1</v>
      </c>
      <c r="H1572" s="10" t="s">
        <v>21</v>
      </c>
      <c r="I1572" s="10" t="s">
        <v>42</v>
      </c>
      <c r="J1572" s="10" t="str">
        <f>""</f>
        <v/>
      </c>
      <c r="K1572" s="10" t="str">
        <f>"PFES1162630596_0001"</f>
        <v>PFES1162630596_0001</v>
      </c>
      <c r="L1572" s="10">
        <v>1</v>
      </c>
      <c r="M1572" s="10">
        <v>1</v>
      </c>
    </row>
    <row r="1573" spans="1:13">
      <c r="A1573" s="8">
        <v>43271</v>
      </c>
      <c r="B1573" s="9">
        <v>0.47152777777777777</v>
      </c>
      <c r="C1573" s="10" t="str">
        <f>"FES1162630571"</f>
        <v>FES1162630571</v>
      </c>
      <c r="D1573" s="10" t="s">
        <v>19</v>
      </c>
      <c r="E1573" s="10" t="s">
        <v>656</v>
      </c>
      <c r="F1573" s="10" t="str">
        <f>"2170635084 "</f>
        <v xml:space="preserve">2170635084 </v>
      </c>
      <c r="G1573" s="10" t="str">
        <f t="shared" si="46"/>
        <v>ON1</v>
      </c>
      <c r="H1573" s="10" t="s">
        <v>21</v>
      </c>
      <c r="I1573" s="10" t="s">
        <v>42</v>
      </c>
      <c r="J1573" s="10" t="str">
        <f>""</f>
        <v/>
      </c>
      <c r="K1573" s="10" t="str">
        <f>"PFES1162630571_0001"</f>
        <v>PFES1162630571_0001</v>
      </c>
      <c r="L1573" s="10">
        <v>1</v>
      </c>
      <c r="M1573" s="10">
        <v>1</v>
      </c>
    </row>
    <row r="1574" spans="1:13">
      <c r="A1574" s="8">
        <v>43271</v>
      </c>
      <c r="B1574" s="9">
        <v>0.47152777777777777</v>
      </c>
      <c r="C1574" s="10" t="str">
        <f>"FES1162630597"</f>
        <v>FES1162630597</v>
      </c>
      <c r="D1574" s="10" t="s">
        <v>19</v>
      </c>
      <c r="E1574" s="10" t="s">
        <v>770</v>
      </c>
      <c r="F1574" s="10" t="str">
        <f>"2170637505 "</f>
        <v xml:space="preserve">2170637505 </v>
      </c>
      <c r="G1574" s="10" t="str">
        <f t="shared" si="46"/>
        <v>ON1</v>
      </c>
      <c r="H1574" s="10" t="s">
        <v>21</v>
      </c>
      <c r="I1574" s="10" t="s">
        <v>63</v>
      </c>
      <c r="J1574" s="10" t="str">
        <f>""</f>
        <v/>
      </c>
      <c r="K1574" s="10" t="str">
        <f>"PFES1162630597_0001"</f>
        <v>PFES1162630597_0001</v>
      </c>
      <c r="L1574" s="10">
        <v>1</v>
      </c>
      <c r="M1574" s="10">
        <v>1</v>
      </c>
    </row>
    <row r="1575" spans="1:13">
      <c r="A1575" s="8">
        <v>43271</v>
      </c>
      <c r="B1575" s="9">
        <v>0.47083333333333338</v>
      </c>
      <c r="C1575" s="10" t="str">
        <f>"FES1162630664"</f>
        <v>FES1162630664</v>
      </c>
      <c r="D1575" s="10" t="s">
        <v>19</v>
      </c>
      <c r="E1575" s="10" t="s">
        <v>362</v>
      </c>
      <c r="F1575" s="10" t="str">
        <f>"2170637605 "</f>
        <v xml:space="preserve">2170637605 </v>
      </c>
      <c r="G1575" s="10" t="str">
        <f t="shared" si="46"/>
        <v>ON1</v>
      </c>
      <c r="H1575" s="10" t="s">
        <v>21</v>
      </c>
      <c r="I1575" s="10" t="s">
        <v>363</v>
      </c>
      <c r="J1575" s="10" t="str">
        <f>""</f>
        <v/>
      </c>
      <c r="K1575" s="10" t="str">
        <f>"PFES1162630664_0001"</f>
        <v>PFES1162630664_0001</v>
      </c>
      <c r="L1575" s="10">
        <v>1</v>
      </c>
      <c r="M1575" s="10">
        <v>1</v>
      </c>
    </row>
    <row r="1576" spans="1:13">
      <c r="A1576" s="8">
        <v>43271</v>
      </c>
      <c r="B1576" s="9">
        <v>0.47083333333333338</v>
      </c>
      <c r="C1576" s="10" t="str">
        <f>"FES1162630677"</f>
        <v>FES1162630677</v>
      </c>
      <c r="D1576" s="10" t="s">
        <v>19</v>
      </c>
      <c r="E1576" s="10" t="s">
        <v>140</v>
      </c>
      <c r="F1576" s="10" t="str">
        <f>"2170637618 "</f>
        <v xml:space="preserve">2170637618 </v>
      </c>
      <c r="G1576" s="10" t="str">
        <f t="shared" si="46"/>
        <v>ON1</v>
      </c>
      <c r="H1576" s="10" t="s">
        <v>21</v>
      </c>
      <c r="I1576" s="10" t="s">
        <v>141</v>
      </c>
      <c r="J1576" s="10" t="str">
        <f>""</f>
        <v/>
      </c>
      <c r="K1576" s="10" t="str">
        <f>"PFES1162630677_0001"</f>
        <v>PFES1162630677_0001</v>
      </c>
      <c r="L1576" s="10">
        <v>1</v>
      </c>
      <c r="M1576" s="10">
        <v>1</v>
      </c>
    </row>
    <row r="1577" spans="1:13">
      <c r="A1577" s="8">
        <v>43271</v>
      </c>
      <c r="B1577" s="9">
        <v>0.47013888888888888</v>
      </c>
      <c r="C1577" s="10" t="str">
        <f>"FES1162630579"</f>
        <v>FES1162630579</v>
      </c>
      <c r="D1577" s="10" t="s">
        <v>19</v>
      </c>
      <c r="E1577" s="10" t="s">
        <v>60</v>
      </c>
      <c r="F1577" s="10" t="str">
        <f>"2170635895 "</f>
        <v xml:space="preserve">2170635895 </v>
      </c>
      <c r="G1577" s="10" t="str">
        <f t="shared" si="46"/>
        <v>ON1</v>
      </c>
      <c r="H1577" s="10" t="s">
        <v>21</v>
      </c>
      <c r="I1577" s="10" t="s">
        <v>61</v>
      </c>
      <c r="J1577" s="10" t="str">
        <f>""</f>
        <v/>
      </c>
      <c r="K1577" s="10" t="str">
        <f>"PFES1162630579_0001"</f>
        <v>PFES1162630579_0001</v>
      </c>
      <c r="L1577" s="10">
        <v>1</v>
      </c>
      <c r="M1577" s="10">
        <v>1</v>
      </c>
    </row>
    <row r="1578" spans="1:13">
      <c r="A1578" s="8">
        <v>43271</v>
      </c>
      <c r="B1578" s="9">
        <v>0.47013888888888888</v>
      </c>
      <c r="C1578" s="10" t="str">
        <f>"FES1162630663"</f>
        <v>FES1162630663</v>
      </c>
      <c r="D1578" s="10" t="s">
        <v>19</v>
      </c>
      <c r="E1578" s="10" t="s">
        <v>95</v>
      </c>
      <c r="F1578" s="10" t="str">
        <f>"217063604 "</f>
        <v xml:space="preserve">217063604 </v>
      </c>
      <c r="G1578" s="10" t="str">
        <f t="shared" si="46"/>
        <v>ON1</v>
      </c>
      <c r="H1578" s="10" t="s">
        <v>21</v>
      </c>
      <c r="I1578" s="10" t="s">
        <v>96</v>
      </c>
      <c r="J1578" s="10" t="str">
        <f>""</f>
        <v/>
      </c>
      <c r="K1578" s="10" t="str">
        <f>"PFES1162630663_0001"</f>
        <v>PFES1162630663_0001</v>
      </c>
      <c r="L1578" s="10">
        <v>1</v>
      </c>
      <c r="M1578" s="10">
        <v>1</v>
      </c>
    </row>
    <row r="1579" spans="1:13">
      <c r="A1579" s="8">
        <v>43271</v>
      </c>
      <c r="B1579" s="9">
        <v>0.47013888888888888</v>
      </c>
      <c r="C1579" s="10" t="str">
        <f>"FES1162630588"</f>
        <v>FES1162630588</v>
      </c>
      <c r="D1579" s="10" t="s">
        <v>19</v>
      </c>
      <c r="E1579" s="10" t="s">
        <v>145</v>
      </c>
      <c r="F1579" s="10" t="str">
        <f>"2170636565 "</f>
        <v xml:space="preserve">2170636565 </v>
      </c>
      <c r="G1579" s="10" t="str">
        <f t="shared" si="46"/>
        <v>ON1</v>
      </c>
      <c r="H1579" s="10" t="s">
        <v>21</v>
      </c>
      <c r="I1579" s="10" t="s">
        <v>146</v>
      </c>
      <c r="J1579" s="10" t="str">
        <f>""</f>
        <v/>
      </c>
      <c r="K1579" s="10" t="str">
        <f>"PFES1162630588_0001"</f>
        <v>PFES1162630588_0001</v>
      </c>
      <c r="L1579" s="10">
        <v>1</v>
      </c>
      <c r="M1579" s="10">
        <v>1</v>
      </c>
    </row>
    <row r="1580" spans="1:13">
      <c r="A1580" s="8">
        <v>43271</v>
      </c>
      <c r="B1580" s="9">
        <v>0.4694444444444445</v>
      </c>
      <c r="C1580" s="10" t="str">
        <f>"FES1162630617"</f>
        <v>FES1162630617</v>
      </c>
      <c r="D1580" s="10" t="s">
        <v>19</v>
      </c>
      <c r="E1580" s="10" t="s">
        <v>56</v>
      </c>
      <c r="F1580" s="10" t="str">
        <f>"2170637542 "</f>
        <v xml:space="preserve">2170637542 </v>
      </c>
      <c r="G1580" s="10" t="str">
        <f t="shared" si="46"/>
        <v>ON1</v>
      </c>
      <c r="H1580" s="10" t="s">
        <v>21</v>
      </c>
      <c r="I1580" s="10" t="s">
        <v>57</v>
      </c>
      <c r="J1580" s="10" t="str">
        <f>""</f>
        <v/>
      </c>
      <c r="K1580" s="10" t="str">
        <f>"PFES1162630617_0001"</f>
        <v>PFES1162630617_0001</v>
      </c>
      <c r="L1580" s="10">
        <v>1</v>
      </c>
      <c r="M1580" s="10">
        <v>1</v>
      </c>
    </row>
    <row r="1581" spans="1:13">
      <c r="A1581" s="8">
        <v>43271</v>
      </c>
      <c r="B1581" s="9">
        <v>0.45277777777777778</v>
      </c>
      <c r="C1581" s="10" t="str">
        <f>"FES1162630620"</f>
        <v>FES1162630620</v>
      </c>
      <c r="D1581" s="10" t="s">
        <v>19</v>
      </c>
      <c r="E1581" s="10" t="s">
        <v>249</v>
      </c>
      <c r="F1581" s="10" t="str">
        <f>"2170637545 "</f>
        <v xml:space="preserve">2170637545 </v>
      </c>
      <c r="G1581" s="10" t="str">
        <f t="shared" si="46"/>
        <v>ON1</v>
      </c>
      <c r="H1581" s="10" t="s">
        <v>21</v>
      </c>
      <c r="I1581" s="10" t="s">
        <v>59</v>
      </c>
      <c r="J1581" s="10" t="str">
        <f>""</f>
        <v/>
      </c>
      <c r="K1581" s="10" t="str">
        <f>"PFES1162630620_0001"</f>
        <v>PFES1162630620_0001</v>
      </c>
      <c r="L1581" s="10">
        <v>1</v>
      </c>
      <c r="M1581" s="10">
        <v>1</v>
      </c>
    </row>
    <row r="1582" spans="1:13">
      <c r="A1582" s="8">
        <v>43271</v>
      </c>
      <c r="B1582" s="9">
        <v>0.45277777777777778</v>
      </c>
      <c r="C1582" s="10" t="str">
        <f>"FES1162630625"</f>
        <v>FES1162630625</v>
      </c>
      <c r="D1582" s="10" t="s">
        <v>19</v>
      </c>
      <c r="E1582" s="10" t="s">
        <v>509</v>
      </c>
      <c r="F1582" s="10" t="str">
        <f>"2170637551 "</f>
        <v xml:space="preserve">2170637551 </v>
      </c>
      <c r="G1582" s="10" t="str">
        <f t="shared" si="46"/>
        <v>ON1</v>
      </c>
      <c r="H1582" s="10" t="s">
        <v>21</v>
      </c>
      <c r="I1582" s="10" t="s">
        <v>53</v>
      </c>
      <c r="J1582" s="10" t="str">
        <f>""</f>
        <v/>
      </c>
      <c r="K1582" s="10" t="str">
        <f>"PFES1162630625_0001"</f>
        <v>PFES1162630625_0001</v>
      </c>
      <c r="L1582" s="10">
        <v>1</v>
      </c>
      <c r="M1582" s="10">
        <v>1</v>
      </c>
    </row>
    <row r="1583" spans="1:13">
      <c r="A1583" s="8">
        <v>43271</v>
      </c>
      <c r="B1583" s="9">
        <v>0.45277777777777778</v>
      </c>
      <c r="C1583" s="10" t="str">
        <f>"FES1162630648"</f>
        <v>FES1162630648</v>
      </c>
      <c r="D1583" s="10" t="s">
        <v>19</v>
      </c>
      <c r="E1583" s="10" t="s">
        <v>509</v>
      </c>
      <c r="F1583" s="10" t="str">
        <f>"2170637578 "</f>
        <v xml:space="preserve">2170637578 </v>
      </c>
      <c r="G1583" s="10" t="str">
        <f t="shared" si="46"/>
        <v>ON1</v>
      </c>
      <c r="H1583" s="10" t="s">
        <v>21</v>
      </c>
      <c r="I1583" s="10" t="s">
        <v>53</v>
      </c>
      <c r="J1583" s="10" t="str">
        <f>""</f>
        <v/>
      </c>
      <c r="K1583" s="10" t="str">
        <f>"PFES1162630648_0001"</f>
        <v>PFES1162630648_0001</v>
      </c>
      <c r="L1583" s="10">
        <v>1</v>
      </c>
      <c r="M1583" s="10">
        <v>1</v>
      </c>
    </row>
    <row r="1584" spans="1:13">
      <c r="A1584" s="8">
        <v>43271</v>
      </c>
      <c r="B1584" s="9">
        <v>0.45208333333333334</v>
      </c>
      <c r="C1584" s="10" t="str">
        <f>"FES1162630602"</f>
        <v>FES1162630602</v>
      </c>
      <c r="D1584" s="10" t="s">
        <v>19</v>
      </c>
      <c r="E1584" s="10" t="s">
        <v>639</v>
      </c>
      <c r="F1584" s="10" t="str">
        <f>"2170637521 "</f>
        <v xml:space="preserve">2170637521 </v>
      </c>
      <c r="G1584" s="10" t="str">
        <f t="shared" si="46"/>
        <v>ON1</v>
      </c>
      <c r="H1584" s="10" t="s">
        <v>21</v>
      </c>
      <c r="I1584" s="10" t="s">
        <v>32</v>
      </c>
      <c r="J1584" s="10" t="str">
        <f>""</f>
        <v/>
      </c>
      <c r="K1584" s="10" t="str">
        <f>"PFES1162630602_0001"</f>
        <v>PFES1162630602_0001</v>
      </c>
      <c r="L1584" s="10">
        <v>1</v>
      </c>
      <c r="M1584" s="10">
        <v>1</v>
      </c>
    </row>
    <row r="1585" spans="1:13">
      <c r="A1585" s="8">
        <v>43271</v>
      </c>
      <c r="B1585" s="9">
        <v>0.45208333333333334</v>
      </c>
      <c r="C1585" s="10" t="str">
        <f>"FES1162630578"</f>
        <v>FES1162630578</v>
      </c>
      <c r="D1585" s="10" t="s">
        <v>19</v>
      </c>
      <c r="E1585" s="10" t="s">
        <v>856</v>
      </c>
      <c r="F1585" s="10" t="str">
        <f>"2170635885 "</f>
        <v xml:space="preserve">2170635885 </v>
      </c>
      <c r="G1585" s="10" t="str">
        <f t="shared" si="46"/>
        <v>ON1</v>
      </c>
      <c r="H1585" s="10" t="s">
        <v>21</v>
      </c>
      <c r="I1585" s="10" t="s">
        <v>32</v>
      </c>
      <c r="J1585" s="10" t="str">
        <f>""</f>
        <v/>
      </c>
      <c r="K1585" s="10" t="str">
        <f>"PFES1162630578_0001"</f>
        <v>PFES1162630578_0001</v>
      </c>
      <c r="L1585" s="10">
        <v>1</v>
      </c>
      <c r="M1585" s="10">
        <v>1</v>
      </c>
    </row>
    <row r="1586" spans="1:13">
      <c r="A1586" s="8">
        <v>43271</v>
      </c>
      <c r="B1586" s="9">
        <v>0.4513888888888889</v>
      </c>
      <c r="C1586" s="10" t="str">
        <f>"FES1162630622"</f>
        <v>FES1162630622</v>
      </c>
      <c r="D1586" s="10" t="s">
        <v>19</v>
      </c>
      <c r="E1586" s="10" t="s">
        <v>509</v>
      </c>
      <c r="F1586" s="10" t="str">
        <f>"2170637547 "</f>
        <v xml:space="preserve">2170637547 </v>
      </c>
      <c r="G1586" s="10" t="str">
        <f t="shared" si="46"/>
        <v>ON1</v>
      </c>
      <c r="H1586" s="10" t="s">
        <v>21</v>
      </c>
      <c r="I1586" s="10" t="s">
        <v>53</v>
      </c>
      <c r="J1586" s="10" t="str">
        <f>""</f>
        <v/>
      </c>
      <c r="K1586" s="10" t="str">
        <f>"PFES1162630622_0001"</f>
        <v>PFES1162630622_0001</v>
      </c>
      <c r="L1586" s="10">
        <v>1</v>
      </c>
      <c r="M1586" s="10">
        <v>1</v>
      </c>
    </row>
    <row r="1587" spans="1:13">
      <c r="A1587" s="8">
        <v>43271</v>
      </c>
      <c r="B1587" s="9">
        <v>0.4513888888888889</v>
      </c>
      <c r="C1587" s="10" t="str">
        <f>"FES1162630630"</f>
        <v>FES1162630630</v>
      </c>
      <c r="D1587" s="10" t="s">
        <v>19</v>
      </c>
      <c r="E1587" s="10" t="s">
        <v>60</v>
      </c>
      <c r="F1587" s="10" t="str">
        <f>"2170637558 "</f>
        <v xml:space="preserve">2170637558 </v>
      </c>
      <c r="G1587" s="10" t="str">
        <f t="shared" si="46"/>
        <v>ON1</v>
      </c>
      <c r="H1587" s="10" t="s">
        <v>21</v>
      </c>
      <c r="I1587" s="10" t="s">
        <v>61</v>
      </c>
      <c r="J1587" s="10" t="str">
        <f>""</f>
        <v/>
      </c>
      <c r="K1587" s="10" t="str">
        <f>"PFES1162630630_0001"</f>
        <v>PFES1162630630_0001</v>
      </c>
      <c r="L1587" s="10">
        <v>1</v>
      </c>
      <c r="M1587" s="10">
        <v>1</v>
      </c>
    </row>
    <row r="1588" spans="1:13">
      <c r="A1588" s="8">
        <v>43271</v>
      </c>
      <c r="B1588" s="9">
        <v>0.45069444444444445</v>
      </c>
      <c r="C1588" s="10" t="str">
        <f>"FES1162630632"</f>
        <v>FES1162630632</v>
      </c>
      <c r="D1588" s="10" t="s">
        <v>19</v>
      </c>
      <c r="E1588" s="10" t="s">
        <v>95</v>
      </c>
      <c r="F1588" s="10" t="str">
        <f>"2170637562 "</f>
        <v xml:space="preserve">2170637562 </v>
      </c>
      <c r="G1588" s="10" t="str">
        <f t="shared" si="46"/>
        <v>ON1</v>
      </c>
      <c r="H1588" s="10" t="s">
        <v>21</v>
      </c>
      <c r="I1588" s="10" t="s">
        <v>96</v>
      </c>
      <c r="J1588" s="10" t="str">
        <f>""</f>
        <v/>
      </c>
      <c r="K1588" s="10" t="str">
        <f>"PFES1162630632_0001"</f>
        <v>PFES1162630632_0001</v>
      </c>
      <c r="L1588" s="10">
        <v>1</v>
      </c>
      <c r="M1588" s="10">
        <v>1</v>
      </c>
    </row>
    <row r="1589" spans="1:13">
      <c r="A1589" s="8">
        <v>43271</v>
      </c>
      <c r="B1589" s="9">
        <v>0.45069444444444445</v>
      </c>
      <c r="C1589" s="10" t="str">
        <f>"FES1162630638"</f>
        <v>FES1162630638</v>
      </c>
      <c r="D1589" s="10" t="s">
        <v>19</v>
      </c>
      <c r="E1589" s="10" t="s">
        <v>315</v>
      </c>
      <c r="F1589" s="10" t="str">
        <f>"2170624372 "</f>
        <v xml:space="preserve">2170624372 </v>
      </c>
      <c r="G1589" s="10" t="str">
        <f t="shared" si="46"/>
        <v>ON1</v>
      </c>
      <c r="H1589" s="10" t="s">
        <v>21</v>
      </c>
      <c r="I1589" s="10" t="s">
        <v>104</v>
      </c>
      <c r="J1589" s="10" t="str">
        <f>""</f>
        <v/>
      </c>
      <c r="K1589" s="10" t="str">
        <f>"PFES1162630638_0001"</f>
        <v>PFES1162630638_0001</v>
      </c>
      <c r="L1589" s="10">
        <v>1</v>
      </c>
      <c r="M1589" s="10">
        <v>1</v>
      </c>
    </row>
    <row r="1590" spans="1:13">
      <c r="A1590" s="8">
        <v>43271</v>
      </c>
      <c r="B1590" s="9">
        <v>0.45</v>
      </c>
      <c r="C1590" s="10" t="str">
        <f>"FES1162630660"</f>
        <v>FES1162630660</v>
      </c>
      <c r="D1590" s="10" t="s">
        <v>19</v>
      </c>
      <c r="E1590" s="10" t="s">
        <v>365</v>
      </c>
      <c r="F1590" s="10" t="str">
        <f>"2170637599 "</f>
        <v xml:space="preserve">2170637599 </v>
      </c>
      <c r="G1590" s="10" t="str">
        <f t="shared" si="46"/>
        <v>ON1</v>
      </c>
      <c r="H1590" s="10" t="s">
        <v>21</v>
      </c>
      <c r="I1590" s="10" t="s">
        <v>57</v>
      </c>
      <c r="J1590" s="10" t="str">
        <f>""</f>
        <v/>
      </c>
      <c r="K1590" s="10" t="str">
        <f>"PFES1162630660_0001"</f>
        <v>PFES1162630660_0001</v>
      </c>
      <c r="L1590" s="10">
        <v>1</v>
      </c>
      <c r="M1590" s="10">
        <v>1</v>
      </c>
    </row>
    <row r="1591" spans="1:13">
      <c r="A1591" s="8">
        <v>43271</v>
      </c>
      <c r="B1591" s="9">
        <v>0.45</v>
      </c>
      <c r="C1591" s="10" t="str">
        <f>"FES1162630583"</f>
        <v>FES1162630583</v>
      </c>
      <c r="D1591" s="10" t="s">
        <v>19</v>
      </c>
      <c r="E1591" s="10" t="s">
        <v>499</v>
      </c>
      <c r="F1591" s="10" t="str">
        <f>"2170636369 "</f>
        <v xml:space="preserve">2170636369 </v>
      </c>
      <c r="G1591" s="10" t="str">
        <f t="shared" si="46"/>
        <v>ON1</v>
      </c>
      <c r="H1591" s="10" t="s">
        <v>21</v>
      </c>
      <c r="I1591" s="10" t="s">
        <v>158</v>
      </c>
      <c r="J1591" s="10" t="str">
        <f>""</f>
        <v/>
      </c>
      <c r="K1591" s="10" t="str">
        <f>"PFES1162630583_0001"</f>
        <v>PFES1162630583_0001</v>
      </c>
      <c r="L1591" s="10">
        <v>1</v>
      </c>
      <c r="M1591" s="10">
        <v>1</v>
      </c>
    </row>
    <row r="1592" spans="1:13">
      <c r="A1592" s="8">
        <v>43271</v>
      </c>
      <c r="B1592" s="9">
        <v>0.44930555555555557</v>
      </c>
      <c r="C1592" s="10" t="str">
        <f>"FES1162630601"</f>
        <v>FES1162630601</v>
      </c>
      <c r="D1592" s="10" t="s">
        <v>19</v>
      </c>
      <c r="E1592" s="10" t="s">
        <v>811</v>
      </c>
      <c r="F1592" s="10" t="str">
        <f>"2170637519 "</f>
        <v xml:space="preserve">2170637519 </v>
      </c>
      <c r="G1592" s="10" t="str">
        <f t="shared" si="46"/>
        <v>ON1</v>
      </c>
      <c r="H1592" s="10" t="s">
        <v>21</v>
      </c>
      <c r="I1592" s="10" t="s">
        <v>222</v>
      </c>
      <c r="J1592" s="10" t="str">
        <f>""</f>
        <v/>
      </c>
      <c r="K1592" s="10" t="str">
        <f>"PFES1162630601_0001"</f>
        <v>PFES1162630601_0001</v>
      </c>
      <c r="L1592" s="10">
        <v>1</v>
      </c>
      <c r="M1592" s="10">
        <v>1</v>
      </c>
    </row>
    <row r="1593" spans="1:13">
      <c r="A1593" s="8">
        <v>43271</v>
      </c>
      <c r="B1593" s="9">
        <v>0.44861111111111113</v>
      </c>
      <c r="C1593" s="10" t="str">
        <f>"FES1162630610"</f>
        <v>FES1162630610</v>
      </c>
      <c r="D1593" s="10" t="s">
        <v>19</v>
      </c>
      <c r="E1593" s="10" t="s">
        <v>491</v>
      </c>
      <c r="F1593" s="10" t="str">
        <f>"2170637532 "</f>
        <v xml:space="preserve">2170637532 </v>
      </c>
      <c r="G1593" s="10" t="str">
        <f t="shared" si="46"/>
        <v>ON1</v>
      </c>
      <c r="H1593" s="10" t="s">
        <v>21</v>
      </c>
      <c r="I1593" s="10" t="s">
        <v>228</v>
      </c>
      <c r="J1593" s="10" t="str">
        <f>""</f>
        <v/>
      </c>
      <c r="K1593" s="10" t="str">
        <f>"PFES1162630610_0001"</f>
        <v>PFES1162630610_0001</v>
      </c>
      <c r="L1593" s="10">
        <v>1</v>
      </c>
      <c r="M1593" s="10">
        <v>1</v>
      </c>
    </row>
    <row r="1594" spans="1:13">
      <c r="A1594" s="8">
        <v>43271</v>
      </c>
      <c r="B1594" s="9">
        <v>0.44861111111111113</v>
      </c>
      <c r="C1594" s="10" t="str">
        <f>"FES1162630570"</f>
        <v>FES1162630570</v>
      </c>
      <c r="D1594" s="10" t="s">
        <v>19</v>
      </c>
      <c r="E1594" s="10" t="s">
        <v>117</v>
      </c>
      <c r="F1594" s="10" t="str">
        <f>"2170635076 "</f>
        <v xml:space="preserve">2170635076 </v>
      </c>
      <c r="G1594" s="10" t="str">
        <f t="shared" si="46"/>
        <v>ON1</v>
      </c>
      <c r="H1594" s="10" t="s">
        <v>21</v>
      </c>
      <c r="I1594" s="10" t="s">
        <v>118</v>
      </c>
      <c r="J1594" s="10" t="str">
        <f>""</f>
        <v/>
      </c>
      <c r="K1594" s="10" t="str">
        <f>"PFES1162630570_0001"</f>
        <v>PFES1162630570_0001</v>
      </c>
      <c r="L1594" s="10">
        <v>1</v>
      </c>
      <c r="M1594" s="10">
        <v>1</v>
      </c>
    </row>
    <row r="1595" spans="1:13">
      <c r="A1595" s="8">
        <v>43271</v>
      </c>
      <c r="B1595" s="9">
        <v>0.44791666666666669</v>
      </c>
      <c r="C1595" s="10" t="str">
        <f>"FES1162629595"</f>
        <v>FES1162629595</v>
      </c>
      <c r="D1595" s="10" t="s">
        <v>19</v>
      </c>
      <c r="E1595" s="10" t="s">
        <v>857</v>
      </c>
      <c r="F1595" s="10" t="str">
        <f>"2170634772 "</f>
        <v xml:space="preserve">2170634772 </v>
      </c>
      <c r="G1595" s="10" t="str">
        <f t="shared" si="46"/>
        <v>ON1</v>
      </c>
      <c r="H1595" s="10" t="s">
        <v>21</v>
      </c>
      <c r="I1595" s="10" t="s">
        <v>858</v>
      </c>
      <c r="J1595" s="10" t="str">
        <f>""</f>
        <v/>
      </c>
      <c r="K1595" s="10" t="str">
        <f>"PFES1162629595_0001"</f>
        <v>PFES1162629595_0001</v>
      </c>
      <c r="L1595" s="10">
        <v>1</v>
      </c>
      <c r="M1595" s="10">
        <v>1</v>
      </c>
    </row>
    <row r="1596" spans="1:13">
      <c r="A1596" s="8">
        <v>43271</v>
      </c>
      <c r="B1596" s="9">
        <v>0.44791666666666669</v>
      </c>
      <c r="C1596" s="10" t="str">
        <f>"FES1162630593"</f>
        <v>FES1162630593</v>
      </c>
      <c r="D1596" s="10" t="s">
        <v>19</v>
      </c>
      <c r="E1596" s="10" t="s">
        <v>402</v>
      </c>
      <c r="F1596" s="10" t="str">
        <f>"2170637199 "</f>
        <v xml:space="preserve">2170637199 </v>
      </c>
      <c r="G1596" s="10" t="str">
        <f t="shared" si="46"/>
        <v>ON1</v>
      </c>
      <c r="H1596" s="10" t="s">
        <v>21</v>
      </c>
      <c r="I1596" s="10" t="s">
        <v>389</v>
      </c>
      <c r="J1596" s="10" t="str">
        <f>""</f>
        <v/>
      </c>
      <c r="K1596" s="10" t="str">
        <f>"PFES1162630593_0001"</f>
        <v>PFES1162630593_0001</v>
      </c>
      <c r="L1596" s="10">
        <v>1</v>
      </c>
      <c r="M1596" s="10">
        <v>1</v>
      </c>
    </row>
    <row r="1597" spans="1:13">
      <c r="A1597" s="8">
        <v>43271</v>
      </c>
      <c r="B1597" s="9">
        <v>0.44722222222222219</v>
      </c>
      <c r="C1597" s="10" t="str">
        <f>"FES1162630611"</f>
        <v>FES1162630611</v>
      </c>
      <c r="D1597" s="10" t="s">
        <v>19</v>
      </c>
      <c r="E1597" s="10" t="s">
        <v>335</v>
      </c>
      <c r="F1597" s="10" t="str">
        <f>"2170637533 "</f>
        <v xml:space="preserve">2170637533 </v>
      </c>
      <c r="G1597" s="10" t="str">
        <f t="shared" si="46"/>
        <v>ON1</v>
      </c>
      <c r="H1597" s="10" t="s">
        <v>21</v>
      </c>
      <c r="I1597" s="10" t="s">
        <v>336</v>
      </c>
      <c r="J1597" s="10" t="str">
        <f>""</f>
        <v/>
      </c>
      <c r="K1597" s="10" t="str">
        <f>"PFES1162630611_0001"</f>
        <v>PFES1162630611_0001</v>
      </c>
      <c r="L1597" s="10">
        <v>1</v>
      </c>
      <c r="M1597" s="10">
        <v>1</v>
      </c>
    </row>
    <row r="1598" spans="1:13">
      <c r="A1598" s="8">
        <v>43271</v>
      </c>
      <c r="B1598" s="9">
        <v>0.44722222222222219</v>
      </c>
      <c r="C1598" s="10" t="str">
        <f>"FES1162630644"</f>
        <v>FES1162630644</v>
      </c>
      <c r="D1598" s="10" t="s">
        <v>19</v>
      </c>
      <c r="E1598" s="10" t="s">
        <v>124</v>
      </c>
      <c r="F1598" s="10" t="str">
        <f>"2170635178 "</f>
        <v xml:space="preserve">2170635178 </v>
      </c>
      <c r="G1598" s="10" t="str">
        <f t="shared" si="46"/>
        <v>ON1</v>
      </c>
      <c r="H1598" s="10" t="s">
        <v>21</v>
      </c>
      <c r="I1598" s="10" t="s">
        <v>40</v>
      </c>
      <c r="J1598" s="10" t="str">
        <f>""</f>
        <v/>
      </c>
      <c r="K1598" s="10" t="str">
        <f>"PFES1162630644_0001"</f>
        <v>PFES1162630644_0001</v>
      </c>
      <c r="L1598" s="10">
        <v>1</v>
      </c>
      <c r="M1598" s="10">
        <v>1</v>
      </c>
    </row>
    <row r="1599" spans="1:13">
      <c r="A1599" s="8">
        <v>43271</v>
      </c>
      <c r="B1599" s="9">
        <v>0.4465277777777778</v>
      </c>
      <c r="C1599" s="10" t="str">
        <f>"FES1162630635"</f>
        <v>FES1162630635</v>
      </c>
      <c r="D1599" s="10" t="s">
        <v>19</v>
      </c>
      <c r="E1599" s="10" t="s">
        <v>445</v>
      </c>
      <c r="F1599" s="10" t="str">
        <f>"2170637576 "</f>
        <v xml:space="preserve">2170637576 </v>
      </c>
      <c r="G1599" s="10" t="str">
        <f t="shared" si="46"/>
        <v>ON1</v>
      </c>
      <c r="H1599" s="10" t="s">
        <v>21</v>
      </c>
      <c r="I1599" s="10" t="s">
        <v>446</v>
      </c>
      <c r="J1599" s="10" t="str">
        <f>""</f>
        <v/>
      </c>
      <c r="K1599" s="10" t="str">
        <f>"PFES1162630635_0001"</f>
        <v>PFES1162630635_0001</v>
      </c>
      <c r="L1599" s="10">
        <v>1</v>
      </c>
      <c r="M1599" s="10">
        <v>1</v>
      </c>
    </row>
    <row r="1600" spans="1:13">
      <c r="A1600" s="8">
        <v>43272</v>
      </c>
      <c r="B1600" s="9">
        <v>0.68958333333333333</v>
      </c>
      <c r="C1600" s="10" t="str">
        <f>"FES1162631047"</f>
        <v>FES1162631047</v>
      </c>
      <c r="D1600" s="10" t="s">
        <v>19</v>
      </c>
      <c r="E1600" s="10" t="s">
        <v>49</v>
      </c>
      <c r="F1600" s="10" t="str">
        <f>"2170637951 "</f>
        <v xml:space="preserve">2170637951 </v>
      </c>
      <c r="G1600" s="10" t="str">
        <f>"DBC"</f>
        <v>DBC</v>
      </c>
      <c r="H1600" s="10" t="s">
        <v>21</v>
      </c>
      <c r="I1600" s="10" t="s">
        <v>32</v>
      </c>
      <c r="J1600" s="10" t="str">
        <f>"FRAGILE OIL"</f>
        <v>FRAGILE OIL</v>
      </c>
      <c r="K1600" s="10" t="str">
        <f>"PFES1162631047_0001"</f>
        <v>PFES1162631047_0001</v>
      </c>
      <c r="L1600" s="10">
        <v>4</v>
      </c>
      <c r="M1600" s="10">
        <v>55</v>
      </c>
    </row>
    <row r="1601" spans="1:13">
      <c r="A1601" s="8">
        <v>43272</v>
      </c>
      <c r="B1601" s="9">
        <v>0.68958333333333333</v>
      </c>
      <c r="C1601" s="10" t="str">
        <f>"FES1162631046"</f>
        <v>FES1162631046</v>
      </c>
      <c r="D1601" s="10" t="s">
        <v>19</v>
      </c>
      <c r="E1601" s="10" t="s">
        <v>65</v>
      </c>
      <c r="F1601" s="10" t="str">
        <f>"2170637950 "</f>
        <v xml:space="preserve">2170637950 </v>
      </c>
      <c r="G1601" s="10" t="str">
        <f t="shared" ref="G1601:G1664" si="47">"ON1"</f>
        <v>ON1</v>
      </c>
      <c r="H1601" s="10" t="s">
        <v>21</v>
      </c>
      <c r="I1601" s="10" t="s">
        <v>131</v>
      </c>
      <c r="J1601" s="10" t="str">
        <f>""</f>
        <v/>
      </c>
      <c r="K1601" s="10" t="str">
        <f>"PFES1162631046_0001"</f>
        <v>PFES1162631046_0001</v>
      </c>
      <c r="L1601" s="10">
        <v>1</v>
      </c>
      <c r="M1601" s="10">
        <v>1</v>
      </c>
    </row>
    <row r="1602" spans="1:13">
      <c r="A1602" s="8">
        <v>43272</v>
      </c>
      <c r="B1602" s="9">
        <v>0.68888888888888899</v>
      </c>
      <c r="C1602" s="10" t="str">
        <f>"FES1162631045"</f>
        <v>FES1162631045</v>
      </c>
      <c r="D1602" s="10" t="s">
        <v>19</v>
      </c>
      <c r="E1602" s="10" t="s">
        <v>286</v>
      </c>
      <c r="F1602" s="10" t="str">
        <f>"2170637952 "</f>
        <v xml:space="preserve">2170637952 </v>
      </c>
      <c r="G1602" s="10" t="str">
        <f t="shared" si="47"/>
        <v>ON1</v>
      </c>
      <c r="H1602" s="10" t="s">
        <v>21</v>
      </c>
      <c r="I1602" s="10" t="s">
        <v>79</v>
      </c>
      <c r="J1602" s="10" t="str">
        <f>""</f>
        <v/>
      </c>
      <c r="K1602" s="10" t="str">
        <f>"PFES1162631045_0001"</f>
        <v>PFES1162631045_0001</v>
      </c>
      <c r="L1602" s="10">
        <v>1</v>
      </c>
      <c r="M1602" s="10">
        <v>1</v>
      </c>
    </row>
    <row r="1603" spans="1:13">
      <c r="A1603" s="8">
        <v>43272</v>
      </c>
      <c r="B1603" s="9">
        <v>0.68680555555555556</v>
      </c>
      <c r="C1603" s="10" t="str">
        <f>"FES1162631040"</f>
        <v>FES1162631040</v>
      </c>
      <c r="D1603" s="10" t="s">
        <v>19</v>
      </c>
      <c r="E1603" s="10" t="s">
        <v>49</v>
      </c>
      <c r="F1603" s="10" t="str">
        <f>"2170637939 "</f>
        <v xml:space="preserve">2170637939 </v>
      </c>
      <c r="G1603" s="10" t="str">
        <f t="shared" si="47"/>
        <v>ON1</v>
      </c>
      <c r="H1603" s="10" t="s">
        <v>21</v>
      </c>
      <c r="I1603" s="10" t="s">
        <v>32</v>
      </c>
      <c r="J1603" s="10" t="str">
        <f>""</f>
        <v/>
      </c>
      <c r="K1603" s="10" t="str">
        <f>"PFES1162631040_0001"</f>
        <v>PFES1162631040_0001</v>
      </c>
      <c r="L1603" s="10">
        <v>1</v>
      </c>
      <c r="M1603" s="10">
        <v>4</v>
      </c>
    </row>
    <row r="1604" spans="1:13">
      <c r="A1604" s="8">
        <v>43272</v>
      </c>
      <c r="B1604" s="9">
        <v>0.68611111111111101</v>
      </c>
      <c r="C1604" s="10" t="str">
        <f>"FES1162630839"</f>
        <v>FES1162630839</v>
      </c>
      <c r="D1604" s="10" t="s">
        <v>19</v>
      </c>
      <c r="E1604" s="10" t="s">
        <v>52</v>
      </c>
      <c r="F1604" s="10" t="str">
        <f>"2170637760 "</f>
        <v xml:space="preserve">2170637760 </v>
      </c>
      <c r="G1604" s="10" t="str">
        <f t="shared" si="47"/>
        <v>ON1</v>
      </c>
      <c r="H1604" s="10" t="s">
        <v>21</v>
      </c>
      <c r="I1604" s="10" t="s">
        <v>53</v>
      </c>
      <c r="J1604" s="10" t="str">
        <f>""</f>
        <v/>
      </c>
      <c r="K1604" s="10" t="str">
        <f>"PFES1162630839_0001"</f>
        <v>PFES1162630839_0001</v>
      </c>
      <c r="L1604" s="10">
        <v>1</v>
      </c>
      <c r="M1604" s="10">
        <v>6</v>
      </c>
    </row>
    <row r="1605" spans="1:13">
      <c r="A1605" s="8">
        <v>43272</v>
      </c>
      <c r="B1605" s="9">
        <v>0.68541666666666667</v>
      </c>
      <c r="C1605" s="10" t="str">
        <f>"FES1162631044"</f>
        <v>FES1162631044</v>
      </c>
      <c r="D1605" s="10" t="s">
        <v>19</v>
      </c>
      <c r="E1605" s="10" t="s">
        <v>323</v>
      </c>
      <c r="F1605" s="10" t="str">
        <f>"2170637946 "</f>
        <v xml:space="preserve">2170637946 </v>
      </c>
      <c r="G1605" s="10" t="str">
        <f t="shared" si="47"/>
        <v>ON1</v>
      </c>
      <c r="H1605" s="10" t="s">
        <v>21</v>
      </c>
      <c r="I1605" s="10" t="s">
        <v>324</v>
      </c>
      <c r="J1605" s="10" t="str">
        <f>""</f>
        <v/>
      </c>
      <c r="K1605" s="10" t="str">
        <f>"PFES1162631044_0001"</f>
        <v>PFES1162631044_0001</v>
      </c>
      <c r="L1605" s="10">
        <v>1</v>
      </c>
      <c r="M1605" s="10">
        <v>1</v>
      </c>
    </row>
    <row r="1606" spans="1:13">
      <c r="A1606" s="8">
        <v>43272</v>
      </c>
      <c r="B1606" s="9">
        <v>0.68541666666666667</v>
      </c>
      <c r="C1606" s="10" t="str">
        <f>"FES1162630829"</f>
        <v>FES1162630829</v>
      </c>
      <c r="D1606" s="10" t="s">
        <v>19</v>
      </c>
      <c r="E1606" s="10" t="s">
        <v>235</v>
      </c>
      <c r="F1606" s="10" t="str">
        <f>"2170637295 "</f>
        <v xml:space="preserve">2170637295 </v>
      </c>
      <c r="G1606" s="10" t="str">
        <f t="shared" si="47"/>
        <v>ON1</v>
      </c>
      <c r="H1606" s="10" t="s">
        <v>21</v>
      </c>
      <c r="I1606" s="10" t="s">
        <v>174</v>
      </c>
      <c r="J1606" s="10" t="str">
        <f>""</f>
        <v/>
      </c>
      <c r="K1606" s="10" t="str">
        <f>"PFES1162630829_0001"</f>
        <v>PFES1162630829_0001</v>
      </c>
      <c r="L1606" s="10">
        <v>1</v>
      </c>
      <c r="M1606" s="10">
        <v>8</v>
      </c>
    </row>
    <row r="1607" spans="1:13">
      <c r="A1607" s="8">
        <v>43272</v>
      </c>
      <c r="B1607" s="9">
        <v>0.68472222222222223</v>
      </c>
      <c r="C1607" s="10" t="str">
        <f>"FES1162631037"</f>
        <v>FES1162631037</v>
      </c>
      <c r="D1607" s="10" t="s">
        <v>19</v>
      </c>
      <c r="E1607" s="10" t="s">
        <v>99</v>
      </c>
      <c r="F1607" s="10" t="str">
        <f>"2170637934 "</f>
        <v xml:space="preserve">2170637934 </v>
      </c>
      <c r="G1607" s="10" t="str">
        <f t="shared" si="47"/>
        <v>ON1</v>
      </c>
      <c r="H1607" s="10" t="s">
        <v>21</v>
      </c>
      <c r="I1607" s="10" t="s">
        <v>100</v>
      </c>
      <c r="J1607" s="10" t="str">
        <f>""</f>
        <v/>
      </c>
      <c r="K1607" s="10" t="str">
        <f>"PFES1162631037_0001"</f>
        <v>PFES1162631037_0001</v>
      </c>
      <c r="L1607" s="10">
        <v>1</v>
      </c>
      <c r="M1607" s="10">
        <v>1</v>
      </c>
    </row>
    <row r="1608" spans="1:13">
      <c r="A1608" s="8">
        <v>43272</v>
      </c>
      <c r="B1608" s="9">
        <v>0.68402777777777779</v>
      </c>
      <c r="C1608" s="10" t="str">
        <f>"FES1162630999"</f>
        <v>FES1162630999</v>
      </c>
      <c r="D1608" s="10" t="s">
        <v>19</v>
      </c>
      <c r="E1608" s="10" t="s">
        <v>859</v>
      </c>
      <c r="F1608" s="10" t="str">
        <f>"2170637888 "</f>
        <v xml:space="preserve">2170637888 </v>
      </c>
      <c r="G1608" s="10" t="str">
        <f t="shared" si="47"/>
        <v>ON1</v>
      </c>
      <c r="H1608" s="10" t="s">
        <v>21</v>
      </c>
      <c r="I1608" s="10" t="s">
        <v>860</v>
      </c>
      <c r="J1608" s="10" t="str">
        <f>""</f>
        <v/>
      </c>
      <c r="K1608" s="10" t="str">
        <f>"PFES1162630999_0001"</f>
        <v>PFES1162630999_0001</v>
      </c>
      <c r="L1608" s="10">
        <v>1</v>
      </c>
      <c r="M1608" s="10">
        <v>2</v>
      </c>
    </row>
    <row r="1609" spans="1:13">
      <c r="A1609" s="8">
        <v>43272</v>
      </c>
      <c r="B1609" s="9">
        <v>0.68333333333333324</v>
      </c>
      <c r="C1609" s="10" t="str">
        <f>"FES1162631049"</f>
        <v>FES1162631049</v>
      </c>
      <c r="D1609" s="10" t="s">
        <v>19</v>
      </c>
      <c r="E1609" s="10" t="s">
        <v>56</v>
      </c>
      <c r="F1609" s="10" t="str">
        <f>"2170637960 "</f>
        <v xml:space="preserve">2170637960 </v>
      </c>
      <c r="G1609" s="10" t="str">
        <f t="shared" si="47"/>
        <v>ON1</v>
      </c>
      <c r="H1609" s="10" t="s">
        <v>21</v>
      </c>
      <c r="I1609" s="10" t="s">
        <v>57</v>
      </c>
      <c r="J1609" s="10" t="str">
        <f>""</f>
        <v/>
      </c>
      <c r="K1609" s="10" t="str">
        <f>"PFES1162631049_0001"</f>
        <v>PFES1162631049_0001</v>
      </c>
      <c r="L1609" s="10">
        <v>1</v>
      </c>
      <c r="M1609" s="10">
        <v>1</v>
      </c>
    </row>
    <row r="1610" spans="1:13">
      <c r="A1610" s="8">
        <v>43272</v>
      </c>
      <c r="B1610" s="9">
        <v>0.68333333333333324</v>
      </c>
      <c r="C1610" s="10" t="str">
        <f>"FES1162631020"</f>
        <v>FES1162631020</v>
      </c>
      <c r="D1610" s="10" t="s">
        <v>19</v>
      </c>
      <c r="E1610" s="10" t="s">
        <v>434</v>
      </c>
      <c r="F1610" s="10" t="str">
        <f>"2170637515 "</f>
        <v xml:space="preserve">2170637515 </v>
      </c>
      <c r="G1610" s="10" t="str">
        <f t="shared" si="47"/>
        <v>ON1</v>
      </c>
      <c r="H1610" s="10" t="s">
        <v>21</v>
      </c>
      <c r="I1610" s="10" t="s">
        <v>349</v>
      </c>
      <c r="J1610" s="10" t="str">
        <f>""</f>
        <v/>
      </c>
      <c r="K1610" s="10" t="str">
        <f>"PFES1162631020_0001"</f>
        <v>PFES1162631020_0001</v>
      </c>
      <c r="L1610" s="10">
        <v>1</v>
      </c>
      <c r="M1610" s="10">
        <v>3</v>
      </c>
    </row>
    <row r="1611" spans="1:13">
      <c r="A1611" s="8">
        <v>43272</v>
      </c>
      <c r="B1611" s="9">
        <v>0.68333333333333324</v>
      </c>
      <c r="C1611" s="10" t="str">
        <f>"FES1162631015"</f>
        <v>FES1162631015</v>
      </c>
      <c r="D1611" s="10" t="s">
        <v>19</v>
      </c>
      <c r="E1611" s="10" t="s">
        <v>137</v>
      </c>
      <c r="F1611" s="10" t="str">
        <f>"2170637907 "</f>
        <v xml:space="preserve">2170637907 </v>
      </c>
      <c r="G1611" s="10" t="str">
        <f t="shared" si="47"/>
        <v>ON1</v>
      </c>
      <c r="H1611" s="10" t="s">
        <v>21</v>
      </c>
      <c r="I1611" s="10" t="s">
        <v>93</v>
      </c>
      <c r="J1611" s="10" t="str">
        <f>""</f>
        <v/>
      </c>
      <c r="K1611" s="10" t="str">
        <f>"PFES1162631015_0001"</f>
        <v>PFES1162631015_0001</v>
      </c>
      <c r="L1611" s="10">
        <v>1</v>
      </c>
      <c r="M1611" s="10">
        <v>1</v>
      </c>
    </row>
    <row r="1612" spans="1:13">
      <c r="A1612" s="8">
        <v>43272</v>
      </c>
      <c r="B1612" s="9">
        <v>0.68263888888888891</v>
      </c>
      <c r="C1612" s="10" t="str">
        <f>"FES1162631051"</f>
        <v>FES1162631051</v>
      </c>
      <c r="D1612" s="10" t="s">
        <v>19</v>
      </c>
      <c r="E1612" s="10" t="s">
        <v>625</v>
      </c>
      <c r="F1612" s="10" t="str">
        <f>"2170637954 "</f>
        <v xml:space="preserve">2170637954 </v>
      </c>
      <c r="G1612" s="10" t="str">
        <f t="shared" si="47"/>
        <v>ON1</v>
      </c>
      <c r="H1612" s="10" t="s">
        <v>21</v>
      </c>
      <c r="I1612" s="10" t="s">
        <v>36</v>
      </c>
      <c r="J1612" s="10" t="str">
        <f>""</f>
        <v/>
      </c>
      <c r="K1612" s="10" t="str">
        <f>"PFES1162631051_0001"</f>
        <v>PFES1162631051_0001</v>
      </c>
      <c r="L1612" s="10">
        <v>1</v>
      </c>
      <c r="M1612" s="10">
        <v>1</v>
      </c>
    </row>
    <row r="1613" spans="1:13">
      <c r="A1613" s="8">
        <v>43272</v>
      </c>
      <c r="B1613" s="9">
        <v>0.68263888888888891</v>
      </c>
      <c r="C1613" s="10" t="str">
        <f>"FES1162630983"</f>
        <v>FES1162630983</v>
      </c>
      <c r="D1613" s="10" t="s">
        <v>19</v>
      </c>
      <c r="E1613" s="10" t="s">
        <v>859</v>
      </c>
      <c r="F1613" s="10" t="str">
        <f>"2170637875 "</f>
        <v xml:space="preserve">2170637875 </v>
      </c>
      <c r="G1613" s="10" t="str">
        <f t="shared" si="47"/>
        <v>ON1</v>
      </c>
      <c r="H1613" s="10" t="s">
        <v>21</v>
      </c>
      <c r="I1613" s="10" t="s">
        <v>860</v>
      </c>
      <c r="J1613" s="10" t="str">
        <f>""</f>
        <v/>
      </c>
      <c r="K1613" s="10" t="str">
        <f>"PFES1162630983_0001"</f>
        <v>PFES1162630983_0001</v>
      </c>
      <c r="L1613" s="10">
        <v>1</v>
      </c>
      <c r="M1613" s="10">
        <v>1</v>
      </c>
    </row>
    <row r="1614" spans="1:13">
      <c r="A1614" s="8">
        <v>43272</v>
      </c>
      <c r="B1614" s="9">
        <v>0.68194444444444446</v>
      </c>
      <c r="C1614" s="10" t="str">
        <f>"FES1162631054"</f>
        <v>FES1162631054</v>
      </c>
      <c r="D1614" s="10" t="s">
        <v>19</v>
      </c>
      <c r="E1614" s="10" t="s">
        <v>249</v>
      </c>
      <c r="F1614" s="10" t="str">
        <f>"2170637961 "</f>
        <v xml:space="preserve">2170637961 </v>
      </c>
      <c r="G1614" s="10" t="str">
        <f t="shared" si="47"/>
        <v>ON1</v>
      </c>
      <c r="H1614" s="10" t="s">
        <v>21</v>
      </c>
      <c r="I1614" s="10" t="s">
        <v>59</v>
      </c>
      <c r="J1614" s="10" t="str">
        <f>""</f>
        <v/>
      </c>
      <c r="K1614" s="10" t="str">
        <f>"PFES1162631054_0001"</f>
        <v>PFES1162631054_0001</v>
      </c>
      <c r="L1614" s="10">
        <v>1</v>
      </c>
      <c r="M1614" s="10">
        <v>1</v>
      </c>
    </row>
    <row r="1615" spans="1:13">
      <c r="A1615" s="8">
        <v>43272</v>
      </c>
      <c r="B1615" s="9">
        <v>0.68194444444444446</v>
      </c>
      <c r="C1615" s="10" t="str">
        <f>"FES1162631055"</f>
        <v>FES1162631055</v>
      </c>
      <c r="D1615" s="10" t="s">
        <v>19</v>
      </c>
      <c r="E1615" s="10" t="s">
        <v>169</v>
      </c>
      <c r="F1615" s="10" t="str">
        <f>"2170637963 "</f>
        <v xml:space="preserve">2170637963 </v>
      </c>
      <c r="G1615" s="10" t="str">
        <f t="shared" si="47"/>
        <v>ON1</v>
      </c>
      <c r="H1615" s="10" t="s">
        <v>21</v>
      </c>
      <c r="I1615" s="10" t="s">
        <v>170</v>
      </c>
      <c r="J1615" s="10" t="str">
        <f>""</f>
        <v/>
      </c>
      <c r="K1615" s="10" t="str">
        <f>"PFES1162631055_0001"</f>
        <v>PFES1162631055_0001</v>
      </c>
      <c r="L1615" s="10">
        <v>1</v>
      </c>
      <c r="M1615" s="10">
        <v>1</v>
      </c>
    </row>
    <row r="1616" spans="1:13">
      <c r="A1616" s="8">
        <v>43272</v>
      </c>
      <c r="B1616" s="9">
        <v>0.68125000000000002</v>
      </c>
      <c r="C1616" s="10" t="str">
        <f>"FES1162631057"</f>
        <v>FES1162631057</v>
      </c>
      <c r="D1616" s="10" t="s">
        <v>19</v>
      </c>
      <c r="E1616" s="10" t="s">
        <v>58</v>
      </c>
      <c r="F1616" s="10" t="str">
        <f>"2170637967 "</f>
        <v xml:space="preserve">2170637967 </v>
      </c>
      <c r="G1616" s="10" t="str">
        <f t="shared" si="47"/>
        <v>ON1</v>
      </c>
      <c r="H1616" s="10" t="s">
        <v>21</v>
      </c>
      <c r="I1616" s="10" t="s">
        <v>59</v>
      </c>
      <c r="J1616" s="10" t="str">
        <f>""</f>
        <v/>
      </c>
      <c r="K1616" s="10" t="str">
        <f>"PFES1162631057_0001"</f>
        <v>PFES1162631057_0001</v>
      </c>
      <c r="L1616" s="10">
        <v>1</v>
      </c>
      <c r="M1616" s="10">
        <v>1</v>
      </c>
    </row>
    <row r="1617" spans="1:13">
      <c r="A1617" s="8">
        <v>43272</v>
      </c>
      <c r="B1617" s="9">
        <v>0.68055555555555547</v>
      </c>
      <c r="C1617" s="10" t="str">
        <f>"FES1162631012"</f>
        <v>FES1162631012</v>
      </c>
      <c r="D1617" s="10" t="s">
        <v>19</v>
      </c>
      <c r="E1617" s="10" t="s">
        <v>191</v>
      </c>
      <c r="F1617" s="10" t="str">
        <f>"2170637909 "</f>
        <v xml:space="preserve">2170637909 </v>
      </c>
      <c r="G1617" s="10" t="str">
        <f t="shared" si="47"/>
        <v>ON1</v>
      </c>
      <c r="H1617" s="10" t="s">
        <v>21</v>
      </c>
      <c r="I1617" s="10" t="s">
        <v>192</v>
      </c>
      <c r="J1617" s="10" t="str">
        <f>""</f>
        <v/>
      </c>
      <c r="K1617" s="10" t="str">
        <f>"PFES1162631012_0001"</f>
        <v>PFES1162631012_0001</v>
      </c>
      <c r="L1617" s="10">
        <v>1</v>
      </c>
      <c r="M1617" s="10">
        <v>1</v>
      </c>
    </row>
    <row r="1618" spans="1:13">
      <c r="A1618" s="8">
        <v>43272</v>
      </c>
      <c r="B1618" s="9">
        <v>0.68055555555555547</v>
      </c>
      <c r="C1618" s="10" t="str">
        <f>"FES1162630977"</f>
        <v>FES1162630977</v>
      </c>
      <c r="D1618" s="10" t="s">
        <v>19</v>
      </c>
      <c r="E1618" s="10" t="s">
        <v>335</v>
      </c>
      <c r="F1618" s="10" t="str">
        <f>"2170637135 "</f>
        <v xml:space="preserve">2170637135 </v>
      </c>
      <c r="G1618" s="10" t="str">
        <f t="shared" si="47"/>
        <v>ON1</v>
      </c>
      <c r="H1618" s="10" t="s">
        <v>21</v>
      </c>
      <c r="I1618" s="10" t="s">
        <v>336</v>
      </c>
      <c r="J1618" s="10" t="str">
        <f>""</f>
        <v/>
      </c>
      <c r="K1618" s="10" t="str">
        <f>"PFES1162630977_0001"</f>
        <v>PFES1162630977_0001</v>
      </c>
      <c r="L1618" s="10">
        <v>1</v>
      </c>
      <c r="M1618" s="10">
        <v>1</v>
      </c>
    </row>
    <row r="1619" spans="1:13">
      <c r="A1619" s="8">
        <v>43272</v>
      </c>
      <c r="B1619" s="9">
        <v>0.6777777777777777</v>
      </c>
      <c r="C1619" s="10" t="str">
        <f>"FES1162631001"</f>
        <v>FES1162631001</v>
      </c>
      <c r="D1619" s="10" t="s">
        <v>19</v>
      </c>
      <c r="E1619" s="10" t="s">
        <v>78</v>
      </c>
      <c r="F1619" s="10" t="str">
        <f>"2170637892 "</f>
        <v xml:space="preserve">2170637892 </v>
      </c>
      <c r="G1619" s="10" t="str">
        <f t="shared" si="47"/>
        <v>ON1</v>
      </c>
      <c r="H1619" s="10" t="s">
        <v>21</v>
      </c>
      <c r="I1619" s="10" t="s">
        <v>79</v>
      </c>
      <c r="J1619" s="10" t="str">
        <f>""</f>
        <v/>
      </c>
      <c r="K1619" s="10" t="str">
        <f>"PFES1162631001_0001"</f>
        <v>PFES1162631001_0001</v>
      </c>
      <c r="L1619" s="10">
        <v>1</v>
      </c>
      <c r="M1619" s="10">
        <v>16</v>
      </c>
    </row>
    <row r="1620" spans="1:13">
      <c r="A1620" s="8">
        <v>43272</v>
      </c>
      <c r="B1620" s="9">
        <v>0.67291666666666661</v>
      </c>
      <c r="C1620" s="10" t="str">
        <f>"FES1162630978"</f>
        <v>FES1162630978</v>
      </c>
      <c r="D1620" s="10" t="s">
        <v>19</v>
      </c>
      <c r="E1620" s="10" t="s">
        <v>345</v>
      </c>
      <c r="F1620" s="10" t="str">
        <f>"2170637866 "</f>
        <v xml:space="preserve">2170637866 </v>
      </c>
      <c r="G1620" s="10" t="str">
        <f t="shared" si="47"/>
        <v>ON1</v>
      </c>
      <c r="H1620" s="10" t="s">
        <v>21</v>
      </c>
      <c r="I1620" s="10" t="s">
        <v>228</v>
      </c>
      <c r="J1620" s="10" t="str">
        <f>""</f>
        <v/>
      </c>
      <c r="K1620" s="10" t="str">
        <f>"PFES1162630978_0001"</f>
        <v>PFES1162630978_0001</v>
      </c>
      <c r="L1620" s="10">
        <v>1</v>
      </c>
      <c r="M1620" s="10">
        <v>4</v>
      </c>
    </row>
    <row r="1621" spans="1:13">
      <c r="A1621" s="8">
        <v>43272</v>
      </c>
      <c r="B1621" s="9">
        <v>0.67222222222222217</v>
      </c>
      <c r="C1621" s="10" t="str">
        <f>"FES1162630987"</f>
        <v>FES1162630987</v>
      </c>
      <c r="D1621" s="10" t="s">
        <v>19</v>
      </c>
      <c r="E1621" s="10" t="s">
        <v>37</v>
      </c>
      <c r="F1621" s="10" t="str">
        <f>"2170637876 "</f>
        <v xml:space="preserve">2170637876 </v>
      </c>
      <c r="G1621" s="10" t="str">
        <f t="shared" si="47"/>
        <v>ON1</v>
      </c>
      <c r="H1621" s="10" t="s">
        <v>21</v>
      </c>
      <c r="I1621" s="10" t="s">
        <v>38</v>
      </c>
      <c r="J1621" s="10" t="str">
        <f>""</f>
        <v/>
      </c>
      <c r="K1621" s="10" t="str">
        <f>"PFES1162630987_0001"</f>
        <v>PFES1162630987_0001</v>
      </c>
      <c r="L1621" s="10">
        <v>1</v>
      </c>
      <c r="M1621" s="10">
        <v>3</v>
      </c>
    </row>
    <row r="1622" spans="1:13">
      <c r="A1622" s="8">
        <v>43272</v>
      </c>
      <c r="B1622" s="9">
        <v>0.67083333333333339</v>
      </c>
      <c r="C1622" s="10" t="str">
        <f>"FES1162630988"</f>
        <v>FES1162630988</v>
      </c>
      <c r="D1622" s="10" t="s">
        <v>19</v>
      </c>
      <c r="E1622" s="10" t="s">
        <v>37</v>
      </c>
      <c r="F1622" s="10" t="str">
        <f>"2170637878 "</f>
        <v xml:space="preserve">2170637878 </v>
      </c>
      <c r="G1622" s="10" t="str">
        <f t="shared" si="47"/>
        <v>ON1</v>
      </c>
      <c r="H1622" s="10" t="s">
        <v>21</v>
      </c>
      <c r="I1622" s="10" t="s">
        <v>38</v>
      </c>
      <c r="J1622" s="10" t="str">
        <f>""</f>
        <v/>
      </c>
      <c r="K1622" s="10" t="str">
        <f>"PFES1162630988_0001"</f>
        <v>PFES1162630988_0001</v>
      </c>
      <c r="L1622" s="10">
        <v>1</v>
      </c>
      <c r="M1622" s="10">
        <v>2</v>
      </c>
    </row>
    <row r="1623" spans="1:13">
      <c r="A1623" s="8">
        <v>43272</v>
      </c>
      <c r="B1623" s="9">
        <v>0.67013888888888884</v>
      </c>
      <c r="C1623" s="10" t="str">
        <f>"FES1162630971"</f>
        <v>FES1162630971</v>
      </c>
      <c r="D1623" s="10" t="s">
        <v>19</v>
      </c>
      <c r="E1623" s="10" t="s">
        <v>198</v>
      </c>
      <c r="F1623" s="10" t="str">
        <f>"2170637862 "</f>
        <v xml:space="preserve">2170637862 </v>
      </c>
      <c r="G1623" s="10" t="str">
        <f t="shared" si="47"/>
        <v>ON1</v>
      </c>
      <c r="H1623" s="10" t="s">
        <v>21</v>
      </c>
      <c r="I1623" s="10" t="s">
        <v>199</v>
      </c>
      <c r="J1623" s="10" t="str">
        <f>""</f>
        <v/>
      </c>
      <c r="K1623" s="10" t="str">
        <f>"PFES1162630971_0001"</f>
        <v>PFES1162630971_0001</v>
      </c>
      <c r="L1623" s="10">
        <v>1</v>
      </c>
      <c r="M1623" s="10">
        <v>2</v>
      </c>
    </row>
    <row r="1624" spans="1:13">
      <c r="A1624" s="8">
        <v>43272</v>
      </c>
      <c r="B1624" s="9">
        <v>0.6694444444444444</v>
      </c>
      <c r="C1624" s="10" t="str">
        <f>"FES1162631056"</f>
        <v>FES1162631056</v>
      </c>
      <c r="D1624" s="10" t="s">
        <v>19</v>
      </c>
      <c r="E1624" s="10" t="s">
        <v>23</v>
      </c>
      <c r="F1624" s="10" t="str">
        <f>"2170637966 "</f>
        <v xml:space="preserve">2170637966 </v>
      </c>
      <c r="G1624" s="10" t="str">
        <f t="shared" si="47"/>
        <v>ON1</v>
      </c>
      <c r="H1624" s="10" t="s">
        <v>21</v>
      </c>
      <c r="I1624" s="10" t="s">
        <v>24</v>
      </c>
      <c r="J1624" s="10" t="str">
        <f>""</f>
        <v/>
      </c>
      <c r="K1624" s="10" t="str">
        <f>"PFES1162631056_0001"</f>
        <v>PFES1162631056_0001</v>
      </c>
      <c r="L1624" s="10">
        <v>1</v>
      </c>
      <c r="M1624" s="10">
        <v>10</v>
      </c>
    </row>
    <row r="1625" spans="1:13">
      <c r="A1625" s="8">
        <v>43272</v>
      </c>
      <c r="B1625" s="9">
        <v>0.66527777777777775</v>
      </c>
      <c r="C1625" s="10" t="str">
        <f>"FES1162630998"</f>
        <v>FES1162630998</v>
      </c>
      <c r="D1625" s="10" t="s">
        <v>19</v>
      </c>
      <c r="E1625" s="10" t="s">
        <v>490</v>
      </c>
      <c r="F1625" s="10" t="str">
        <f>"2170637886 "</f>
        <v xml:space="preserve">2170637886 </v>
      </c>
      <c r="G1625" s="10" t="str">
        <f t="shared" si="47"/>
        <v>ON1</v>
      </c>
      <c r="H1625" s="10" t="s">
        <v>21</v>
      </c>
      <c r="I1625" s="10" t="s">
        <v>393</v>
      </c>
      <c r="J1625" s="10" t="str">
        <f>""</f>
        <v/>
      </c>
      <c r="K1625" s="10" t="str">
        <f>"PFES1162630998_0001"</f>
        <v>PFES1162630998_0001</v>
      </c>
      <c r="L1625" s="10">
        <v>1</v>
      </c>
      <c r="M1625" s="10">
        <v>5</v>
      </c>
    </row>
    <row r="1626" spans="1:13">
      <c r="A1626" s="8">
        <v>43272</v>
      </c>
      <c r="B1626" s="9">
        <v>0.6645833333333333</v>
      </c>
      <c r="C1626" s="10" t="str">
        <f>"FES1162630967"</f>
        <v>FES1162630967</v>
      </c>
      <c r="D1626" s="10" t="s">
        <v>19</v>
      </c>
      <c r="E1626" s="10" t="s">
        <v>861</v>
      </c>
      <c r="F1626" s="10" t="str">
        <f>"2170636002 "</f>
        <v xml:space="preserve">2170636002 </v>
      </c>
      <c r="G1626" s="10" t="str">
        <f t="shared" si="47"/>
        <v>ON1</v>
      </c>
      <c r="H1626" s="10" t="s">
        <v>21</v>
      </c>
      <c r="I1626" s="10" t="s">
        <v>32</v>
      </c>
      <c r="J1626" s="10" t="str">
        <f>""</f>
        <v/>
      </c>
      <c r="K1626" s="10" t="str">
        <f>"PFES1162630967_0001"</f>
        <v>PFES1162630967_0001</v>
      </c>
      <c r="L1626" s="10">
        <v>1</v>
      </c>
      <c r="M1626" s="10">
        <v>8</v>
      </c>
    </row>
    <row r="1627" spans="1:13">
      <c r="A1627" s="8">
        <v>43272</v>
      </c>
      <c r="B1627" s="9">
        <v>0.66388888888888886</v>
      </c>
      <c r="C1627" s="10" t="str">
        <f>"FES1162630993"</f>
        <v>FES1162630993</v>
      </c>
      <c r="D1627" s="10" t="s">
        <v>19</v>
      </c>
      <c r="E1627" s="10" t="s">
        <v>101</v>
      </c>
      <c r="F1627" s="10" t="str">
        <f>"2170632219 "</f>
        <v xml:space="preserve">2170632219 </v>
      </c>
      <c r="G1627" s="10" t="str">
        <f t="shared" si="47"/>
        <v>ON1</v>
      </c>
      <c r="H1627" s="10" t="s">
        <v>21</v>
      </c>
      <c r="I1627" s="10" t="s">
        <v>102</v>
      </c>
      <c r="J1627" s="10" t="str">
        <f>""</f>
        <v/>
      </c>
      <c r="K1627" s="10" t="str">
        <f>"PFES1162630993_0001"</f>
        <v>PFES1162630993_0001</v>
      </c>
      <c r="L1627" s="10">
        <v>1</v>
      </c>
      <c r="M1627" s="10">
        <v>3</v>
      </c>
    </row>
    <row r="1628" spans="1:13">
      <c r="A1628" s="8">
        <v>43272</v>
      </c>
      <c r="B1628" s="9">
        <v>0.66319444444444442</v>
      </c>
      <c r="C1628" s="10" t="str">
        <f>"FES1162630994"</f>
        <v>FES1162630994</v>
      </c>
      <c r="D1628" s="10" t="s">
        <v>19</v>
      </c>
      <c r="E1628" s="10" t="s">
        <v>101</v>
      </c>
      <c r="F1628" s="10" t="str">
        <f>"2170633178 "</f>
        <v xml:space="preserve">2170633178 </v>
      </c>
      <c r="G1628" s="10" t="str">
        <f t="shared" si="47"/>
        <v>ON1</v>
      </c>
      <c r="H1628" s="10" t="s">
        <v>21</v>
      </c>
      <c r="I1628" s="10" t="s">
        <v>102</v>
      </c>
      <c r="J1628" s="10" t="str">
        <f>""</f>
        <v/>
      </c>
      <c r="K1628" s="10" t="str">
        <f>"PFES1162630994_0001"</f>
        <v>PFES1162630994_0001</v>
      </c>
      <c r="L1628" s="10">
        <v>1</v>
      </c>
      <c r="M1628" s="10">
        <v>4</v>
      </c>
    </row>
    <row r="1629" spans="1:13">
      <c r="A1629" s="8">
        <v>43272</v>
      </c>
      <c r="B1629" s="9">
        <v>0.66249999999999998</v>
      </c>
      <c r="C1629" s="10" t="str">
        <f>"FES1162631042"</f>
        <v>FES1162631042</v>
      </c>
      <c r="D1629" s="10" t="s">
        <v>19</v>
      </c>
      <c r="E1629" s="10" t="s">
        <v>169</v>
      </c>
      <c r="F1629" s="10" t="str">
        <f>"2170637943 "</f>
        <v xml:space="preserve">2170637943 </v>
      </c>
      <c r="G1629" s="10" t="str">
        <f t="shared" si="47"/>
        <v>ON1</v>
      </c>
      <c r="H1629" s="10" t="s">
        <v>21</v>
      </c>
      <c r="I1629" s="10" t="s">
        <v>170</v>
      </c>
      <c r="J1629" s="10" t="str">
        <f>""</f>
        <v/>
      </c>
      <c r="K1629" s="10" t="str">
        <f>"PFES1162631042_0001"</f>
        <v>PFES1162631042_0001</v>
      </c>
      <c r="L1629" s="10">
        <v>1</v>
      </c>
      <c r="M1629" s="10">
        <v>1</v>
      </c>
    </row>
    <row r="1630" spans="1:13">
      <c r="A1630" s="8">
        <v>43272</v>
      </c>
      <c r="B1630" s="9">
        <v>0.66249999999999998</v>
      </c>
      <c r="C1630" s="10" t="str">
        <f>"FES1162630909"</f>
        <v>FES1162630909</v>
      </c>
      <c r="D1630" s="10" t="s">
        <v>19</v>
      </c>
      <c r="E1630" s="10" t="s">
        <v>862</v>
      </c>
      <c r="F1630" s="10" t="str">
        <f>"2170634130 "</f>
        <v xml:space="preserve">2170634130 </v>
      </c>
      <c r="G1630" s="10" t="str">
        <f t="shared" si="47"/>
        <v>ON1</v>
      </c>
      <c r="H1630" s="10" t="s">
        <v>21</v>
      </c>
      <c r="I1630" s="10" t="s">
        <v>446</v>
      </c>
      <c r="J1630" s="10" t="str">
        <f>""</f>
        <v/>
      </c>
      <c r="K1630" s="10" t="str">
        <f>"PFES1162630909_0001"</f>
        <v>PFES1162630909_0001</v>
      </c>
      <c r="L1630" s="10">
        <v>1</v>
      </c>
      <c r="M1630" s="10">
        <v>1</v>
      </c>
    </row>
    <row r="1631" spans="1:13">
      <c r="A1631" s="8">
        <v>43272</v>
      </c>
      <c r="B1631" s="9">
        <v>0.66249999999999998</v>
      </c>
      <c r="C1631" s="10" t="str">
        <f>"FES1162630872"</f>
        <v>FES1162630872</v>
      </c>
      <c r="D1631" s="10" t="s">
        <v>19</v>
      </c>
      <c r="E1631" s="10" t="s">
        <v>188</v>
      </c>
      <c r="F1631" s="10" t="str">
        <f>"2170634598 "</f>
        <v xml:space="preserve">2170634598 </v>
      </c>
      <c r="G1631" s="10" t="str">
        <f t="shared" si="47"/>
        <v>ON1</v>
      </c>
      <c r="H1631" s="10" t="s">
        <v>21</v>
      </c>
      <c r="I1631" s="10" t="s">
        <v>189</v>
      </c>
      <c r="J1631" s="10" t="str">
        <f>""</f>
        <v/>
      </c>
      <c r="K1631" s="10" t="str">
        <f>"PFES1162630872_0001"</f>
        <v>PFES1162630872_0001</v>
      </c>
      <c r="L1631" s="10">
        <v>1</v>
      </c>
      <c r="M1631" s="10">
        <v>16</v>
      </c>
    </row>
    <row r="1632" spans="1:13">
      <c r="A1632" s="8">
        <v>43272</v>
      </c>
      <c r="B1632" s="9">
        <v>0.66180555555555554</v>
      </c>
      <c r="C1632" s="10" t="str">
        <f>"FES1162630915"</f>
        <v>FES1162630915</v>
      </c>
      <c r="D1632" s="10" t="s">
        <v>19</v>
      </c>
      <c r="E1632" s="10" t="s">
        <v>37</v>
      </c>
      <c r="F1632" s="10" t="str">
        <f>"2170635946 "</f>
        <v xml:space="preserve">2170635946 </v>
      </c>
      <c r="G1632" s="10" t="str">
        <f t="shared" si="47"/>
        <v>ON1</v>
      </c>
      <c r="H1632" s="10" t="s">
        <v>21</v>
      </c>
      <c r="I1632" s="10" t="s">
        <v>38</v>
      </c>
      <c r="J1632" s="10" t="str">
        <f>""</f>
        <v/>
      </c>
      <c r="K1632" s="10" t="str">
        <f>"PFES1162630915_0001"</f>
        <v>PFES1162630915_0001</v>
      </c>
      <c r="L1632" s="10">
        <v>1</v>
      </c>
      <c r="M1632" s="10">
        <v>1</v>
      </c>
    </row>
    <row r="1633" spans="1:13">
      <c r="A1633" s="8">
        <v>43272</v>
      </c>
      <c r="B1633" s="9">
        <v>0.66180555555555554</v>
      </c>
      <c r="C1633" s="10" t="str">
        <f>"FES1162630992"</f>
        <v>FES1162630992</v>
      </c>
      <c r="D1633" s="10" t="s">
        <v>19</v>
      </c>
      <c r="E1633" s="10" t="s">
        <v>72</v>
      </c>
      <c r="F1633" s="10" t="str">
        <f>"2170630840 "</f>
        <v xml:space="preserve">2170630840 </v>
      </c>
      <c r="G1633" s="10" t="str">
        <f t="shared" si="47"/>
        <v>ON1</v>
      </c>
      <c r="H1633" s="10" t="s">
        <v>21</v>
      </c>
      <c r="I1633" s="10" t="s">
        <v>73</v>
      </c>
      <c r="J1633" s="10" t="str">
        <f>""</f>
        <v/>
      </c>
      <c r="K1633" s="10" t="str">
        <f>"PFES1162630992_0001"</f>
        <v>PFES1162630992_0001</v>
      </c>
      <c r="L1633" s="10">
        <v>1</v>
      </c>
      <c r="M1633" s="10">
        <v>1</v>
      </c>
    </row>
    <row r="1634" spans="1:13">
      <c r="A1634" s="8">
        <v>43272</v>
      </c>
      <c r="B1634" s="9">
        <v>0.66180555555555554</v>
      </c>
      <c r="C1634" s="10" t="str">
        <f>"FES1162630995"</f>
        <v>FES1162630995</v>
      </c>
      <c r="D1634" s="10" t="s">
        <v>19</v>
      </c>
      <c r="E1634" s="10" t="s">
        <v>101</v>
      </c>
      <c r="F1634" s="10" t="str">
        <f>"2170635220 "</f>
        <v xml:space="preserve">2170635220 </v>
      </c>
      <c r="G1634" s="10" t="str">
        <f t="shared" si="47"/>
        <v>ON1</v>
      </c>
      <c r="H1634" s="10" t="s">
        <v>21</v>
      </c>
      <c r="I1634" s="10" t="s">
        <v>102</v>
      </c>
      <c r="J1634" s="10" t="str">
        <f>""</f>
        <v/>
      </c>
      <c r="K1634" s="10" t="str">
        <f>"PFES1162630995_0001"</f>
        <v>PFES1162630995_0001</v>
      </c>
      <c r="L1634" s="10">
        <v>1</v>
      </c>
      <c r="M1634" s="10">
        <v>1</v>
      </c>
    </row>
    <row r="1635" spans="1:13">
      <c r="A1635" s="8">
        <v>43272</v>
      </c>
      <c r="B1635" s="9">
        <v>0.66111111111111109</v>
      </c>
      <c r="C1635" s="10" t="str">
        <f>"FES1162631008"</f>
        <v>FES1162631008</v>
      </c>
      <c r="D1635" s="10" t="s">
        <v>19</v>
      </c>
      <c r="E1635" s="10" t="s">
        <v>316</v>
      </c>
      <c r="F1635" s="10" t="str">
        <f>"2170637900 "</f>
        <v xml:space="preserve">2170637900 </v>
      </c>
      <c r="G1635" s="10" t="str">
        <f t="shared" si="47"/>
        <v>ON1</v>
      </c>
      <c r="H1635" s="10" t="s">
        <v>21</v>
      </c>
      <c r="I1635" s="10" t="s">
        <v>317</v>
      </c>
      <c r="J1635" s="10" t="str">
        <f>""</f>
        <v/>
      </c>
      <c r="K1635" s="10" t="str">
        <f>"PFES1162631008_0001"</f>
        <v>PFES1162631008_0001</v>
      </c>
      <c r="L1635" s="10">
        <v>1</v>
      </c>
      <c r="M1635" s="10">
        <v>1</v>
      </c>
    </row>
    <row r="1636" spans="1:13">
      <c r="A1636" s="8">
        <v>43272</v>
      </c>
      <c r="B1636" s="9">
        <v>0.66111111111111109</v>
      </c>
      <c r="C1636" s="10" t="str">
        <f>"FES1162631035"</f>
        <v>FES1162631035</v>
      </c>
      <c r="D1636" s="10" t="s">
        <v>19</v>
      </c>
      <c r="E1636" s="10" t="s">
        <v>335</v>
      </c>
      <c r="F1636" s="10" t="str">
        <f>"2170637931 "</f>
        <v xml:space="preserve">2170637931 </v>
      </c>
      <c r="G1636" s="10" t="str">
        <f t="shared" si="47"/>
        <v>ON1</v>
      </c>
      <c r="H1636" s="10" t="s">
        <v>21</v>
      </c>
      <c r="I1636" s="10" t="s">
        <v>336</v>
      </c>
      <c r="J1636" s="10" t="str">
        <f>""</f>
        <v/>
      </c>
      <c r="K1636" s="10" t="str">
        <f>"PFES1162631035_0001"</f>
        <v>PFES1162631035_0001</v>
      </c>
      <c r="L1636" s="10">
        <v>1</v>
      </c>
      <c r="M1636" s="10">
        <v>3</v>
      </c>
    </row>
    <row r="1637" spans="1:13">
      <c r="A1637" s="8">
        <v>43272</v>
      </c>
      <c r="B1637" s="9">
        <v>0.66111111111111109</v>
      </c>
      <c r="C1637" s="10" t="str">
        <f>"FES1162630996"</f>
        <v>FES1162630996</v>
      </c>
      <c r="D1637" s="10" t="s">
        <v>19</v>
      </c>
      <c r="E1637" s="10" t="s">
        <v>132</v>
      </c>
      <c r="F1637" s="10" t="str">
        <f>"2170637863 "</f>
        <v xml:space="preserve">2170637863 </v>
      </c>
      <c r="G1637" s="10" t="str">
        <f t="shared" si="47"/>
        <v>ON1</v>
      </c>
      <c r="H1637" s="10" t="s">
        <v>21</v>
      </c>
      <c r="I1637" s="10" t="s">
        <v>69</v>
      </c>
      <c r="J1637" s="10" t="str">
        <f>""</f>
        <v/>
      </c>
      <c r="K1637" s="10" t="str">
        <f>"PFES1162630996_0001"</f>
        <v>PFES1162630996_0001</v>
      </c>
      <c r="L1637" s="10">
        <v>1</v>
      </c>
      <c r="M1637" s="10">
        <v>1</v>
      </c>
    </row>
    <row r="1638" spans="1:13">
      <c r="A1638" s="8">
        <v>43272</v>
      </c>
      <c r="B1638" s="9">
        <v>0.66041666666666665</v>
      </c>
      <c r="C1638" s="10" t="str">
        <f>"FES1162630974"</f>
        <v>FES1162630974</v>
      </c>
      <c r="D1638" s="10" t="s">
        <v>19</v>
      </c>
      <c r="E1638" s="10" t="s">
        <v>490</v>
      </c>
      <c r="F1638" s="10" t="str">
        <f>"2170637841 "</f>
        <v xml:space="preserve">2170637841 </v>
      </c>
      <c r="G1638" s="10" t="str">
        <f t="shared" si="47"/>
        <v>ON1</v>
      </c>
      <c r="H1638" s="10" t="s">
        <v>21</v>
      </c>
      <c r="I1638" s="10" t="s">
        <v>393</v>
      </c>
      <c r="J1638" s="10" t="str">
        <f>""</f>
        <v/>
      </c>
      <c r="K1638" s="10" t="str">
        <f>"PFES1162630974_0001"</f>
        <v>PFES1162630974_0001</v>
      </c>
      <c r="L1638" s="10">
        <v>1</v>
      </c>
      <c r="M1638" s="10">
        <v>1</v>
      </c>
    </row>
    <row r="1639" spans="1:13">
      <c r="A1639" s="8">
        <v>43272</v>
      </c>
      <c r="B1639" s="9">
        <v>0.66041666666666665</v>
      </c>
      <c r="C1639" s="10" t="str">
        <f>"FES1162631027"</f>
        <v>FES1162631027</v>
      </c>
      <c r="D1639" s="10" t="s">
        <v>19</v>
      </c>
      <c r="E1639" s="10" t="s">
        <v>90</v>
      </c>
      <c r="F1639" s="10" t="str">
        <f>"2170637924 "</f>
        <v xml:space="preserve">2170637924 </v>
      </c>
      <c r="G1639" s="10" t="str">
        <f t="shared" si="47"/>
        <v>ON1</v>
      </c>
      <c r="H1639" s="10" t="s">
        <v>21</v>
      </c>
      <c r="I1639" s="10" t="s">
        <v>91</v>
      </c>
      <c r="J1639" s="10" t="str">
        <f>""</f>
        <v/>
      </c>
      <c r="K1639" s="10" t="str">
        <f>"PFES1162631027_0001"</f>
        <v>PFES1162631027_0001</v>
      </c>
      <c r="L1639" s="10">
        <v>1</v>
      </c>
      <c r="M1639" s="10">
        <v>1</v>
      </c>
    </row>
    <row r="1640" spans="1:13">
      <c r="A1640" s="8">
        <v>43272</v>
      </c>
      <c r="B1640" s="9">
        <v>0.66041666666666665</v>
      </c>
      <c r="C1640" s="10" t="str">
        <f>"FES1162630958"</f>
        <v>FES1162630958</v>
      </c>
      <c r="D1640" s="10" t="s">
        <v>19</v>
      </c>
      <c r="E1640" s="10" t="s">
        <v>124</v>
      </c>
      <c r="F1640" s="10" t="str">
        <f>"2170637846 "</f>
        <v xml:space="preserve">2170637846 </v>
      </c>
      <c r="G1640" s="10" t="str">
        <f t="shared" si="47"/>
        <v>ON1</v>
      </c>
      <c r="H1640" s="10" t="s">
        <v>21</v>
      </c>
      <c r="I1640" s="10" t="s">
        <v>40</v>
      </c>
      <c r="J1640" s="10" t="str">
        <f>""</f>
        <v/>
      </c>
      <c r="K1640" s="10" t="str">
        <f>"PFES1162630958_0001"</f>
        <v>PFES1162630958_0001</v>
      </c>
      <c r="L1640" s="10">
        <v>1</v>
      </c>
      <c r="M1640" s="10">
        <v>5</v>
      </c>
    </row>
    <row r="1641" spans="1:13">
      <c r="A1641" s="8">
        <v>43272</v>
      </c>
      <c r="B1641" s="9">
        <v>0.65972222222222221</v>
      </c>
      <c r="C1641" s="10" t="str">
        <f>"FES1162630979"</f>
        <v>FES1162630979</v>
      </c>
      <c r="D1641" s="10" t="s">
        <v>19</v>
      </c>
      <c r="E1641" s="10" t="s">
        <v>512</v>
      </c>
      <c r="F1641" s="10" t="str">
        <f>"2170637869 "</f>
        <v xml:space="preserve">2170637869 </v>
      </c>
      <c r="G1641" s="10" t="str">
        <f t="shared" si="47"/>
        <v>ON1</v>
      </c>
      <c r="H1641" s="10" t="s">
        <v>21</v>
      </c>
      <c r="I1641" s="10" t="s">
        <v>131</v>
      </c>
      <c r="J1641" s="10" t="str">
        <f>""</f>
        <v/>
      </c>
      <c r="K1641" s="10" t="str">
        <f>"PFES1162630979_0001"</f>
        <v>PFES1162630979_0001</v>
      </c>
      <c r="L1641" s="10">
        <v>1</v>
      </c>
      <c r="M1641" s="10">
        <v>1</v>
      </c>
    </row>
    <row r="1642" spans="1:13">
      <c r="A1642" s="8">
        <v>43272</v>
      </c>
      <c r="B1642" s="9">
        <v>0.65972222222222221</v>
      </c>
      <c r="C1642" s="10" t="str">
        <f>"FES1162630990"</f>
        <v>FES1162630990</v>
      </c>
      <c r="D1642" s="10" t="s">
        <v>19</v>
      </c>
      <c r="E1642" s="10" t="s">
        <v>354</v>
      </c>
      <c r="F1642" s="10" t="str">
        <f>"2170637882 "</f>
        <v xml:space="preserve">2170637882 </v>
      </c>
      <c r="G1642" s="10" t="str">
        <f t="shared" si="47"/>
        <v>ON1</v>
      </c>
      <c r="H1642" s="10" t="s">
        <v>21</v>
      </c>
      <c r="I1642" s="10" t="s">
        <v>349</v>
      </c>
      <c r="J1642" s="10" t="str">
        <f>""</f>
        <v/>
      </c>
      <c r="K1642" s="10" t="str">
        <f>"PFES1162630990_0001"</f>
        <v>PFES1162630990_0001</v>
      </c>
      <c r="L1642" s="10">
        <v>1</v>
      </c>
      <c r="M1642" s="10">
        <v>1</v>
      </c>
    </row>
    <row r="1643" spans="1:13">
      <c r="A1643" s="8">
        <v>43272</v>
      </c>
      <c r="B1643" s="9">
        <v>0.65902777777777777</v>
      </c>
      <c r="C1643" s="10" t="str">
        <f>"FES1162631048"</f>
        <v>FES1162631048</v>
      </c>
      <c r="D1643" s="10" t="s">
        <v>19</v>
      </c>
      <c r="E1643" s="10" t="s">
        <v>863</v>
      </c>
      <c r="F1643" s="10" t="str">
        <f>"2170637953 "</f>
        <v xml:space="preserve">2170637953 </v>
      </c>
      <c r="G1643" s="10" t="str">
        <f t="shared" si="47"/>
        <v>ON1</v>
      </c>
      <c r="H1643" s="10" t="s">
        <v>21</v>
      </c>
      <c r="I1643" s="10" t="s">
        <v>28</v>
      </c>
      <c r="J1643" s="10" t="str">
        <f>""</f>
        <v/>
      </c>
      <c r="K1643" s="10" t="str">
        <f>"PFES1162631048_0001"</f>
        <v>PFES1162631048_0001</v>
      </c>
      <c r="L1643" s="10">
        <v>1</v>
      </c>
      <c r="M1643" s="10">
        <v>1</v>
      </c>
    </row>
    <row r="1644" spans="1:13">
      <c r="A1644" s="8">
        <v>43272</v>
      </c>
      <c r="B1644" s="9">
        <v>0.65902777777777777</v>
      </c>
      <c r="C1644" s="10" t="str">
        <f>"FES1162631053"</f>
        <v>FES1162631053</v>
      </c>
      <c r="D1644" s="10" t="s">
        <v>19</v>
      </c>
      <c r="E1644" s="10" t="s">
        <v>95</v>
      </c>
      <c r="F1644" s="10" t="str">
        <f>"2170637956 "</f>
        <v xml:space="preserve">2170637956 </v>
      </c>
      <c r="G1644" s="10" t="str">
        <f t="shared" si="47"/>
        <v>ON1</v>
      </c>
      <c r="H1644" s="10" t="s">
        <v>21</v>
      </c>
      <c r="I1644" s="10" t="s">
        <v>96</v>
      </c>
      <c r="J1644" s="10" t="str">
        <f>""</f>
        <v/>
      </c>
      <c r="K1644" s="10" t="str">
        <f>"PFES1162631053_0001"</f>
        <v>PFES1162631053_0001</v>
      </c>
      <c r="L1644" s="10">
        <v>1</v>
      </c>
      <c r="M1644" s="10">
        <v>1</v>
      </c>
    </row>
    <row r="1645" spans="1:13">
      <c r="A1645" s="8">
        <v>43272</v>
      </c>
      <c r="B1645" s="9">
        <v>0.65763888888888888</v>
      </c>
      <c r="C1645" s="10" t="str">
        <f>"FES1162630955"</f>
        <v>FES1162630955</v>
      </c>
      <c r="D1645" s="10" t="s">
        <v>19</v>
      </c>
      <c r="E1645" s="10" t="s">
        <v>62</v>
      </c>
      <c r="F1645" s="10" t="str">
        <f>"2170636142 "</f>
        <v xml:space="preserve">2170636142 </v>
      </c>
      <c r="G1645" s="10" t="str">
        <f t="shared" si="47"/>
        <v>ON1</v>
      </c>
      <c r="H1645" s="10" t="s">
        <v>21</v>
      </c>
      <c r="I1645" s="10" t="s">
        <v>63</v>
      </c>
      <c r="J1645" s="10" t="str">
        <f>""</f>
        <v/>
      </c>
      <c r="K1645" s="10" t="str">
        <f>"PFES1162630955_0001"</f>
        <v>PFES1162630955_0001</v>
      </c>
      <c r="L1645" s="10">
        <v>1</v>
      </c>
      <c r="M1645" s="10">
        <v>9</v>
      </c>
    </row>
    <row r="1646" spans="1:13">
      <c r="A1646" s="8">
        <v>43272</v>
      </c>
      <c r="B1646" s="9">
        <v>0.65277777777777779</v>
      </c>
      <c r="C1646" s="10" t="str">
        <f>"FES1162631032"</f>
        <v>FES1162631032</v>
      </c>
      <c r="D1646" s="10" t="s">
        <v>19</v>
      </c>
      <c r="E1646" s="10" t="s">
        <v>411</v>
      </c>
      <c r="F1646" s="10" t="str">
        <f>"2170637925 "</f>
        <v xml:space="preserve">2170637925 </v>
      </c>
      <c r="G1646" s="10" t="str">
        <f t="shared" si="47"/>
        <v>ON1</v>
      </c>
      <c r="H1646" s="10" t="s">
        <v>21</v>
      </c>
      <c r="I1646" s="10" t="s">
        <v>28</v>
      </c>
      <c r="J1646" s="10" t="str">
        <f>""</f>
        <v/>
      </c>
      <c r="K1646" s="10" t="str">
        <f>"PFES1162631032_0001"</f>
        <v>PFES1162631032_0001</v>
      </c>
      <c r="L1646" s="10">
        <v>1</v>
      </c>
      <c r="M1646" s="10">
        <v>5</v>
      </c>
    </row>
    <row r="1647" spans="1:13">
      <c r="A1647" s="8">
        <v>43272</v>
      </c>
      <c r="B1647" s="9">
        <v>0.65208333333333335</v>
      </c>
      <c r="C1647" s="10" t="str">
        <f>"FES1162630842"</f>
        <v>FES1162630842</v>
      </c>
      <c r="D1647" s="10" t="s">
        <v>19</v>
      </c>
      <c r="E1647" s="10" t="s">
        <v>864</v>
      </c>
      <c r="F1647" s="10" t="str">
        <f>"2170637775 "</f>
        <v xml:space="preserve">2170637775 </v>
      </c>
      <c r="G1647" s="10" t="str">
        <f t="shared" si="47"/>
        <v>ON1</v>
      </c>
      <c r="H1647" s="10" t="s">
        <v>21</v>
      </c>
      <c r="I1647" s="10" t="s">
        <v>71</v>
      </c>
      <c r="J1647" s="10" t="str">
        <f>""</f>
        <v/>
      </c>
      <c r="K1647" s="10" t="str">
        <f>"PFES1162630842_0001"</f>
        <v>PFES1162630842_0001</v>
      </c>
      <c r="L1647" s="10">
        <v>1</v>
      </c>
      <c r="M1647" s="10">
        <v>4</v>
      </c>
    </row>
    <row r="1648" spans="1:13">
      <c r="A1648" s="8">
        <v>43272</v>
      </c>
      <c r="B1648" s="9">
        <v>0.65138888888888891</v>
      </c>
      <c r="C1648" s="10" t="str">
        <f>"FES1162631043"</f>
        <v>FES1162631043</v>
      </c>
      <c r="D1648" s="10" t="s">
        <v>19</v>
      </c>
      <c r="E1648" s="10" t="s">
        <v>499</v>
      </c>
      <c r="F1648" s="10" t="str">
        <f>"217063943 "</f>
        <v xml:space="preserve">217063943 </v>
      </c>
      <c r="G1648" s="10" t="str">
        <f t="shared" si="47"/>
        <v>ON1</v>
      </c>
      <c r="H1648" s="10" t="s">
        <v>21</v>
      </c>
      <c r="I1648" s="10" t="s">
        <v>158</v>
      </c>
      <c r="J1648" s="10" t="str">
        <f>""</f>
        <v/>
      </c>
      <c r="K1648" s="10" t="str">
        <f>"PFES1162631043_0001"</f>
        <v>PFES1162631043_0001</v>
      </c>
      <c r="L1648" s="10">
        <v>1</v>
      </c>
      <c r="M1648" s="10">
        <v>1</v>
      </c>
    </row>
    <row r="1649" spans="1:13">
      <c r="A1649" s="8">
        <v>43272</v>
      </c>
      <c r="B1649" s="9">
        <v>0.65069444444444446</v>
      </c>
      <c r="C1649" s="10" t="str">
        <f>"FES1162630887"</f>
        <v>FES1162630887</v>
      </c>
      <c r="D1649" s="10" t="s">
        <v>19</v>
      </c>
      <c r="E1649" s="10" t="s">
        <v>865</v>
      </c>
      <c r="F1649" s="10" t="str">
        <f>"2170635585 "</f>
        <v xml:space="preserve">2170635585 </v>
      </c>
      <c r="G1649" s="10" t="str">
        <f t="shared" si="47"/>
        <v>ON1</v>
      </c>
      <c r="H1649" s="10" t="s">
        <v>21</v>
      </c>
      <c r="I1649" s="10" t="s">
        <v>485</v>
      </c>
      <c r="J1649" s="10" t="str">
        <f>""</f>
        <v/>
      </c>
      <c r="K1649" s="10" t="str">
        <f>"PFES1162630887_0001"</f>
        <v>PFES1162630887_0001</v>
      </c>
      <c r="L1649" s="10">
        <v>1</v>
      </c>
      <c r="M1649" s="10">
        <v>1</v>
      </c>
    </row>
    <row r="1650" spans="1:13">
      <c r="A1650" s="8">
        <v>43272</v>
      </c>
      <c r="B1650" s="9">
        <v>0.65069444444444446</v>
      </c>
      <c r="C1650" s="10" t="str">
        <f>"FES1162631002"</f>
        <v>FES1162631002</v>
      </c>
      <c r="D1650" s="10" t="s">
        <v>19</v>
      </c>
      <c r="E1650" s="10" t="s">
        <v>866</v>
      </c>
      <c r="F1650" s="10" t="str">
        <f>"2170637893 "</f>
        <v xml:space="preserve">2170637893 </v>
      </c>
      <c r="G1650" s="10" t="str">
        <f t="shared" si="47"/>
        <v>ON1</v>
      </c>
      <c r="H1650" s="10" t="s">
        <v>21</v>
      </c>
      <c r="I1650" s="10" t="s">
        <v>867</v>
      </c>
      <c r="J1650" s="10" t="str">
        <f>""</f>
        <v/>
      </c>
      <c r="K1650" s="10" t="str">
        <f>"PFES1162631002_0001"</f>
        <v>PFES1162631002_0001</v>
      </c>
      <c r="L1650" s="10">
        <v>1</v>
      </c>
      <c r="M1650" s="10">
        <v>1</v>
      </c>
    </row>
    <row r="1651" spans="1:13">
      <c r="A1651" s="8">
        <v>43272</v>
      </c>
      <c r="B1651" s="9">
        <v>0.62291666666666667</v>
      </c>
      <c r="C1651" s="10" t="str">
        <f>"FES1162630877"</f>
        <v>FES1162630877</v>
      </c>
      <c r="D1651" s="10" t="s">
        <v>19</v>
      </c>
      <c r="E1651" s="10" t="s">
        <v>491</v>
      </c>
      <c r="F1651" s="10" t="str">
        <f>"2170635316 "</f>
        <v xml:space="preserve">2170635316 </v>
      </c>
      <c r="G1651" s="10" t="str">
        <f t="shared" si="47"/>
        <v>ON1</v>
      </c>
      <c r="H1651" s="10" t="s">
        <v>21</v>
      </c>
      <c r="I1651" s="10" t="s">
        <v>228</v>
      </c>
      <c r="J1651" s="10" t="str">
        <f>""</f>
        <v/>
      </c>
      <c r="K1651" s="10" t="str">
        <f>"PFES1162630877_0001"</f>
        <v>PFES1162630877_0001</v>
      </c>
      <c r="L1651" s="10">
        <v>1</v>
      </c>
      <c r="M1651" s="10">
        <v>3</v>
      </c>
    </row>
    <row r="1652" spans="1:13">
      <c r="A1652" s="8">
        <v>43272</v>
      </c>
      <c r="B1652" s="9">
        <v>0.62291666666666667</v>
      </c>
      <c r="C1652" s="10" t="str">
        <f>"FES1162630891"</f>
        <v>FES1162630891</v>
      </c>
      <c r="D1652" s="10" t="s">
        <v>19</v>
      </c>
      <c r="E1652" s="10" t="s">
        <v>169</v>
      </c>
      <c r="F1652" s="10" t="str">
        <f>"2170637540 "</f>
        <v xml:space="preserve">2170637540 </v>
      </c>
      <c r="G1652" s="10" t="str">
        <f t="shared" si="47"/>
        <v>ON1</v>
      </c>
      <c r="H1652" s="10" t="s">
        <v>21</v>
      </c>
      <c r="I1652" s="10" t="s">
        <v>170</v>
      </c>
      <c r="J1652" s="10" t="str">
        <f>""</f>
        <v/>
      </c>
      <c r="K1652" s="10" t="str">
        <f>"PFES1162630891_0001"</f>
        <v>PFES1162630891_0001</v>
      </c>
      <c r="L1652" s="10">
        <v>1</v>
      </c>
      <c r="M1652" s="10">
        <v>1</v>
      </c>
    </row>
    <row r="1653" spans="1:13">
      <c r="A1653" s="8">
        <v>43272</v>
      </c>
      <c r="B1653" s="9">
        <v>0.62222222222222223</v>
      </c>
      <c r="C1653" s="10" t="str">
        <f>"FES1162630937"</f>
        <v>FES1162630937</v>
      </c>
      <c r="D1653" s="10" t="s">
        <v>19</v>
      </c>
      <c r="E1653" s="10" t="s">
        <v>656</v>
      </c>
      <c r="F1653" s="10" t="str">
        <f>"2170637845 "</f>
        <v xml:space="preserve">2170637845 </v>
      </c>
      <c r="G1653" s="10" t="str">
        <f t="shared" si="47"/>
        <v>ON1</v>
      </c>
      <c r="H1653" s="10" t="s">
        <v>21</v>
      </c>
      <c r="I1653" s="10" t="s">
        <v>42</v>
      </c>
      <c r="J1653" s="10" t="str">
        <f>""</f>
        <v/>
      </c>
      <c r="K1653" s="10" t="str">
        <f>"PFES1162630937_0001"</f>
        <v>PFES1162630937_0001</v>
      </c>
      <c r="L1653" s="10">
        <v>1</v>
      </c>
      <c r="M1653" s="10">
        <v>1</v>
      </c>
    </row>
    <row r="1654" spans="1:13">
      <c r="A1654" s="8">
        <v>43272</v>
      </c>
      <c r="B1654" s="9">
        <v>0.62222222222222223</v>
      </c>
      <c r="C1654" s="10" t="str">
        <f>"FES1162630853"</f>
        <v>FES1162630853</v>
      </c>
      <c r="D1654" s="10" t="s">
        <v>19</v>
      </c>
      <c r="E1654" s="10" t="s">
        <v>525</v>
      </c>
      <c r="F1654" s="10" t="str">
        <f>"2170637793 "</f>
        <v xml:space="preserve">2170637793 </v>
      </c>
      <c r="G1654" s="10" t="str">
        <f t="shared" si="47"/>
        <v>ON1</v>
      </c>
      <c r="H1654" s="10" t="s">
        <v>21</v>
      </c>
      <c r="I1654" s="10" t="s">
        <v>237</v>
      </c>
      <c r="J1654" s="10" t="str">
        <f>""</f>
        <v/>
      </c>
      <c r="K1654" s="10" t="str">
        <f>"PFES1162630853_0001"</f>
        <v>PFES1162630853_0001</v>
      </c>
      <c r="L1654" s="10">
        <v>1</v>
      </c>
      <c r="M1654" s="10">
        <v>1</v>
      </c>
    </row>
    <row r="1655" spans="1:13">
      <c r="A1655" s="8">
        <v>43272</v>
      </c>
      <c r="B1655" s="9">
        <v>0.62222222222222223</v>
      </c>
      <c r="C1655" s="10" t="str">
        <f>"FES1162630809"</f>
        <v>FES1162630809</v>
      </c>
      <c r="D1655" s="10" t="s">
        <v>19</v>
      </c>
      <c r="E1655" s="10" t="s">
        <v>571</v>
      </c>
      <c r="F1655" s="10" t="str">
        <f>"2170637764 "</f>
        <v xml:space="preserve">2170637764 </v>
      </c>
      <c r="G1655" s="10" t="str">
        <f t="shared" si="47"/>
        <v>ON1</v>
      </c>
      <c r="H1655" s="10" t="s">
        <v>21</v>
      </c>
      <c r="I1655" s="10" t="s">
        <v>174</v>
      </c>
      <c r="J1655" s="10" t="str">
        <f>""</f>
        <v/>
      </c>
      <c r="K1655" s="10" t="str">
        <f>"PFES1162630809_0001"</f>
        <v>PFES1162630809_0001</v>
      </c>
      <c r="L1655" s="10">
        <v>1</v>
      </c>
      <c r="M1655" s="10">
        <v>11</v>
      </c>
    </row>
    <row r="1656" spans="1:13">
      <c r="A1656" s="8">
        <v>43272</v>
      </c>
      <c r="B1656" s="9">
        <v>0.62222222222222223</v>
      </c>
      <c r="C1656" s="10" t="str">
        <f>"FES1162630849"</f>
        <v>FES1162630849</v>
      </c>
      <c r="D1656" s="10" t="s">
        <v>19</v>
      </c>
      <c r="E1656" s="10" t="s">
        <v>47</v>
      </c>
      <c r="F1656" s="10" t="str">
        <f>"2170637787 "</f>
        <v xml:space="preserve">2170637787 </v>
      </c>
      <c r="G1656" s="10" t="str">
        <f t="shared" si="47"/>
        <v>ON1</v>
      </c>
      <c r="H1656" s="10" t="s">
        <v>21</v>
      </c>
      <c r="I1656" s="10" t="s">
        <v>30</v>
      </c>
      <c r="J1656" s="10" t="str">
        <f>""</f>
        <v/>
      </c>
      <c r="K1656" s="10" t="str">
        <f>"PFES1162630849_0001"</f>
        <v>PFES1162630849_0001</v>
      </c>
      <c r="L1656" s="10">
        <v>1</v>
      </c>
      <c r="M1656" s="10">
        <v>1</v>
      </c>
    </row>
    <row r="1657" spans="1:13">
      <c r="A1657" s="8">
        <v>43272</v>
      </c>
      <c r="B1657" s="9">
        <v>0.62152777777777779</v>
      </c>
      <c r="C1657" s="10" t="str">
        <f>"FES1162630832"</f>
        <v>FES1162630832</v>
      </c>
      <c r="D1657" s="10" t="s">
        <v>19</v>
      </c>
      <c r="E1657" s="10" t="s">
        <v>402</v>
      </c>
      <c r="F1657" s="10" t="str">
        <f>"2170637438 "</f>
        <v xml:space="preserve">2170637438 </v>
      </c>
      <c r="G1657" s="10" t="str">
        <f t="shared" si="47"/>
        <v>ON1</v>
      </c>
      <c r="H1657" s="10" t="s">
        <v>21</v>
      </c>
      <c r="I1657" s="10" t="s">
        <v>389</v>
      </c>
      <c r="J1657" s="10" t="str">
        <f>""</f>
        <v/>
      </c>
      <c r="K1657" s="10" t="str">
        <f>"PFES1162630832_0001"</f>
        <v>PFES1162630832_0001</v>
      </c>
      <c r="L1657" s="10">
        <v>1</v>
      </c>
      <c r="M1657" s="10">
        <v>1</v>
      </c>
    </row>
    <row r="1658" spans="1:13">
      <c r="A1658" s="8">
        <v>43272</v>
      </c>
      <c r="B1658" s="9">
        <v>0.62152777777777779</v>
      </c>
      <c r="C1658" s="10" t="str">
        <f>"FES1162630981"</f>
        <v>FES1162630981</v>
      </c>
      <c r="D1658" s="10" t="s">
        <v>19</v>
      </c>
      <c r="E1658" s="10" t="s">
        <v>58</v>
      </c>
      <c r="F1658" s="10" t="str">
        <f>"2170637872 "</f>
        <v xml:space="preserve">2170637872 </v>
      </c>
      <c r="G1658" s="10" t="str">
        <f t="shared" si="47"/>
        <v>ON1</v>
      </c>
      <c r="H1658" s="10" t="s">
        <v>21</v>
      </c>
      <c r="I1658" s="10" t="s">
        <v>59</v>
      </c>
      <c r="J1658" s="10" t="str">
        <f>""</f>
        <v/>
      </c>
      <c r="K1658" s="10" t="str">
        <f>"PFES1162630981_0001"</f>
        <v>PFES1162630981_0001</v>
      </c>
      <c r="L1658" s="10">
        <v>1</v>
      </c>
      <c r="M1658" s="10">
        <v>1</v>
      </c>
    </row>
    <row r="1659" spans="1:13">
      <c r="A1659" s="8">
        <v>43272</v>
      </c>
      <c r="B1659" s="9">
        <v>0.62152777777777779</v>
      </c>
      <c r="C1659" s="10" t="str">
        <f>"FES1162631023"</f>
        <v>FES1162631023</v>
      </c>
      <c r="D1659" s="10" t="s">
        <v>19</v>
      </c>
      <c r="E1659" s="10" t="s">
        <v>868</v>
      </c>
      <c r="F1659" s="10" t="str">
        <f>"2170637917 "</f>
        <v xml:space="preserve">2170637917 </v>
      </c>
      <c r="G1659" s="10" t="str">
        <f t="shared" si="47"/>
        <v>ON1</v>
      </c>
      <c r="H1659" s="10" t="s">
        <v>21</v>
      </c>
      <c r="I1659" s="10" t="s">
        <v>869</v>
      </c>
      <c r="J1659" s="10" t="str">
        <f>""</f>
        <v/>
      </c>
      <c r="K1659" s="10" t="str">
        <f>"PFES1162631023_0001"</f>
        <v>PFES1162631023_0001</v>
      </c>
      <c r="L1659" s="10">
        <v>1</v>
      </c>
      <c r="M1659" s="10">
        <v>1</v>
      </c>
    </row>
    <row r="1660" spans="1:13">
      <c r="A1660" s="8">
        <v>43272</v>
      </c>
      <c r="B1660" s="9">
        <v>0.62152777777777779</v>
      </c>
      <c r="C1660" s="10" t="str">
        <f>"FES1162631000"</f>
        <v>FES1162631000</v>
      </c>
      <c r="D1660" s="10" t="s">
        <v>19</v>
      </c>
      <c r="E1660" s="10" t="s">
        <v>532</v>
      </c>
      <c r="F1660" s="10" t="str">
        <f>"2170637889 "</f>
        <v xml:space="preserve">2170637889 </v>
      </c>
      <c r="G1660" s="10" t="str">
        <f t="shared" si="47"/>
        <v>ON1</v>
      </c>
      <c r="H1660" s="10" t="s">
        <v>21</v>
      </c>
      <c r="I1660" s="10" t="s">
        <v>483</v>
      </c>
      <c r="J1660" s="10" t="str">
        <f>""</f>
        <v/>
      </c>
      <c r="K1660" s="10" t="str">
        <f>"PFES1162631000_0001"</f>
        <v>PFES1162631000_0001</v>
      </c>
      <c r="L1660" s="10">
        <v>1</v>
      </c>
      <c r="M1660" s="10">
        <v>2</v>
      </c>
    </row>
    <row r="1661" spans="1:13">
      <c r="A1661" s="8">
        <v>43272</v>
      </c>
      <c r="B1661" s="9">
        <v>0.62083333333333335</v>
      </c>
      <c r="C1661" s="10" t="str">
        <f>"FES1162631025"</f>
        <v>FES1162631025</v>
      </c>
      <c r="D1661" s="10" t="s">
        <v>19</v>
      </c>
      <c r="E1661" s="10" t="s">
        <v>123</v>
      </c>
      <c r="F1661" s="10" t="str">
        <f>"2170637919 "</f>
        <v xml:space="preserve">2170637919 </v>
      </c>
      <c r="G1661" s="10" t="str">
        <f t="shared" si="47"/>
        <v>ON1</v>
      </c>
      <c r="H1661" s="10" t="s">
        <v>21</v>
      </c>
      <c r="I1661" s="10" t="s">
        <v>26</v>
      </c>
      <c r="J1661" s="10" t="str">
        <f>""</f>
        <v/>
      </c>
      <c r="K1661" s="10" t="str">
        <f>"PFES1162631025_0001"</f>
        <v>PFES1162631025_0001</v>
      </c>
      <c r="L1661" s="10">
        <v>1</v>
      </c>
      <c r="M1661" s="10">
        <v>1</v>
      </c>
    </row>
    <row r="1662" spans="1:13">
      <c r="A1662" s="8">
        <v>43272</v>
      </c>
      <c r="B1662" s="9">
        <v>0.62083333333333335</v>
      </c>
      <c r="C1662" s="10" t="str">
        <f>"FES1162630951"</f>
        <v>FES1162630951</v>
      </c>
      <c r="D1662" s="10" t="s">
        <v>19</v>
      </c>
      <c r="E1662" s="10" t="s">
        <v>856</v>
      </c>
      <c r="F1662" s="10" t="str">
        <f>"2170635885 "</f>
        <v xml:space="preserve">2170635885 </v>
      </c>
      <c r="G1662" s="10" t="str">
        <f t="shared" si="47"/>
        <v>ON1</v>
      </c>
      <c r="H1662" s="10" t="s">
        <v>21</v>
      </c>
      <c r="I1662" s="10" t="s">
        <v>32</v>
      </c>
      <c r="J1662" s="10" t="str">
        <f>""</f>
        <v/>
      </c>
      <c r="K1662" s="10" t="str">
        <f>"PFES1162630951_0001"</f>
        <v>PFES1162630951_0001</v>
      </c>
      <c r="L1662" s="10">
        <v>1</v>
      </c>
      <c r="M1662" s="10">
        <v>1</v>
      </c>
    </row>
    <row r="1663" spans="1:13">
      <c r="A1663" s="8">
        <v>43272</v>
      </c>
      <c r="B1663" s="9">
        <v>0.62013888888888891</v>
      </c>
      <c r="C1663" s="10" t="str">
        <f>"FES1162630903"</f>
        <v>FES1162630903</v>
      </c>
      <c r="D1663" s="10" t="s">
        <v>19</v>
      </c>
      <c r="E1663" s="10" t="s">
        <v>870</v>
      </c>
      <c r="F1663" s="10" t="str">
        <f>"2170630903 "</f>
        <v xml:space="preserve">2170630903 </v>
      </c>
      <c r="G1663" s="10" t="str">
        <f t="shared" si="47"/>
        <v>ON1</v>
      </c>
      <c r="H1663" s="10" t="s">
        <v>21</v>
      </c>
      <c r="I1663" s="10" t="s">
        <v>558</v>
      </c>
      <c r="J1663" s="10" t="str">
        <f>""</f>
        <v/>
      </c>
      <c r="K1663" s="10" t="str">
        <f>"PFES1162630903_0001"</f>
        <v>PFES1162630903_0001</v>
      </c>
      <c r="L1663" s="10">
        <v>1</v>
      </c>
      <c r="M1663" s="10">
        <v>5</v>
      </c>
    </row>
    <row r="1664" spans="1:13">
      <c r="A1664" s="8">
        <v>43272</v>
      </c>
      <c r="B1664" s="9">
        <v>0.61944444444444446</v>
      </c>
      <c r="C1664" s="10" t="str">
        <f>"FES1162630885"</f>
        <v>FES1162630885</v>
      </c>
      <c r="D1664" s="10" t="s">
        <v>19</v>
      </c>
      <c r="E1664" s="10" t="s">
        <v>621</v>
      </c>
      <c r="F1664" s="10" t="str">
        <f>"2170635541"</f>
        <v>2170635541</v>
      </c>
      <c r="G1664" s="10" t="str">
        <f t="shared" si="47"/>
        <v>ON1</v>
      </c>
      <c r="H1664" s="10" t="s">
        <v>21</v>
      </c>
      <c r="I1664" s="10" t="s">
        <v>622</v>
      </c>
      <c r="K1664" s="10" t="str">
        <f>"PFES1162630885_0001"</f>
        <v>PFES1162630885_0001</v>
      </c>
      <c r="L1664" s="10">
        <v>1</v>
      </c>
      <c r="M1664" s="10">
        <v>9</v>
      </c>
    </row>
    <row r="1665" spans="1:13">
      <c r="A1665" s="8">
        <v>43272</v>
      </c>
      <c r="B1665" s="9">
        <v>0.61875000000000002</v>
      </c>
      <c r="C1665" s="10" t="str">
        <f>"FES1162630277"</f>
        <v>FES1162630277</v>
      </c>
      <c r="D1665" s="10" t="s">
        <v>19</v>
      </c>
      <c r="E1665" s="10" t="s">
        <v>871</v>
      </c>
      <c r="F1665" s="10" t="str">
        <f>"2170631834 "</f>
        <v xml:space="preserve">2170631834 </v>
      </c>
      <c r="G1665" s="10" t="str">
        <f t="shared" ref="G1665:G1685" si="48">"ON1"</f>
        <v>ON1</v>
      </c>
      <c r="H1665" s="10" t="s">
        <v>21</v>
      </c>
      <c r="I1665" s="10" t="s">
        <v>349</v>
      </c>
      <c r="J1665" s="10" t="str">
        <f>""</f>
        <v/>
      </c>
      <c r="K1665" s="10" t="str">
        <f>"PFES1162630277_0001"</f>
        <v>PFES1162630277_0001</v>
      </c>
      <c r="L1665" s="10">
        <v>1</v>
      </c>
      <c r="M1665" s="10">
        <v>3</v>
      </c>
    </row>
    <row r="1666" spans="1:13">
      <c r="A1666" s="8">
        <v>43272</v>
      </c>
      <c r="B1666" s="9">
        <v>0.61875000000000002</v>
      </c>
      <c r="C1666" s="10" t="str">
        <f>"FES1162630852"</f>
        <v>FES1162630852</v>
      </c>
      <c r="D1666" s="10" t="s">
        <v>19</v>
      </c>
      <c r="E1666" s="10" t="s">
        <v>850</v>
      </c>
      <c r="F1666" s="10" t="str">
        <f>"217063637792 "</f>
        <v xml:space="preserve">217063637792 </v>
      </c>
      <c r="G1666" s="10" t="str">
        <f t="shared" si="48"/>
        <v>ON1</v>
      </c>
      <c r="H1666" s="10" t="s">
        <v>21</v>
      </c>
      <c r="I1666" s="10" t="s">
        <v>326</v>
      </c>
      <c r="J1666" s="10" t="str">
        <f>""</f>
        <v/>
      </c>
      <c r="K1666" s="10" t="str">
        <f>"PFES1162630852_0001"</f>
        <v>PFES1162630852_0001</v>
      </c>
      <c r="L1666" s="10">
        <v>1</v>
      </c>
      <c r="M1666" s="10">
        <v>2</v>
      </c>
    </row>
    <row r="1667" spans="1:13">
      <c r="A1667" s="8">
        <v>43272</v>
      </c>
      <c r="B1667" s="9">
        <v>0.61736111111111114</v>
      </c>
      <c r="C1667" s="10" t="str">
        <f>"FES1162630835"</f>
        <v>FES1162630835</v>
      </c>
      <c r="D1667" s="10" t="s">
        <v>19</v>
      </c>
      <c r="E1667" s="10" t="s">
        <v>840</v>
      </c>
      <c r="F1667" s="10" t="str">
        <f>"2170637710 "</f>
        <v xml:space="preserve">2170637710 </v>
      </c>
      <c r="G1667" s="10" t="str">
        <f t="shared" si="48"/>
        <v>ON1</v>
      </c>
      <c r="H1667" s="10" t="s">
        <v>21</v>
      </c>
      <c r="I1667" s="10" t="s">
        <v>841</v>
      </c>
      <c r="J1667" s="10" t="str">
        <f>""</f>
        <v/>
      </c>
      <c r="K1667" s="10" t="str">
        <f>"PFES1162630835_0001"</f>
        <v>PFES1162630835_0001</v>
      </c>
      <c r="L1667" s="10">
        <v>1</v>
      </c>
      <c r="M1667" s="10">
        <v>9</v>
      </c>
    </row>
    <row r="1668" spans="1:13">
      <c r="A1668" s="8">
        <v>43272</v>
      </c>
      <c r="B1668" s="9">
        <v>0.61527777777777781</v>
      </c>
      <c r="C1668" s="10" t="str">
        <f>"FES1162631"</f>
        <v>FES1162631</v>
      </c>
      <c r="D1668" s="10" t="s">
        <v>19</v>
      </c>
      <c r="E1668" s="10" t="s">
        <v>117</v>
      </c>
      <c r="F1668" s="10" t="str">
        <f>"2170637897 "</f>
        <v xml:space="preserve">2170637897 </v>
      </c>
      <c r="G1668" s="10" t="str">
        <f t="shared" si="48"/>
        <v>ON1</v>
      </c>
      <c r="H1668" s="10" t="s">
        <v>21</v>
      </c>
      <c r="I1668" s="10" t="s">
        <v>118</v>
      </c>
      <c r="J1668" s="10" t="str">
        <f>""</f>
        <v/>
      </c>
      <c r="K1668" s="10" t="str">
        <f>"PFES1162631_0001"</f>
        <v>PFES1162631_0001</v>
      </c>
      <c r="L1668" s="10">
        <v>1</v>
      </c>
      <c r="M1668" s="10">
        <v>8</v>
      </c>
    </row>
    <row r="1669" spans="1:13">
      <c r="A1669" s="8">
        <v>43272</v>
      </c>
      <c r="B1669" s="9">
        <v>0.61458333333333337</v>
      </c>
      <c r="C1669" s="10" t="str">
        <f>"FES1162631021"</f>
        <v>FES1162631021</v>
      </c>
      <c r="D1669" s="10" t="s">
        <v>19</v>
      </c>
      <c r="E1669" s="10" t="s">
        <v>539</v>
      </c>
      <c r="F1669" s="10" t="str">
        <f>"2170637914 "</f>
        <v xml:space="preserve">2170637914 </v>
      </c>
      <c r="G1669" s="10" t="str">
        <f t="shared" si="48"/>
        <v>ON1</v>
      </c>
      <c r="H1669" s="10" t="s">
        <v>21</v>
      </c>
      <c r="I1669" s="10" t="s">
        <v>96</v>
      </c>
      <c r="J1669" s="10" t="str">
        <f>""</f>
        <v/>
      </c>
      <c r="K1669" s="10" t="str">
        <f>"PFES1162631021_0001"</f>
        <v>PFES1162631021_0001</v>
      </c>
      <c r="L1669" s="10">
        <v>1</v>
      </c>
      <c r="M1669" s="10">
        <v>4</v>
      </c>
    </row>
    <row r="1670" spans="1:13">
      <c r="A1670" s="8">
        <v>43272</v>
      </c>
      <c r="B1670" s="9">
        <v>0.61388888888888882</v>
      </c>
      <c r="C1670" s="10" t="str">
        <f>"FES1162630961"</f>
        <v>FES1162630961</v>
      </c>
      <c r="D1670" s="10" t="s">
        <v>19</v>
      </c>
      <c r="E1670" s="10" t="s">
        <v>62</v>
      </c>
      <c r="F1670" s="10" t="str">
        <f>"2170637849 "</f>
        <v xml:space="preserve">2170637849 </v>
      </c>
      <c r="G1670" s="10" t="str">
        <f t="shared" si="48"/>
        <v>ON1</v>
      </c>
      <c r="H1670" s="10" t="s">
        <v>21</v>
      </c>
      <c r="I1670" s="10" t="s">
        <v>63</v>
      </c>
      <c r="J1670" s="10" t="str">
        <f>""</f>
        <v/>
      </c>
      <c r="K1670" s="10" t="str">
        <f>"PFES1162630961_0001"</f>
        <v>PFES1162630961_0001</v>
      </c>
      <c r="L1670" s="10">
        <v>1</v>
      </c>
      <c r="M1670" s="10">
        <v>1</v>
      </c>
    </row>
    <row r="1671" spans="1:13">
      <c r="A1671" s="8">
        <v>43272</v>
      </c>
      <c r="B1671" s="9">
        <v>0.61249999999999993</v>
      </c>
      <c r="C1671" s="10" t="str">
        <f>"FES1162631011"</f>
        <v>FES1162631011</v>
      </c>
      <c r="D1671" s="10" t="s">
        <v>19</v>
      </c>
      <c r="E1671" s="10" t="s">
        <v>60</v>
      </c>
      <c r="F1671" s="10" t="str">
        <f>"2170637906 "</f>
        <v xml:space="preserve">2170637906 </v>
      </c>
      <c r="G1671" s="10" t="str">
        <f t="shared" si="48"/>
        <v>ON1</v>
      </c>
      <c r="H1671" s="10" t="s">
        <v>21</v>
      </c>
      <c r="I1671" s="10" t="s">
        <v>61</v>
      </c>
      <c r="J1671" s="10" t="str">
        <f>""</f>
        <v/>
      </c>
      <c r="K1671" s="10" t="str">
        <f>"PFES1162631011_0001"</f>
        <v>PFES1162631011_0001</v>
      </c>
      <c r="L1671" s="10">
        <v>1</v>
      </c>
      <c r="M1671" s="10">
        <v>8</v>
      </c>
    </row>
    <row r="1672" spans="1:13">
      <c r="A1672" s="8">
        <v>43272</v>
      </c>
      <c r="B1672" s="9">
        <v>0.61249999999999993</v>
      </c>
      <c r="C1672" s="10" t="str">
        <f>"FES1162631022"</f>
        <v>FES1162631022</v>
      </c>
      <c r="D1672" s="10" t="s">
        <v>19</v>
      </c>
      <c r="E1672" s="10" t="s">
        <v>143</v>
      </c>
      <c r="F1672" s="10" t="str">
        <f>"2170637916 "</f>
        <v xml:space="preserve">2170637916 </v>
      </c>
      <c r="G1672" s="10" t="str">
        <f t="shared" si="48"/>
        <v>ON1</v>
      </c>
      <c r="H1672" s="10" t="s">
        <v>21</v>
      </c>
      <c r="I1672" s="10" t="s">
        <v>144</v>
      </c>
      <c r="J1672" s="10" t="str">
        <f>""</f>
        <v/>
      </c>
      <c r="K1672" s="10" t="str">
        <f>"PFES1162631022_0001"</f>
        <v>PFES1162631022_0001</v>
      </c>
      <c r="L1672" s="10">
        <v>1</v>
      </c>
      <c r="M1672" s="10">
        <v>1</v>
      </c>
    </row>
    <row r="1673" spans="1:13">
      <c r="A1673" s="8">
        <v>43272</v>
      </c>
      <c r="B1673" s="9">
        <v>0.6118055555555556</v>
      </c>
      <c r="C1673" s="10" t="str">
        <f>"FES1162630825"</f>
        <v>FES1162630825</v>
      </c>
      <c r="D1673" s="10" t="s">
        <v>19</v>
      </c>
      <c r="E1673" s="10" t="s">
        <v>345</v>
      </c>
      <c r="F1673" s="10" t="str">
        <f>"2170637151 "</f>
        <v xml:space="preserve">2170637151 </v>
      </c>
      <c r="G1673" s="10" t="str">
        <f t="shared" si="48"/>
        <v>ON1</v>
      </c>
      <c r="H1673" s="10" t="s">
        <v>21</v>
      </c>
      <c r="I1673" s="10" t="s">
        <v>228</v>
      </c>
      <c r="J1673" s="10" t="str">
        <f>""</f>
        <v/>
      </c>
      <c r="K1673" s="10" t="str">
        <f>"PFES1162630825_0001"</f>
        <v>PFES1162630825_0001</v>
      </c>
      <c r="L1673" s="10">
        <v>1</v>
      </c>
      <c r="M1673" s="10">
        <v>1</v>
      </c>
    </row>
    <row r="1674" spans="1:13">
      <c r="A1674" s="8">
        <v>43272</v>
      </c>
      <c r="B1674" s="9">
        <v>0.6118055555555556</v>
      </c>
      <c r="C1674" s="10" t="str">
        <f>"FES1162630921"</f>
        <v>FES1162630921</v>
      </c>
      <c r="D1674" s="10" t="s">
        <v>19</v>
      </c>
      <c r="E1674" s="10" t="s">
        <v>335</v>
      </c>
      <c r="F1674" s="10" t="str">
        <f>"2170637823 "</f>
        <v xml:space="preserve">2170637823 </v>
      </c>
      <c r="G1674" s="10" t="str">
        <f t="shared" si="48"/>
        <v>ON1</v>
      </c>
      <c r="H1674" s="10" t="s">
        <v>21</v>
      </c>
      <c r="I1674" s="10" t="s">
        <v>336</v>
      </c>
      <c r="J1674" s="10" t="str">
        <f>""</f>
        <v/>
      </c>
      <c r="K1674" s="10" t="str">
        <f>"PFES1162630921_0001"</f>
        <v>PFES1162630921_0001</v>
      </c>
      <c r="L1674" s="10">
        <v>1</v>
      </c>
      <c r="M1674" s="10">
        <v>1</v>
      </c>
    </row>
    <row r="1675" spans="1:13">
      <c r="A1675" s="8">
        <v>43272</v>
      </c>
      <c r="B1675" s="9">
        <v>0.6118055555555556</v>
      </c>
      <c r="C1675" s="10" t="str">
        <f>"FES1162630982"</f>
        <v>FES1162630982</v>
      </c>
      <c r="D1675" s="10" t="s">
        <v>19</v>
      </c>
      <c r="E1675" s="10" t="s">
        <v>872</v>
      </c>
      <c r="F1675" s="10" t="str">
        <f>"2170637874 "</f>
        <v xml:space="preserve">2170637874 </v>
      </c>
      <c r="G1675" s="10" t="str">
        <f t="shared" si="48"/>
        <v>ON1</v>
      </c>
      <c r="H1675" s="10" t="s">
        <v>21</v>
      </c>
      <c r="I1675" s="10" t="s">
        <v>873</v>
      </c>
      <c r="J1675" s="10" t="str">
        <f>""</f>
        <v/>
      </c>
      <c r="K1675" s="10" t="str">
        <f>"PFES1162630982_0001"</f>
        <v>PFES1162630982_0001</v>
      </c>
      <c r="L1675" s="10">
        <v>1</v>
      </c>
      <c r="M1675" s="10">
        <v>3</v>
      </c>
    </row>
    <row r="1676" spans="1:13">
      <c r="A1676" s="8">
        <v>43272</v>
      </c>
      <c r="B1676" s="9">
        <v>0.60625000000000007</v>
      </c>
      <c r="C1676" s="10" t="str">
        <f>"FES1162630939"</f>
        <v>FES1162630939</v>
      </c>
      <c r="D1676" s="10" t="s">
        <v>19</v>
      </c>
      <c r="E1676" s="10" t="s">
        <v>859</v>
      </c>
      <c r="F1676" s="10" t="str">
        <f>"2170631706 "</f>
        <v xml:space="preserve">2170631706 </v>
      </c>
      <c r="G1676" s="10" t="str">
        <f t="shared" si="48"/>
        <v>ON1</v>
      </c>
      <c r="H1676" s="10" t="s">
        <v>21</v>
      </c>
      <c r="I1676" s="10" t="s">
        <v>860</v>
      </c>
      <c r="J1676" s="10" t="str">
        <f>""</f>
        <v/>
      </c>
      <c r="K1676" s="10" t="str">
        <f>"PFES1162630939_0001"</f>
        <v>PFES1162630939_0001</v>
      </c>
      <c r="L1676" s="10">
        <v>1</v>
      </c>
      <c r="M1676" s="10">
        <v>1</v>
      </c>
    </row>
    <row r="1677" spans="1:13">
      <c r="A1677" s="8">
        <v>43272</v>
      </c>
      <c r="B1677" s="9">
        <v>0.60555555555555551</v>
      </c>
      <c r="C1677" s="10" t="str">
        <f>"FES1162630965"</f>
        <v>FES1162630965</v>
      </c>
      <c r="D1677" s="10" t="s">
        <v>19</v>
      </c>
      <c r="E1677" s="10" t="s">
        <v>421</v>
      </c>
      <c r="F1677" s="10" t="str">
        <f>"2170635986 "</f>
        <v xml:space="preserve">2170635986 </v>
      </c>
      <c r="G1677" s="10" t="str">
        <f t="shared" si="48"/>
        <v>ON1</v>
      </c>
      <c r="H1677" s="10" t="s">
        <v>21</v>
      </c>
      <c r="I1677" s="10" t="s">
        <v>422</v>
      </c>
      <c r="J1677" s="10" t="str">
        <f>""</f>
        <v/>
      </c>
      <c r="K1677" s="10" t="str">
        <f>"PFES1162630965_0001"</f>
        <v>PFES1162630965_0001</v>
      </c>
      <c r="L1677" s="10">
        <v>1</v>
      </c>
      <c r="M1677" s="10">
        <v>1</v>
      </c>
    </row>
    <row r="1678" spans="1:13">
      <c r="A1678" s="8">
        <v>43272</v>
      </c>
      <c r="B1678" s="9">
        <v>0.60555555555555551</v>
      </c>
      <c r="C1678" s="10" t="str">
        <f>"FES1162630989"</f>
        <v>FES1162630989</v>
      </c>
      <c r="D1678" s="10" t="s">
        <v>19</v>
      </c>
      <c r="E1678" s="10" t="s">
        <v>874</v>
      </c>
      <c r="F1678" s="10" t="str">
        <f>"2170637881 "</f>
        <v xml:space="preserve">2170637881 </v>
      </c>
      <c r="G1678" s="10" t="str">
        <f t="shared" si="48"/>
        <v>ON1</v>
      </c>
      <c r="H1678" s="10" t="s">
        <v>21</v>
      </c>
      <c r="I1678" s="10" t="s">
        <v>875</v>
      </c>
      <c r="J1678" s="10" t="str">
        <f>""</f>
        <v/>
      </c>
      <c r="K1678" s="10" t="str">
        <f>"PFES1162630989_0001"</f>
        <v>PFES1162630989_0001</v>
      </c>
      <c r="L1678" s="10">
        <v>1</v>
      </c>
      <c r="M1678" s="10">
        <v>1</v>
      </c>
    </row>
    <row r="1679" spans="1:13">
      <c r="A1679" s="8">
        <v>43272</v>
      </c>
      <c r="B1679" s="9">
        <v>0.60555555555555551</v>
      </c>
      <c r="C1679" s="10" t="str">
        <f>"FES1162630886"</f>
        <v>FES1162630886</v>
      </c>
      <c r="D1679" s="10" t="s">
        <v>19</v>
      </c>
      <c r="E1679" s="10" t="s">
        <v>443</v>
      </c>
      <c r="F1679" s="10" t="str">
        <f>"21706355557 "</f>
        <v xml:space="preserve">21706355557 </v>
      </c>
      <c r="G1679" s="10" t="str">
        <f t="shared" si="48"/>
        <v>ON1</v>
      </c>
      <c r="H1679" s="10" t="s">
        <v>21</v>
      </c>
      <c r="I1679" s="10" t="s">
        <v>389</v>
      </c>
      <c r="J1679" s="10" t="str">
        <f>""</f>
        <v/>
      </c>
      <c r="K1679" s="10" t="str">
        <f>"PFES1162630886_0001"</f>
        <v>PFES1162630886_0001</v>
      </c>
      <c r="L1679" s="10">
        <v>1</v>
      </c>
      <c r="M1679" s="10">
        <v>1</v>
      </c>
    </row>
    <row r="1680" spans="1:13">
      <c r="A1680" s="8">
        <v>43272</v>
      </c>
      <c r="B1680" s="9">
        <v>0.60486111111111118</v>
      </c>
      <c r="C1680" s="10" t="str">
        <f>"FES1162630941"</f>
        <v>FES1162630941</v>
      </c>
      <c r="D1680" s="10" t="s">
        <v>19</v>
      </c>
      <c r="E1680" s="10" t="s">
        <v>859</v>
      </c>
      <c r="F1680" s="10" t="str">
        <f>"2170631712 "</f>
        <v xml:space="preserve">2170631712 </v>
      </c>
      <c r="G1680" s="10" t="str">
        <f t="shared" si="48"/>
        <v>ON1</v>
      </c>
      <c r="H1680" s="10" t="s">
        <v>21</v>
      </c>
      <c r="I1680" s="10" t="s">
        <v>860</v>
      </c>
      <c r="J1680" s="10" t="str">
        <f>""</f>
        <v/>
      </c>
      <c r="K1680" s="10" t="str">
        <f>"PFES1162630941_0001"</f>
        <v>PFES1162630941_0001</v>
      </c>
      <c r="L1680" s="10">
        <v>1</v>
      </c>
      <c r="M1680" s="10">
        <v>1</v>
      </c>
    </row>
    <row r="1681" spans="1:13">
      <c r="A1681" s="8">
        <v>43272</v>
      </c>
      <c r="B1681" s="9">
        <v>0.60486111111111118</v>
      </c>
      <c r="C1681" s="10" t="str">
        <f>"FES1162630940"</f>
        <v>FES1162630940</v>
      </c>
      <c r="D1681" s="10" t="s">
        <v>19</v>
      </c>
      <c r="E1681" s="10" t="s">
        <v>859</v>
      </c>
      <c r="F1681" s="10" t="str">
        <f>"2170631709 "</f>
        <v xml:space="preserve">2170631709 </v>
      </c>
      <c r="G1681" s="10" t="str">
        <f t="shared" si="48"/>
        <v>ON1</v>
      </c>
      <c r="H1681" s="10" t="s">
        <v>21</v>
      </c>
      <c r="I1681" s="10" t="s">
        <v>860</v>
      </c>
      <c r="J1681" s="10" t="str">
        <f>""</f>
        <v/>
      </c>
      <c r="K1681" s="10" t="str">
        <f>"PFES1162630940_0001"</f>
        <v>PFES1162630940_0001</v>
      </c>
      <c r="L1681" s="10">
        <v>1</v>
      </c>
      <c r="M1681" s="10">
        <v>1</v>
      </c>
    </row>
    <row r="1682" spans="1:13">
      <c r="A1682" s="8">
        <v>43272</v>
      </c>
      <c r="B1682" s="9">
        <v>0.60486111111111118</v>
      </c>
      <c r="C1682" s="10" t="str">
        <f>"FES1162631010"</f>
        <v>FES1162631010</v>
      </c>
      <c r="D1682" s="10" t="s">
        <v>19</v>
      </c>
      <c r="E1682" s="10" t="s">
        <v>649</v>
      </c>
      <c r="F1682" s="10" t="str">
        <f>"2170637904 "</f>
        <v xml:space="preserve">2170637904 </v>
      </c>
      <c r="G1682" s="10" t="str">
        <f t="shared" si="48"/>
        <v>ON1</v>
      </c>
      <c r="H1682" s="10" t="s">
        <v>21</v>
      </c>
      <c r="I1682" s="10" t="s">
        <v>26</v>
      </c>
      <c r="J1682" s="10" t="str">
        <f>""</f>
        <v/>
      </c>
      <c r="K1682" s="10" t="str">
        <f>"PFES1162631010_0001"</f>
        <v>PFES1162631010_0001</v>
      </c>
      <c r="L1682" s="10">
        <v>1</v>
      </c>
      <c r="M1682" s="10">
        <v>1</v>
      </c>
    </row>
    <row r="1683" spans="1:13">
      <c r="A1683" s="8">
        <v>43272</v>
      </c>
      <c r="B1683" s="9">
        <v>0.60416666666666663</v>
      </c>
      <c r="C1683" s="10" t="str">
        <f>"FES1162630821"</f>
        <v>FES1162630821</v>
      </c>
      <c r="D1683" s="10" t="s">
        <v>19</v>
      </c>
      <c r="E1683" s="10" t="s">
        <v>461</v>
      </c>
      <c r="F1683" s="10" t="str">
        <f>"217063425 "</f>
        <v xml:space="preserve">217063425 </v>
      </c>
      <c r="G1683" s="10" t="str">
        <f t="shared" si="48"/>
        <v>ON1</v>
      </c>
      <c r="H1683" s="10" t="s">
        <v>21</v>
      </c>
      <c r="I1683" s="10" t="s">
        <v>32</v>
      </c>
      <c r="J1683" s="10" t="str">
        <f>""</f>
        <v/>
      </c>
      <c r="K1683" s="10" t="str">
        <f>"PFES1162630821_0001"</f>
        <v>PFES1162630821_0001</v>
      </c>
      <c r="L1683" s="10">
        <v>1</v>
      </c>
      <c r="M1683" s="10">
        <v>1</v>
      </c>
    </row>
    <row r="1684" spans="1:13">
      <c r="A1684" s="8">
        <v>43272</v>
      </c>
      <c r="B1684" s="9">
        <v>0.60416666666666663</v>
      </c>
      <c r="C1684" s="10" t="str">
        <f>"FES1162630871"</f>
        <v>FES1162630871</v>
      </c>
      <c r="D1684" s="10" t="s">
        <v>19</v>
      </c>
      <c r="E1684" s="10" t="s">
        <v>155</v>
      </c>
      <c r="F1684" s="10" t="str">
        <f>"2170632338 "</f>
        <v xml:space="preserve">2170632338 </v>
      </c>
      <c r="G1684" s="10" t="str">
        <f t="shared" si="48"/>
        <v>ON1</v>
      </c>
      <c r="H1684" s="10" t="s">
        <v>21</v>
      </c>
      <c r="I1684" s="10" t="s">
        <v>156</v>
      </c>
      <c r="J1684" s="10" t="str">
        <f>""</f>
        <v/>
      </c>
      <c r="K1684" s="10" t="str">
        <f>"PFES1162630871_0001"</f>
        <v>PFES1162630871_0001</v>
      </c>
      <c r="L1684" s="10">
        <v>1</v>
      </c>
      <c r="M1684" s="10">
        <v>1</v>
      </c>
    </row>
    <row r="1685" spans="1:13">
      <c r="A1685" s="8">
        <v>43272</v>
      </c>
      <c r="B1685" s="9">
        <v>0.60347222222222219</v>
      </c>
      <c r="C1685" s="10" t="str">
        <f>"FES1162630970"</f>
        <v>FES1162630970</v>
      </c>
      <c r="D1685" s="10" t="s">
        <v>19</v>
      </c>
      <c r="E1685" s="10" t="s">
        <v>328</v>
      </c>
      <c r="F1685" s="10" t="str">
        <f>"2170637853 "</f>
        <v xml:space="preserve">2170637853 </v>
      </c>
      <c r="G1685" s="10" t="str">
        <f t="shared" si="48"/>
        <v>ON1</v>
      </c>
      <c r="H1685" s="10" t="s">
        <v>21</v>
      </c>
      <c r="I1685" s="10" t="s">
        <v>329</v>
      </c>
      <c r="J1685" s="10" t="str">
        <f>""</f>
        <v/>
      </c>
      <c r="K1685" s="10" t="str">
        <f>"PFES1162630970_0001"</f>
        <v>PFES1162630970_0001</v>
      </c>
      <c r="L1685" s="10">
        <v>1</v>
      </c>
      <c r="M1685" s="10">
        <v>1</v>
      </c>
    </row>
    <row r="1686" spans="1:13">
      <c r="A1686" s="8">
        <v>43272</v>
      </c>
      <c r="B1686" s="9">
        <v>0.60347222222222219</v>
      </c>
      <c r="C1686" s="10" t="str">
        <f>"FES1162630860"</f>
        <v>FES1162630860</v>
      </c>
      <c r="D1686" s="10" t="s">
        <v>19</v>
      </c>
      <c r="E1686" s="10" t="s">
        <v>700</v>
      </c>
      <c r="F1686" s="10" t="str">
        <f>"2170635833 "</f>
        <v xml:space="preserve">2170635833 </v>
      </c>
      <c r="G1686" s="10" t="str">
        <f>"DBC"</f>
        <v>DBC</v>
      </c>
      <c r="H1686" s="10" t="s">
        <v>21</v>
      </c>
      <c r="I1686" s="10" t="s">
        <v>272</v>
      </c>
      <c r="J1686" s="10" t="str">
        <f>""</f>
        <v/>
      </c>
      <c r="K1686" s="10" t="str">
        <f>"PFES1162630860_0001"</f>
        <v>PFES1162630860_0001</v>
      </c>
      <c r="L1686" s="10">
        <v>1</v>
      </c>
      <c r="M1686" s="10">
        <v>1</v>
      </c>
    </row>
    <row r="1687" spans="1:13">
      <c r="A1687" s="8">
        <v>43272</v>
      </c>
      <c r="B1687" s="9">
        <v>0.60277777777777775</v>
      </c>
      <c r="C1687" s="10" t="str">
        <f>"FES1162631017"</f>
        <v>FES1162631017</v>
      </c>
      <c r="D1687" s="10" t="s">
        <v>19</v>
      </c>
      <c r="E1687" s="10" t="s">
        <v>56</v>
      </c>
      <c r="F1687" s="10" t="str">
        <f>"2170637913 "</f>
        <v xml:space="preserve">2170637913 </v>
      </c>
      <c r="G1687" s="10" t="str">
        <f t="shared" ref="G1687:G1750" si="49">"ON1"</f>
        <v>ON1</v>
      </c>
      <c r="H1687" s="10" t="s">
        <v>21</v>
      </c>
      <c r="I1687" s="10" t="s">
        <v>57</v>
      </c>
      <c r="J1687" s="10" t="str">
        <f>""</f>
        <v/>
      </c>
      <c r="K1687" s="10" t="str">
        <f>"PFES1162631017_0001"</f>
        <v>PFES1162631017_0001</v>
      </c>
      <c r="L1687" s="10">
        <v>1</v>
      </c>
      <c r="M1687" s="10">
        <v>1</v>
      </c>
    </row>
    <row r="1688" spans="1:13">
      <c r="A1688" s="8">
        <v>43272</v>
      </c>
      <c r="B1688" s="9">
        <v>0.60277777777777775</v>
      </c>
      <c r="C1688" s="10" t="str">
        <f>"FES1162630925"</f>
        <v>FES1162630925</v>
      </c>
      <c r="D1688" s="10" t="s">
        <v>19</v>
      </c>
      <c r="E1688" s="10" t="s">
        <v>514</v>
      </c>
      <c r="F1688" s="10" t="str">
        <f>"2170636269 "</f>
        <v xml:space="preserve">2170636269 </v>
      </c>
      <c r="G1688" s="10" t="str">
        <f t="shared" si="49"/>
        <v>ON1</v>
      </c>
      <c r="H1688" s="10" t="s">
        <v>21</v>
      </c>
      <c r="I1688" s="10" t="s">
        <v>515</v>
      </c>
      <c r="J1688" s="10" t="str">
        <f>""</f>
        <v/>
      </c>
      <c r="K1688" s="10" t="str">
        <f>"PFES1162630925_0001"</f>
        <v>PFES1162630925_0001</v>
      </c>
      <c r="L1688" s="10">
        <v>1</v>
      </c>
      <c r="M1688" s="10">
        <v>1</v>
      </c>
    </row>
    <row r="1689" spans="1:13">
      <c r="A1689" s="8">
        <v>43272</v>
      </c>
      <c r="B1689" s="9">
        <v>0.6020833333333333</v>
      </c>
      <c r="C1689" s="10" t="str">
        <f>"FES1162630897"</f>
        <v>FES1162630897</v>
      </c>
      <c r="D1689" s="10" t="s">
        <v>19</v>
      </c>
      <c r="E1689" s="10" t="s">
        <v>514</v>
      </c>
      <c r="F1689" s="10" t="str">
        <f>"217086269 "</f>
        <v xml:space="preserve">217086269 </v>
      </c>
      <c r="G1689" s="10" t="str">
        <f t="shared" si="49"/>
        <v>ON1</v>
      </c>
      <c r="H1689" s="10" t="s">
        <v>21</v>
      </c>
      <c r="I1689" s="10" t="s">
        <v>515</v>
      </c>
      <c r="J1689" s="10" t="str">
        <f>""</f>
        <v/>
      </c>
      <c r="K1689" s="10" t="str">
        <f>"PFES1162630897_0001"</f>
        <v>PFES1162630897_0001</v>
      </c>
      <c r="L1689" s="10">
        <v>1</v>
      </c>
      <c r="M1689" s="10">
        <v>1</v>
      </c>
    </row>
    <row r="1690" spans="1:13">
      <c r="A1690" s="8">
        <v>43272</v>
      </c>
      <c r="B1690" s="9">
        <v>0.6020833333333333</v>
      </c>
      <c r="C1690" s="10" t="str">
        <f>"FES1162630913"</f>
        <v>FES1162630913</v>
      </c>
      <c r="D1690" s="10" t="s">
        <v>19</v>
      </c>
      <c r="E1690" s="10" t="s">
        <v>159</v>
      </c>
      <c r="F1690" s="10" t="str">
        <f>"2170635849 "</f>
        <v xml:space="preserve">2170635849 </v>
      </c>
      <c r="G1690" s="10" t="str">
        <f t="shared" si="49"/>
        <v>ON1</v>
      </c>
      <c r="H1690" s="10" t="s">
        <v>21</v>
      </c>
      <c r="I1690" s="10" t="s">
        <v>160</v>
      </c>
      <c r="J1690" s="10" t="str">
        <f>""</f>
        <v/>
      </c>
      <c r="K1690" s="10" t="str">
        <f>"PFES1162630913_0001"</f>
        <v>PFES1162630913_0001</v>
      </c>
      <c r="L1690" s="10">
        <v>1</v>
      </c>
      <c r="M1690" s="10">
        <v>1</v>
      </c>
    </row>
    <row r="1691" spans="1:13">
      <c r="A1691" s="8">
        <v>43272</v>
      </c>
      <c r="B1691" s="9">
        <v>0.6020833333333333</v>
      </c>
      <c r="C1691" s="10" t="str">
        <f>"FES1162630918"</f>
        <v>FES1162630918</v>
      </c>
      <c r="D1691" s="10" t="s">
        <v>19</v>
      </c>
      <c r="E1691" s="10" t="s">
        <v>33</v>
      </c>
      <c r="F1691" s="10" t="str">
        <f>"2170637820 "</f>
        <v xml:space="preserve">2170637820 </v>
      </c>
      <c r="G1691" s="10" t="str">
        <f t="shared" si="49"/>
        <v>ON1</v>
      </c>
      <c r="H1691" s="10" t="s">
        <v>21</v>
      </c>
      <c r="I1691" s="10" t="s">
        <v>34</v>
      </c>
      <c r="J1691" s="10" t="str">
        <f>""</f>
        <v/>
      </c>
      <c r="K1691" s="10" t="str">
        <f>"PFES1162630918_0001"</f>
        <v>PFES1162630918_0001</v>
      </c>
      <c r="L1691" s="10">
        <v>1</v>
      </c>
      <c r="M1691" s="10">
        <v>1</v>
      </c>
    </row>
    <row r="1692" spans="1:13">
      <c r="A1692" s="8">
        <v>43272</v>
      </c>
      <c r="B1692" s="9">
        <v>0.60138888888888886</v>
      </c>
      <c r="C1692" s="10" t="str">
        <f>"FES1162630984"</f>
        <v>FES1162630984</v>
      </c>
      <c r="D1692" s="10" t="s">
        <v>19</v>
      </c>
      <c r="E1692" s="10" t="s">
        <v>876</v>
      </c>
      <c r="F1692" s="10" t="str">
        <f>"2170637879 "</f>
        <v xml:space="preserve">2170637879 </v>
      </c>
      <c r="G1692" s="10" t="str">
        <f t="shared" si="49"/>
        <v>ON1</v>
      </c>
      <c r="H1692" s="10" t="s">
        <v>21</v>
      </c>
      <c r="I1692" s="10" t="s">
        <v>877</v>
      </c>
      <c r="J1692" s="10" t="str">
        <f>""</f>
        <v/>
      </c>
      <c r="K1692" s="10" t="str">
        <f>"PFES1162630984_0001"</f>
        <v>PFES1162630984_0001</v>
      </c>
      <c r="L1692" s="10">
        <v>1</v>
      </c>
      <c r="M1692" s="10">
        <v>1</v>
      </c>
    </row>
    <row r="1693" spans="1:13">
      <c r="A1693" s="8">
        <v>43272</v>
      </c>
      <c r="B1693" s="9">
        <v>0.60069444444444442</v>
      </c>
      <c r="C1693" s="10" t="str">
        <f>"FES1162631016"</f>
        <v>FES1162631016</v>
      </c>
      <c r="D1693" s="10" t="s">
        <v>19</v>
      </c>
      <c r="E1693" s="10" t="s">
        <v>263</v>
      </c>
      <c r="F1693" s="10" t="str">
        <f>"2170637910 "</f>
        <v xml:space="preserve">2170637910 </v>
      </c>
      <c r="G1693" s="10" t="str">
        <f t="shared" si="49"/>
        <v>ON1</v>
      </c>
      <c r="H1693" s="10" t="s">
        <v>21</v>
      </c>
      <c r="I1693" s="10" t="s">
        <v>230</v>
      </c>
      <c r="J1693" s="10" t="str">
        <f>""</f>
        <v/>
      </c>
      <c r="K1693" s="10" t="str">
        <f>"PFES1162631016_0001"</f>
        <v>PFES1162631016_0001</v>
      </c>
      <c r="L1693" s="10">
        <v>1</v>
      </c>
      <c r="M1693" s="10">
        <v>1</v>
      </c>
    </row>
    <row r="1694" spans="1:13">
      <c r="A1694" s="8">
        <v>43272</v>
      </c>
      <c r="B1694" s="9">
        <v>0.59513888888888888</v>
      </c>
      <c r="C1694" s="10" t="str">
        <f>"FES1162630830"</f>
        <v>FES1162630830</v>
      </c>
      <c r="D1694" s="10" t="s">
        <v>19</v>
      </c>
      <c r="E1694" s="10" t="s">
        <v>67</v>
      </c>
      <c r="F1694" s="10" t="str">
        <f>"2170637335 "</f>
        <v xml:space="preserve">2170637335 </v>
      </c>
      <c r="G1694" s="10" t="str">
        <f t="shared" si="49"/>
        <v>ON1</v>
      </c>
      <c r="H1694" s="10" t="s">
        <v>21</v>
      </c>
      <c r="I1694" s="10" t="s">
        <v>397</v>
      </c>
      <c r="J1694" s="10" t="str">
        <f>""</f>
        <v/>
      </c>
      <c r="K1694" s="10" t="str">
        <f>"PFES1162630830_0001"</f>
        <v>PFES1162630830_0001</v>
      </c>
      <c r="L1694" s="10">
        <v>1</v>
      </c>
      <c r="M1694" s="10">
        <v>2</v>
      </c>
    </row>
    <row r="1695" spans="1:13">
      <c r="A1695" s="8">
        <v>43272</v>
      </c>
      <c r="B1695" s="9">
        <v>0.59375</v>
      </c>
      <c r="C1695" s="10" t="str">
        <f>"FES1162630953"</f>
        <v>FES1162630953</v>
      </c>
      <c r="D1695" s="10" t="s">
        <v>19</v>
      </c>
      <c r="E1695" s="10" t="s">
        <v>121</v>
      </c>
      <c r="F1695" s="10" t="str">
        <f>"2170635938 "</f>
        <v xml:space="preserve">2170635938 </v>
      </c>
      <c r="G1695" s="10" t="str">
        <f t="shared" si="49"/>
        <v>ON1</v>
      </c>
      <c r="H1695" s="10" t="s">
        <v>21</v>
      </c>
      <c r="I1695" s="10" t="s">
        <v>79</v>
      </c>
      <c r="J1695" s="10" t="str">
        <f>""</f>
        <v/>
      </c>
      <c r="K1695" s="10" t="str">
        <f>"PFES1162630953_0001"</f>
        <v>PFES1162630953_0001</v>
      </c>
      <c r="L1695" s="10">
        <v>1</v>
      </c>
      <c r="M1695" s="10">
        <v>1</v>
      </c>
    </row>
    <row r="1696" spans="1:13">
      <c r="A1696" s="8">
        <v>43272</v>
      </c>
      <c r="B1696" s="9">
        <v>0.59305555555555556</v>
      </c>
      <c r="C1696" s="10" t="str">
        <f>"FES1162630927"</f>
        <v>FES1162630927</v>
      </c>
      <c r="D1696" s="10" t="s">
        <v>19</v>
      </c>
      <c r="E1696" s="10" t="s">
        <v>316</v>
      </c>
      <c r="F1696" s="10" t="str">
        <f>"2170637830 "</f>
        <v xml:space="preserve">2170637830 </v>
      </c>
      <c r="G1696" s="10" t="str">
        <f t="shared" si="49"/>
        <v>ON1</v>
      </c>
      <c r="H1696" s="10" t="s">
        <v>21</v>
      </c>
      <c r="I1696" s="10" t="s">
        <v>317</v>
      </c>
      <c r="J1696" s="10" t="str">
        <f>""</f>
        <v/>
      </c>
      <c r="K1696" s="10" t="str">
        <f>"PFES1162630927_0001"</f>
        <v>PFES1162630927_0001</v>
      </c>
      <c r="L1696" s="10">
        <v>1</v>
      </c>
      <c r="M1696" s="10">
        <v>3</v>
      </c>
    </row>
    <row r="1697" spans="1:13">
      <c r="A1697" s="8">
        <v>43272</v>
      </c>
      <c r="B1697" s="9">
        <v>0.59236111111111112</v>
      </c>
      <c r="C1697" s="10" t="str">
        <f>"FES1162630932"</f>
        <v>FES1162630932</v>
      </c>
      <c r="D1697" s="10" t="s">
        <v>19</v>
      </c>
      <c r="E1697" s="10" t="s">
        <v>878</v>
      </c>
      <c r="F1697" s="10" t="str">
        <f>"2170637839 "</f>
        <v xml:space="preserve">2170637839 </v>
      </c>
      <c r="G1697" s="10" t="str">
        <f t="shared" si="49"/>
        <v>ON1</v>
      </c>
      <c r="H1697" s="10" t="s">
        <v>21</v>
      </c>
      <c r="I1697" s="10" t="s">
        <v>353</v>
      </c>
      <c r="J1697" s="10" t="str">
        <f>""</f>
        <v/>
      </c>
      <c r="K1697" s="10" t="str">
        <f>"PFES1162630932_0001"</f>
        <v>PFES1162630932_0001</v>
      </c>
      <c r="L1697" s="10">
        <v>1</v>
      </c>
      <c r="M1697" s="10">
        <v>4</v>
      </c>
    </row>
    <row r="1698" spans="1:13">
      <c r="A1698" s="8">
        <v>43272</v>
      </c>
      <c r="B1698" s="9">
        <v>0.59097222222222223</v>
      </c>
      <c r="C1698" s="10" t="str">
        <f>"FES1162630837"</f>
        <v>FES1162630837</v>
      </c>
      <c r="D1698" s="10" t="s">
        <v>19</v>
      </c>
      <c r="E1698" s="10" t="s">
        <v>291</v>
      </c>
      <c r="F1698" s="10" t="str">
        <f>"2170637728 "</f>
        <v xml:space="preserve">2170637728 </v>
      </c>
      <c r="G1698" s="10" t="str">
        <f t="shared" si="49"/>
        <v>ON1</v>
      </c>
      <c r="H1698" s="10" t="s">
        <v>21</v>
      </c>
      <c r="I1698" s="10" t="s">
        <v>131</v>
      </c>
      <c r="J1698" s="10" t="str">
        <f>""</f>
        <v/>
      </c>
      <c r="K1698" s="10" t="str">
        <f>"PFES1162630837_0001"</f>
        <v>PFES1162630837_0001</v>
      </c>
      <c r="L1698" s="10">
        <v>1</v>
      </c>
      <c r="M1698" s="10">
        <v>7</v>
      </c>
    </row>
    <row r="1699" spans="1:13">
      <c r="A1699" s="8">
        <v>43272</v>
      </c>
      <c r="B1699" s="9">
        <v>0.59027777777777779</v>
      </c>
      <c r="C1699" s="10" t="str">
        <f>"FES1162630934"</f>
        <v>FES1162630934</v>
      </c>
      <c r="D1699" s="10" t="s">
        <v>19</v>
      </c>
      <c r="E1699" s="10" t="s">
        <v>879</v>
      </c>
      <c r="F1699" s="10" t="str">
        <f>"2170637836 "</f>
        <v xml:space="preserve">2170637836 </v>
      </c>
      <c r="G1699" s="10" t="str">
        <f t="shared" si="49"/>
        <v>ON1</v>
      </c>
      <c r="H1699" s="10" t="s">
        <v>21</v>
      </c>
      <c r="I1699" s="10" t="s">
        <v>79</v>
      </c>
      <c r="J1699" s="10" t="str">
        <f>""</f>
        <v/>
      </c>
      <c r="K1699" s="10" t="str">
        <f>"PFES1162630934_0001"</f>
        <v>PFES1162630934_0001</v>
      </c>
      <c r="L1699" s="10">
        <v>1</v>
      </c>
      <c r="M1699" s="10">
        <v>6</v>
      </c>
    </row>
    <row r="1700" spans="1:13">
      <c r="A1700" s="8">
        <v>43272</v>
      </c>
      <c r="B1700" s="9">
        <v>0.58958333333333335</v>
      </c>
      <c r="C1700" s="10" t="str">
        <f>"FES1162630905"</f>
        <v>FES1162630905</v>
      </c>
      <c r="D1700" s="10" t="s">
        <v>19</v>
      </c>
      <c r="E1700" s="10" t="s">
        <v>880</v>
      </c>
      <c r="F1700" s="10" t="str">
        <f>"2170637816 "</f>
        <v xml:space="preserve">2170637816 </v>
      </c>
      <c r="G1700" s="10" t="str">
        <f t="shared" si="49"/>
        <v>ON1</v>
      </c>
      <c r="H1700" s="10" t="s">
        <v>21</v>
      </c>
      <c r="I1700" s="10" t="s">
        <v>877</v>
      </c>
      <c r="J1700" s="10" t="str">
        <f>""</f>
        <v/>
      </c>
      <c r="K1700" s="10" t="str">
        <f>"PFES1162630905_0001"</f>
        <v>PFES1162630905_0001</v>
      </c>
      <c r="L1700" s="10">
        <v>1</v>
      </c>
      <c r="M1700" s="10">
        <v>1</v>
      </c>
    </row>
    <row r="1701" spans="1:13">
      <c r="A1701" s="8">
        <v>43272</v>
      </c>
      <c r="B1701" s="9">
        <v>0.58888888888888891</v>
      </c>
      <c r="C1701" s="10" t="str">
        <f>"FES1162630851"</f>
        <v>FES1162630851</v>
      </c>
      <c r="D1701" s="10" t="s">
        <v>19</v>
      </c>
      <c r="E1701" s="10" t="s">
        <v>881</v>
      </c>
      <c r="F1701" s="10" t="str">
        <f>"2170637780 "</f>
        <v xml:space="preserve">2170637780 </v>
      </c>
      <c r="G1701" s="10" t="str">
        <f t="shared" si="49"/>
        <v>ON1</v>
      </c>
      <c r="H1701" s="10" t="s">
        <v>21</v>
      </c>
      <c r="I1701" s="10" t="s">
        <v>112</v>
      </c>
      <c r="J1701" s="10" t="str">
        <f>""</f>
        <v/>
      </c>
      <c r="K1701" s="10" t="str">
        <f>"PFES1162630851_0001"</f>
        <v>PFES1162630851_0001</v>
      </c>
      <c r="L1701" s="10">
        <v>1</v>
      </c>
      <c r="M1701" s="10">
        <v>5</v>
      </c>
    </row>
    <row r="1702" spans="1:13">
      <c r="A1702" s="8">
        <v>43272</v>
      </c>
      <c r="B1702" s="9">
        <v>0.58888888888888891</v>
      </c>
      <c r="C1702" s="10" t="str">
        <f>"FES1162630866"</f>
        <v>FES1162630866</v>
      </c>
      <c r="D1702" s="10" t="s">
        <v>19</v>
      </c>
      <c r="E1702" s="10" t="s">
        <v>163</v>
      </c>
      <c r="F1702" s="10" t="str">
        <f>"2170637659 "</f>
        <v xml:space="preserve">2170637659 </v>
      </c>
      <c r="G1702" s="10" t="str">
        <f t="shared" si="49"/>
        <v>ON1</v>
      </c>
      <c r="H1702" s="10" t="s">
        <v>21</v>
      </c>
      <c r="I1702" s="10" t="s">
        <v>51</v>
      </c>
      <c r="J1702" s="10" t="str">
        <f>""</f>
        <v/>
      </c>
      <c r="K1702" s="10" t="str">
        <f>"PFES1162630866_0001"</f>
        <v>PFES1162630866_0001</v>
      </c>
      <c r="L1702" s="10">
        <v>1</v>
      </c>
      <c r="M1702" s="10">
        <v>1</v>
      </c>
    </row>
    <row r="1703" spans="1:13">
      <c r="A1703" s="8">
        <v>43272</v>
      </c>
      <c r="B1703" s="9">
        <v>0.58888888888888891</v>
      </c>
      <c r="C1703" s="10" t="str">
        <f>"FES1162630923"</f>
        <v>FES1162630923</v>
      </c>
      <c r="D1703" s="10" t="s">
        <v>19</v>
      </c>
      <c r="E1703" s="10" t="s">
        <v>851</v>
      </c>
      <c r="F1703" s="10" t="str">
        <f>"2170637828 "</f>
        <v xml:space="preserve">2170637828 </v>
      </c>
      <c r="G1703" s="10" t="str">
        <f t="shared" si="49"/>
        <v>ON1</v>
      </c>
      <c r="H1703" s="10" t="s">
        <v>21</v>
      </c>
      <c r="I1703" s="10" t="s">
        <v>483</v>
      </c>
      <c r="J1703" s="10" t="str">
        <f>""</f>
        <v/>
      </c>
      <c r="K1703" s="10" t="str">
        <f>"PFES1162630923_0001"</f>
        <v>PFES1162630923_0001</v>
      </c>
      <c r="L1703" s="10">
        <v>1</v>
      </c>
      <c r="M1703" s="10">
        <v>1</v>
      </c>
    </row>
    <row r="1704" spans="1:13">
      <c r="A1704" s="8">
        <v>43272</v>
      </c>
      <c r="B1704" s="9">
        <v>0.58750000000000002</v>
      </c>
      <c r="C1704" s="10" t="str">
        <f>"FES1162630962"</f>
        <v>FES1162630962</v>
      </c>
      <c r="D1704" s="10" t="s">
        <v>19</v>
      </c>
      <c r="E1704" s="10" t="s">
        <v>263</v>
      </c>
      <c r="F1704" s="10" t="str">
        <f>"2170634944 "</f>
        <v xml:space="preserve">2170634944 </v>
      </c>
      <c r="G1704" s="10" t="str">
        <f t="shared" si="49"/>
        <v>ON1</v>
      </c>
      <c r="H1704" s="10" t="s">
        <v>21</v>
      </c>
      <c r="I1704" s="10" t="s">
        <v>230</v>
      </c>
      <c r="J1704" s="10" t="str">
        <f>""</f>
        <v/>
      </c>
      <c r="K1704" s="10" t="str">
        <f>"PFES1162630962_0001"</f>
        <v>PFES1162630962_0001</v>
      </c>
      <c r="L1704" s="10">
        <v>1</v>
      </c>
      <c r="M1704" s="10">
        <v>1</v>
      </c>
    </row>
    <row r="1705" spans="1:13">
      <c r="A1705" s="8">
        <v>43272</v>
      </c>
      <c r="B1705" s="9">
        <v>0.58750000000000002</v>
      </c>
      <c r="C1705" s="10" t="str">
        <f>"FES1162630854"</f>
        <v>FES1162630854</v>
      </c>
      <c r="D1705" s="10" t="s">
        <v>19</v>
      </c>
      <c r="E1705" s="10" t="s">
        <v>882</v>
      </c>
      <c r="F1705" s="10" t="str">
        <f>"2170637794 "</f>
        <v xml:space="preserve">2170637794 </v>
      </c>
      <c r="G1705" s="10" t="str">
        <f t="shared" si="49"/>
        <v>ON1</v>
      </c>
      <c r="H1705" s="10" t="s">
        <v>21</v>
      </c>
      <c r="I1705" s="10" t="s">
        <v>26</v>
      </c>
      <c r="J1705" s="10" t="str">
        <f>""</f>
        <v/>
      </c>
      <c r="K1705" s="10" t="str">
        <f>"PFES1162630854_0001"</f>
        <v>PFES1162630854_0001</v>
      </c>
      <c r="L1705" s="10">
        <v>1</v>
      </c>
      <c r="M1705" s="10">
        <v>1</v>
      </c>
    </row>
    <row r="1706" spans="1:13">
      <c r="A1706" s="8">
        <v>43272</v>
      </c>
      <c r="B1706" s="9">
        <v>0.58750000000000002</v>
      </c>
      <c r="C1706" s="10" t="str">
        <f>"FES1162630914"</f>
        <v>FES1162630914</v>
      </c>
      <c r="D1706" s="10" t="s">
        <v>19</v>
      </c>
      <c r="E1706" s="10" t="s">
        <v>95</v>
      </c>
      <c r="F1706" s="10" t="str">
        <f>"2170635899 "</f>
        <v xml:space="preserve">2170635899 </v>
      </c>
      <c r="G1706" s="10" t="str">
        <f t="shared" si="49"/>
        <v>ON1</v>
      </c>
      <c r="H1706" s="10" t="s">
        <v>21</v>
      </c>
      <c r="I1706" s="10" t="s">
        <v>96</v>
      </c>
      <c r="J1706" s="10" t="str">
        <f>""</f>
        <v/>
      </c>
      <c r="K1706" s="10" t="str">
        <f>"PFES1162630914_0001"</f>
        <v>PFES1162630914_0001</v>
      </c>
      <c r="L1706" s="10">
        <v>1</v>
      </c>
      <c r="M1706" s="10">
        <v>3</v>
      </c>
    </row>
    <row r="1707" spans="1:13">
      <c r="A1707" s="8">
        <v>43272</v>
      </c>
      <c r="B1707" s="9">
        <v>0.58680555555555558</v>
      </c>
      <c r="C1707" s="10" t="str">
        <f>"FES1162630878"</f>
        <v>FES1162630878</v>
      </c>
      <c r="D1707" s="10" t="s">
        <v>19</v>
      </c>
      <c r="E1707" s="10" t="s">
        <v>124</v>
      </c>
      <c r="F1707" s="10" t="str">
        <f>"1162630878 "</f>
        <v xml:space="preserve">1162630878 </v>
      </c>
      <c r="G1707" s="10" t="str">
        <f t="shared" si="49"/>
        <v>ON1</v>
      </c>
      <c r="H1707" s="10" t="s">
        <v>21</v>
      </c>
      <c r="I1707" s="10" t="s">
        <v>40</v>
      </c>
      <c r="J1707" s="10" t="str">
        <f>""</f>
        <v/>
      </c>
      <c r="K1707" s="10" t="str">
        <f>"PFES1162630878_0001"</f>
        <v>PFES1162630878_0001</v>
      </c>
      <c r="L1707" s="10">
        <v>1</v>
      </c>
      <c r="M1707" s="10">
        <v>1</v>
      </c>
    </row>
    <row r="1708" spans="1:13">
      <c r="A1708" s="8">
        <v>43272</v>
      </c>
      <c r="B1708" s="9">
        <v>0.58680555555555558</v>
      </c>
      <c r="C1708" s="10" t="str">
        <f>"FES1162630938"</f>
        <v>FES1162630938</v>
      </c>
      <c r="D1708" s="10" t="s">
        <v>19</v>
      </c>
      <c r="E1708" s="10" t="s">
        <v>859</v>
      </c>
      <c r="F1708" s="10" t="str">
        <f>"2170631705 "</f>
        <v xml:space="preserve">2170631705 </v>
      </c>
      <c r="G1708" s="10" t="str">
        <f t="shared" si="49"/>
        <v>ON1</v>
      </c>
      <c r="H1708" s="10" t="s">
        <v>21</v>
      </c>
      <c r="I1708" s="10" t="s">
        <v>860</v>
      </c>
      <c r="J1708" s="10" t="str">
        <f>""</f>
        <v/>
      </c>
      <c r="K1708" s="10" t="str">
        <f>"PFES1162630938_0001"</f>
        <v>PFES1162630938_0001</v>
      </c>
      <c r="L1708" s="10">
        <v>1</v>
      </c>
      <c r="M1708" s="10">
        <v>1</v>
      </c>
    </row>
    <row r="1709" spans="1:13">
      <c r="A1709" s="8">
        <v>43272</v>
      </c>
      <c r="B1709" s="9">
        <v>0.58680555555555558</v>
      </c>
      <c r="C1709" s="10" t="str">
        <f>"FES1162630895"</f>
        <v>FES1162630895</v>
      </c>
      <c r="D1709" s="10" t="s">
        <v>19</v>
      </c>
      <c r="E1709" s="10" t="s">
        <v>56</v>
      </c>
      <c r="F1709" s="10" t="str">
        <f>"2170635996 "</f>
        <v xml:space="preserve">2170635996 </v>
      </c>
      <c r="G1709" s="10" t="str">
        <f t="shared" si="49"/>
        <v>ON1</v>
      </c>
      <c r="H1709" s="10" t="s">
        <v>21</v>
      </c>
      <c r="I1709" s="10" t="s">
        <v>57</v>
      </c>
      <c r="J1709" s="10" t="str">
        <f>""</f>
        <v/>
      </c>
      <c r="K1709" s="10" t="str">
        <f>"PFES1162630895_0001"</f>
        <v>PFES1162630895_0001</v>
      </c>
      <c r="L1709" s="10">
        <v>1</v>
      </c>
      <c r="M1709" s="10">
        <v>1</v>
      </c>
    </row>
    <row r="1710" spans="1:13">
      <c r="A1710" s="8">
        <v>43272</v>
      </c>
      <c r="B1710" s="9">
        <v>0.58611111111111114</v>
      </c>
      <c r="C1710" s="10" t="str">
        <f>"FES1162630883"</f>
        <v>FES1162630883</v>
      </c>
      <c r="D1710" s="10" t="s">
        <v>19</v>
      </c>
      <c r="E1710" s="10" t="s">
        <v>345</v>
      </c>
      <c r="F1710" s="10" t="str">
        <f>"21706354446 "</f>
        <v xml:space="preserve">21706354446 </v>
      </c>
      <c r="G1710" s="10" t="str">
        <f t="shared" si="49"/>
        <v>ON1</v>
      </c>
      <c r="H1710" s="10" t="s">
        <v>21</v>
      </c>
      <c r="I1710" s="10" t="s">
        <v>228</v>
      </c>
      <c r="J1710" s="10" t="str">
        <f>""</f>
        <v/>
      </c>
      <c r="K1710" s="10" t="str">
        <f>"PFES1162630883_0001"</f>
        <v>PFES1162630883_0001</v>
      </c>
      <c r="L1710" s="10">
        <v>1</v>
      </c>
      <c r="M1710" s="10">
        <v>1</v>
      </c>
    </row>
    <row r="1711" spans="1:13">
      <c r="A1711" s="8">
        <v>43272</v>
      </c>
      <c r="B1711" s="9">
        <v>0.5854166666666667</v>
      </c>
      <c r="C1711" s="10" t="str">
        <f>"FES1162630833"</f>
        <v>FES1162630833</v>
      </c>
      <c r="D1711" s="10" t="s">
        <v>19</v>
      </c>
      <c r="E1711" s="10" t="s">
        <v>774</v>
      </c>
      <c r="F1711" s="10" t="str">
        <f>"2170637455 "</f>
        <v xml:space="preserve">2170637455 </v>
      </c>
      <c r="G1711" s="10" t="str">
        <f t="shared" si="49"/>
        <v>ON1</v>
      </c>
      <c r="H1711" s="10" t="s">
        <v>21</v>
      </c>
      <c r="I1711" s="10" t="s">
        <v>775</v>
      </c>
      <c r="J1711" s="10" t="str">
        <f>""</f>
        <v/>
      </c>
      <c r="K1711" s="10" t="str">
        <f>"PFES1162630833_0001"</f>
        <v>PFES1162630833_0001</v>
      </c>
      <c r="L1711" s="10">
        <v>1</v>
      </c>
      <c r="M1711" s="10">
        <v>1</v>
      </c>
    </row>
    <row r="1712" spans="1:13">
      <c r="A1712" s="8">
        <v>43272</v>
      </c>
      <c r="B1712" s="9">
        <v>0.5854166666666667</v>
      </c>
      <c r="C1712" s="10" t="str">
        <f>"FES1162630916"</f>
        <v>FES1162630916</v>
      </c>
      <c r="D1712" s="10" t="s">
        <v>19</v>
      </c>
      <c r="E1712" s="10" t="s">
        <v>152</v>
      </c>
      <c r="F1712" s="10" t="str">
        <f>"2170635961 "</f>
        <v xml:space="preserve">2170635961 </v>
      </c>
      <c r="G1712" s="10" t="str">
        <f t="shared" si="49"/>
        <v>ON1</v>
      </c>
      <c r="H1712" s="10" t="s">
        <v>21</v>
      </c>
      <c r="I1712" s="10" t="s">
        <v>106</v>
      </c>
      <c r="J1712" s="10" t="str">
        <f>""</f>
        <v/>
      </c>
      <c r="K1712" s="10" t="str">
        <f>"PFES1162630916_0001"</f>
        <v>PFES1162630916_0001</v>
      </c>
      <c r="L1712" s="10">
        <v>1</v>
      </c>
      <c r="M1712" s="10">
        <v>4</v>
      </c>
    </row>
    <row r="1713" spans="1:13">
      <c r="A1713" s="8">
        <v>43272</v>
      </c>
      <c r="B1713" s="9">
        <v>0.5854166666666667</v>
      </c>
      <c r="C1713" s="10" t="str">
        <f>"FES1162630945"</f>
        <v>FES1162630945</v>
      </c>
      <c r="D1713" s="10" t="s">
        <v>19</v>
      </c>
      <c r="E1713" s="10" t="s">
        <v>745</v>
      </c>
      <c r="F1713" s="10" t="str">
        <f>"2170635789 "</f>
        <v xml:space="preserve">2170635789 </v>
      </c>
      <c r="G1713" s="10" t="str">
        <f t="shared" si="49"/>
        <v>ON1</v>
      </c>
      <c r="H1713" s="10" t="s">
        <v>21</v>
      </c>
      <c r="I1713" s="10" t="s">
        <v>85</v>
      </c>
      <c r="J1713" s="10" t="str">
        <f>""</f>
        <v/>
      </c>
      <c r="K1713" s="10" t="str">
        <f>"PFES1162630945_0001"</f>
        <v>PFES1162630945_0001</v>
      </c>
      <c r="L1713" s="10">
        <v>1</v>
      </c>
      <c r="M1713" s="10">
        <v>1</v>
      </c>
    </row>
    <row r="1714" spans="1:13">
      <c r="A1714" s="8">
        <v>43272</v>
      </c>
      <c r="B1714" s="9">
        <v>0.58402777777777781</v>
      </c>
      <c r="C1714" s="10" t="str">
        <f>"FES1162630882"</f>
        <v>FES1162630882</v>
      </c>
      <c r="D1714" s="10" t="s">
        <v>19</v>
      </c>
      <c r="E1714" s="10" t="s">
        <v>122</v>
      </c>
      <c r="F1714" s="10" t="str">
        <f>"2170635444 "</f>
        <v xml:space="preserve">2170635444 </v>
      </c>
      <c r="G1714" s="10" t="str">
        <f t="shared" si="49"/>
        <v>ON1</v>
      </c>
      <c r="H1714" s="10" t="s">
        <v>21</v>
      </c>
      <c r="I1714" s="10" t="s">
        <v>75</v>
      </c>
      <c r="J1714" s="10" t="str">
        <f>""</f>
        <v/>
      </c>
      <c r="K1714" s="10" t="str">
        <f>"PFES1162630882_0001"</f>
        <v>PFES1162630882_0001</v>
      </c>
      <c r="L1714" s="10">
        <v>1</v>
      </c>
      <c r="M1714" s="10">
        <v>1</v>
      </c>
    </row>
    <row r="1715" spans="1:13">
      <c r="A1715" s="8">
        <v>43272</v>
      </c>
      <c r="B1715" s="9">
        <v>0.58402777777777781</v>
      </c>
      <c r="C1715" s="10" t="str">
        <f>"FES1162630881"</f>
        <v>FES1162630881</v>
      </c>
      <c r="D1715" s="10" t="s">
        <v>19</v>
      </c>
      <c r="E1715" s="10" t="s">
        <v>95</v>
      </c>
      <c r="F1715" s="10" t="str">
        <f>"2170635436 "</f>
        <v xml:space="preserve">2170635436 </v>
      </c>
      <c r="G1715" s="10" t="str">
        <f t="shared" si="49"/>
        <v>ON1</v>
      </c>
      <c r="H1715" s="10" t="s">
        <v>21</v>
      </c>
      <c r="I1715" s="10" t="s">
        <v>96</v>
      </c>
      <c r="J1715" s="10" t="str">
        <f>""</f>
        <v/>
      </c>
      <c r="K1715" s="10" t="str">
        <f>"PFES1162630881_0001"</f>
        <v>PFES1162630881_0001</v>
      </c>
      <c r="L1715" s="10">
        <v>1</v>
      </c>
      <c r="M1715" s="10">
        <v>2</v>
      </c>
    </row>
    <row r="1716" spans="1:13">
      <c r="A1716" s="8">
        <v>43272</v>
      </c>
      <c r="B1716" s="9">
        <v>0.58402777777777781</v>
      </c>
      <c r="C1716" s="10" t="str">
        <f>"FES1162630901"</f>
        <v>FES1162630901</v>
      </c>
      <c r="D1716" s="10" t="s">
        <v>19</v>
      </c>
      <c r="E1716" s="10" t="s">
        <v>137</v>
      </c>
      <c r="F1716" s="10" t="str">
        <f>"2170637803 "</f>
        <v xml:space="preserve">2170637803 </v>
      </c>
      <c r="G1716" s="10" t="str">
        <f t="shared" si="49"/>
        <v>ON1</v>
      </c>
      <c r="H1716" s="10" t="s">
        <v>21</v>
      </c>
      <c r="I1716" s="10" t="s">
        <v>93</v>
      </c>
      <c r="J1716" s="10" t="str">
        <f>""</f>
        <v/>
      </c>
      <c r="K1716" s="10" t="str">
        <f>"PFES1162630901_0001"</f>
        <v>PFES1162630901_0001</v>
      </c>
      <c r="L1716" s="10">
        <v>1</v>
      </c>
      <c r="M1716" s="10">
        <v>1</v>
      </c>
    </row>
    <row r="1717" spans="1:13">
      <c r="A1717" s="8">
        <v>43272</v>
      </c>
      <c r="B1717" s="9">
        <v>0.58333333333333337</v>
      </c>
      <c r="C1717" s="10" t="str">
        <f>"FES1162630828"</f>
        <v>FES1162630828</v>
      </c>
      <c r="D1717" s="10" t="s">
        <v>19</v>
      </c>
      <c r="E1717" s="10" t="s">
        <v>74</v>
      </c>
      <c r="F1717" s="10" t="str">
        <f>"2170637243 "</f>
        <v xml:space="preserve">2170637243 </v>
      </c>
      <c r="G1717" s="10" t="str">
        <f t="shared" si="49"/>
        <v>ON1</v>
      </c>
      <c r="H1717" s="10" t="s">
        <v>21</v>
      </c>
      <c r="I1717" s="10" t="s">
        <v>75</v>
      </c>
      <c r="J1717" s="10" t="str">
        <f>""</f>
        <v/>
      </c>
      <c r="K1717" s="10" t="str">
        <f>"PFES1162630828_0001"</f>
        <v>PFES1162630828_0001</v>
      </c>
      <c r="L1717" s="10">
        <v>1</v>
      </c>
      <c r="M1717" s="10">
        <v>1</v>
      </c>
    </row>
    <row r="1718" spans="1:13">
      <c r="A1718" s="8">
        <v>43272</v>
      </c>
      <c r="B1718" s="9">
        <v>0.58333333333333337</v>
      </c>
      <c r="C1718" s="10" t="str">
        <f>"FES1162630846"</f>
        <v>FES1162630846</v>
      </c>
      <c r="D1718" s="10" t="s">
        <v>19</v>
      </c>
      <c r="E1718" s="10" t="s">
        <v>354</v>
      </c>
      <c r="F1718" s="10" t="str">
        <f>"2170637783 "</f>
        <v xml:space="preserve">2170637783 </v>
      </c>
      <c r="G1718" s="10" t="str">
        <f t="shared" si="49"/>
        <v>ON1</v>
      </c>
      <c r="H1718" s="10" t="s">
        <v>21</v>
      </c>
      <c r="I1718" s="10" t="s">
        <v>349</v>
      </c>
      <c r="J1718" s="10" t="str">
        <f>""</f>
        <v/>
      </c>
      <c r="K1718" s="10" t="str">
        <f>"PFES1162630846_0001"</f>
        <v>PFES1162630846_0001</v>
      </c>
      <c r="L1718" s="10">
        <v>1</v>
      </c>
      <c r="M1718" s="10">
        <v>1</v>
      </c>
    </row>
    <row r="1719" spans="1:13">
      <c r="A1719" s="8">
        <v>43272</v>
      </c>
      <c r="B1719" s="9">
        <v>0.58333333333333337</v>
      </c>
      <c r="C1719" s="10" t="str">
        <f>"FES1162630928"</f>
        <v>FES1162630928</v>
      </c>
      <c r="D1719" s="10" t="s">
        <v>19</v>
      </c>
      <c r="E1719" s="10" t="s">
        <v>368</v>
      </c>
      <c r="F1719" s="10" t="str">
        <f>"2170637832 "</f>
        <v xml:space="preserve">2170637832 </v>
      </c>
      <c r="G1719" s="10" t="str">
        <f t="shared" si="49"/>
        <v>ON1</v>
      </c>
      <c r="H1719" s="10" t="s">
        <v>21</v>
      </c>
      <c r="I1719" s="10" t="s">
        <v>369</v>
      </c>
      <c r="J1719" s="10" t="str">
        <f>""</f>
        <v/>
      </c>
      <c r="K1719" s="10" t="str">
        <f>"PFES1162630928_0001"</f>
        <v>PFES1162630928_0001</v>
      </c>
      <c r="L1719" s="10">
        <v>1</v>
      </c>
      <c r="M1719" s="10">
        <v>1</v>
      </c>
    </row>
    <row r="1720" spans="1:13">
      <c r="A1720" s="8">
        <v>43272</v>
      </c>
      <c r="B1720" s="9">
        <v>0.58124999999999993</v>
      </c>
      <c r="C1720" s="10" t="str">
        <f>"FES1162630899"</f>
        <v>FES1162630899</v>
      </c>
      <c r="D1720" s="10" t="s">
        <v>19</v>
      </c>
      <c r="E1720" s="10" t="s">
        <v>149</v>
      </c>
      <c r="F1720" s="10" t="str">
        <f>"2170636349"</f>
        <v>2170636349</v>
      </c>
      <c r="G1720" s="10" t="str">
        <f t="shared" si="49"/>
        <v>ON1</v>
      </c>
      <c r="H1720" s="10" t="s">
        <v>21</v>
      </c>
      <c r="I1720" s="10" t="s">
        <v>96</v>
      </c>
      <c r="K1720" s="10" t="str">
        <f>"PFES1162630899_0001"</f>
        <v>PFES1162630899_0001</v>
      </c>
      <c r="L1720" s="10">
        <v>1</v>
      </c>
      <c r="M1720" s="10">
        <v>2</v>
      </c>
    </row>
    <row r="1721" spans="1:13">
      <c r="A1721" s="8">
        <v>43272</v>
      </c>
      <c r="B1721" s="9">
        <v>0.57986111111111105</v>
      </c>
      <c r="C1721" s="10" t="str">
        <f>"FES1162630858"</f>
        <v>FES1162630858</v>
      </c>
      <c r="D1721" s="10" t="s">
        <v>19</v>
      </c>
      <c r="E1721" s="10" t="s">
        <v>883</v>
      </c>
      <c r="F1721" s="10" t="str">
        <f>"2170637798 "</f>
        <v xml:space="preserve">2170637798 </v>
      </c>
      <c r="G1721" s="10" t="str">
        <f t="shared" si="49"/>
        <v>ON1</v>
      </c>
      <c r="H1721" s="10" t="s">
        <v>21</v>
      </c>
      <c r="I1721" s="10" t="s">
        <v>146</v>
      </c>
      <c r="J1721" s="10" t="str">
        <f>""</f>
        <v/>
      </c>
      <c r="K1721" s="10" t="str">
        <f>"PFES1162630858_0001"</f>
        <v>PFES1162630858_0001</v>
      </c>
      <c r="L1721" s="10">
        <v>1</v>
      </c>
      <c r="M1721" s="10">
        <v>1</v>
      </c>
    </row>
    <row r="1722" spans="1:13">
      <c r="A1722" s="8">
        <v>43272</v>
      </c>
      <c r="B1722" s="9">
        <v>0.57916666666666672</v>
      </c>
      <c r="C1722" s="10" t="str">
        <f>"FES1162630879"</f>
        <v>FES1162630879</v>
      </c>
      <c r="D1722" s="10" t="s">
        <v>19</v>
      </c>
      <c r="E1722" s="10" t="s">
        <v>884</v>
      </c>
      <c r="F1722" s="10" t="str">
        <f>"2170635383 "</f>
        <v xml:space="preserve">2170635383 </v>
      </c>
      <c r="G1722" s="10" t="str">
        <f t="shared" si="49"/>
        <v>ON1</v>
      </c>
      <c r="H1722" s="10" t="s">
        <v>21</v>
      </c>
      <c r="I1722" s="10" t="s">
        <v>30</v>
      </c>
      <c r="J1722" s="10" t="str">
        <f>""</f>
        <v/>
      </c>
      <c r="K1722" s="10" t="str">
        <f>"PFES1162630879_0001"</f>
        <v>PFES1162630879_0001</v>
      </c>
      <c r="L1722" s="10">
        <v>1</v>
      </c>
      <c r="M1722" s="10">
        <v>1</v>
      </c>
    </row>
    <row r="1723" spans="1:13">
      <c r="A1723" s="8">
        <v>43272</v>
      </c>
      <c r="B1723" s="9">
        <v>0.57847222222222217</v>
      </c>
      <c r="C1723" s="10" t="str">
        <f>"FES1162630816"</f>
        <v>FES1162630816</v>
      </c>
      <c r="D1723" s="10" t="s">
        <v>19</v>
      </c>
      <c r="E1723" s="10" t="s">
        <v>456</v>
      </c>
      <c r="F1723" s="10" t="str">
        <f>"2170635176 "</f>
        <v xml:space="preserve">2170635176 </v>
      </c>
      <c r="G1723" s="10" t="str">
        <f t="shared" si="49"/>
        <v>ON1</v>
      </c>
      <c r="H1723" s="10" t="s">
        <v>21</v>
      </c>
      <c r="I1723" s="10" t="s">
        <v>36</v>
      </c>
      <c r="J1723" s="10" t="str">
        <f>""</f>
        <v/>
      </c>
      <c r="K1723" s="10" t="str">
        <f>"PFES1162630816_0001"</f>
        <v>PFES1162630816_0001</v>
      </c>
      <c r="L1723" s="10">
        <v>1</v>
      </c>
      <c r="M1723" s="10">
        <v>1</v>
      </c>
    </row>
    <row r="1724" spans="1:13">
      <c r="A1724" s="8">
        <v>43272</v>
      </c>
      <c r="B1724" s="9">
        <v>0.57222222222222219</v>
      </c>
      <c r="C1724" s="10" t="str">
        <f>"FES1162630884"</f>
        <v>FES1162630884</v>
      </c>
      <c r="D1724" s="10" t="s">
        <v>19</v>
      </c>
      <c r="E1724" s="10" t="s">
        <v>780</v>
      </c>
      <c r="F1724" s="10" t="str">
        <f>"2170635478 "</f>
        <v xml:space="preserve">2170635478 </v>
      </c>
      <c r="G1724" s="10" t="str">
        <f t="shared" si="49"/>
        <v>ON1</v>
      </c>
      <c r="H1724" s="10" t="s">
        <v>21</v>
      </c>
      <c r="I1724" s="10" t="s">
        <v>46</v>
      </c>
      <c r="J1724" s="10" t="str">
        <f>""</f>
        <v/>
      </c>
      <c r="K1724" s="10" t="str">
        <f>"PFES1162630884_0001"</f>
        <v>PFES1162630884_0001</v>
      </c>
      <c r="L1724" s="10">
        <v>1</v>
      </c>
      <c r="M1724" s="10">
        <v>3</v>
      </c>
    </row>
    <row r="1725" spans="1:13">
      <c r="A1725" s="8">
        <v>43272</v>
      </c>
      <c r="B1725" s="9">
        <v>0.5708333333333333</v>
      </c>
      <c r="C1725" s="10" t="str">
        <f>"FES1162630908"</f>
        <v>FES1162630908</v>
      </c>
      <c r="D1725" s="10" t="s">
        <v>19</v>
      </c>
      <c r="E1725" s="10" t="s">
        <v>885</v>
      </c>
      <c r="F1725" s="10" t="str">
        <f>"2170630454 "</f>
        <v xml:space="preserve">2170630454 </v>
      </c>
      <c r="G1725" s="10" t="str">
        <f t="shared" si="49"/>
        <v>ON1</v>
      </c>
      <c r="H1725" s="10" t="s">
        <v>21</v>
      </c>
      <c r="I1725" s="10" t="s">
        <v>36</v>
      </c>
      <c r="J1725" s="10" t="str">
        <f>""</f>
        <v/>
      </c>
      <c r="K1725" s="10" t="str">
        <f>"PFES1162630908_0001"</f>
        <v>PFES1162630908_0001</v>
      </c>
      <c r="L1725" s="10">
        <v>1</v>
      </c>
      <c r="M1725" s="10">
        <v>3</v>
      </c>
    </row>
    <row r="1726" spans="1:13">
      <c r="A1726" s="8">
        <v>43272</v>
      </c>
      <c r="B1726" s="9">
        <v>0.57013888888888886</v>
      </c>
      <c r="C1726" s="10" t="str">
        <f>"FES1162630888"</f>
        <v>FES1162630888</v>
      </c>
      <c r="D1726" s="10" t="s">
        <v>19</v>
      </c>
      <c r="E1726" s="10" t="s">
        <v>886</v>
      </c>
      <c r="F1726" s="10" t="str">
        <f>"2170635623 "</f>
        <v xml:space="preserve">2170635623 </v>
      </c>
      <c r="G1726" s="10" t="str">
        <f t="shared" si="49"/>
        <v>ON1</v>
      </c>
      <c r="H1726" s="10" t="s">
        <v>21</v>
      </c>
      <c r="I1726" s="10" t="s">
        <v>887</v>
      </c>
      <c r="J1726" s="10" t="str">
        <f>""</f>
        <v/>
      </c>
      <c r="K1726" s="10" t="str">
        <f>"PFES1162630888_0001"</f>
        <v>PFES1162630888_0001</v>
      </c>
      <c r="L1726" s="10">
        <v>1</v>
      </c>
      <c r="M1726" s="10">
        <v>16</v>
      </c>
    </row>
    <row r="1727" spans="1:13">
      <c r="A1727" s="8">
        <v>43272</v>
      </c>
      <c r="B1727" s="9">
        <v>0.56944444444444442</v>
      </c>
      <c r="C1727" s="10" t="str">
        <f>"FES1162630831"</f>
        <v>FES1162630831</v>
      </c>
      <c r="D1727" s="10" t="s">
        <v>19</v>
      </c>
      <c r="E1727" s="10" t="s">
        <v>263</v>
      </c>
      <c r="F1727" s="10" t="str">
        <f>"2170637435 "</f>
        <v xml:space="preserve">2170637435 </v>
      </c>
      <c r="G1727" s="10" t="str">
        <f t="shared" si="49"/>
        <v>ON1</v>
      </c>
      <c r="H1727" s="10" t="s">
        <v>21</v>
      </c>
      <c r="I1727" s="10" t="s">
        <v>230</v>
      </c>
      <c r="J1727" s="10" t="str">
        <f>""</f>
        <v/>
      </c>
      <c r="K1727" s="10" t="str">
        <f>"PFES1162630831_0001"</f>
        <v>PFES1162630831_0001</v>
      </c>
      <c r="L1727" s="10">
        <v>1</v>
      </c>
      <c r="M1727" s="10">
        <v>4</v>
      </c>
    </row>
    <row r="1728" spans="1:13">
      <c r="A1728" s="8">
        <v>43272</v>
      </c>
      <c r="B1728" s="9">
        <v>0.56805555555555554</v>
      </c>
      <c r="C1728" s="10" t="str">
        <f>"FES1162630944"</f>
        <v>FES1162630944</v>
      </c>
      <c r="D1728" s="10" t="s">
        <v>19</v>
      </c>
      <c r="E1728" s="10" t="s">
        <v>242</v>
      </c>
      <c r="F1728" s="10" t="str">
        <f>"2170635785 "</f>
        <v xml:space="preserve">2170635785 </v>
      </c>
      <c r="G1728" s="10" t="str">
        <f t="shared" si="49"/>
        <v>ON1</v>
      </c>
      <c r="H1728" s="10" t="s">
        <v>21</v>
      </c>
      <c r="I1728" s="10" t="s">
        <v>55</v>
      </c>
      <c r="J1728" s="10" t="str">
        <f>""</f>
        <v/>
      </c>
      <c r="K1728" s="10" t="str">
        <f>"PFES1162630944_0001"</f>
        <v>PFES1162630944_0001</v>
      </c>
      <c r="L1728" s="10">
        <v>1</v>
      </c>
      <c r="M1728" s="10">
        <v>4</v>
      </c>
    </row>
    <row r="1729" spans="1:13">
      <c r="A1729" s="8">
        <v>43272</v>
      </c>
      <c r="B1729" s="9">
        <v>0.56666666666666665</v>
      </c>
      <c r="C1729" s="10" t="str">
        <f>"FES1162630910"</f>
        <v>FES1162630910</v>
      </c>
      <c r="D1729" s="10" t="s">
        <v>19</v>
      </c>
      <c r="E1729" s="10" t="s">
        <v>216</v>
      </c>
      <c r="F1729" s="10" t="str">
        <f>"2170635768 "</f>
        <v xml:space="preserve">2170635768 </v>
      </c>
      <c r="G1729" s="10" t="str">
        <f t="shared" si="49"/>
        <v>ON1</v>
      </c>
      <c r="H1729" s="10" t="s">
        <v>21</v>
      </c>
      <c r="I1729" s="10" t="s">
        <v>110</v>
      </c>
      <c r="J1729" s="10" t="str">
        <f>""</f>
        <v/>
      </c>
      <c r="K1729" s="10" t="str">
        <f>"PFES1162630910_0001"</f>
        <v>PFES1162630910_0001</v>
      </c>
      <c r="L1729" s="10">
        <v>1</v>
      </c>
      <c r="M1729" s="10">
        <v>1</v>
      </c>
    </row>
    <row r="1730" spans="1:13">
      <c r="A1730" s="8">
        <v>43272</v>
      </c>
      <c r="B1730" s="9">
        <v>0.65069444444444446</v>
      </c>
      <c r="C1730" s="10" t="str">
        <f>"FES1162631004"</f>
        <v>FES1162631004</v>
      </c>
      <c r="D1730" s="10" t="s">
        <v>19</v>
      </c>
      <c r="E1730" s="10" t="s">
        <v>649</v>
      </c>
      <c r="F1730" s="10" t="str">
        <f>"2170637899 "</f>
        <v xml:space="preserve">2170637899 </v>
      </c>
      <c r="G1730" s="10" t="str">
        <f t="shared" si="49"/>
        <v>ON1</v>
      </c>
      <c r="H1730" s="10" t="s">
        <v>21</v>
      </c>
      <c r="I1730" s="10" t="s">
        <v>26</v>
      </c>
      <c r="J1730" s="10" t="str">
        <f>""</f>
        <v/>
      </c>
      <c r="K1730" s="10" t="str">
        <f>"PFES1162631004_0001"</f>
        <v>PFES1162631004_0001</v>
      </c>
      <c r="L1730" s="10">
        <v>1</v>
      </c>
      <c r="M1730" s="10">
        <v>3</v>
      </c>
    </row>
    <row r="1731" spans="1:13">
      <c r="A1731" s="8">
        <v>43272</v>
      </c>
      <c r="B1731" s="9">
        <v>0.65069444444444446</v>
      </c>
      <c r="C1731" s="10" t="str">
        <f>"FES1162631036"</f>
        <v>FES1162631036</v>
      </c>
      <c r="D1731" s="10" t="s">
        <v>19</v>
      </c>
      <c r="E1731" s="10" t="s">
        <v>426</v>
      </c>
      <c r="F1731" s="10" t="str">
        <f>"2170637932 "</f>
        <v xml:space="preserve">2170637932 </v>
      </c>
      <c r="G1731" s="10" t="str">
        <f t="shared" si="49"/>
        <v>ON1</v>
      </c>
      <c r="H1731" s="10" t="s">
        <v>21</v>
      </c>
      <c r="I1731" s="10" t="s">
        <v>427</v>
      </c>
      <c r="J1731" s="10" t="str">
        <f>""</f>
        <v/>
      </c>
      <c r="K1731" s="10" t="str">
        <f>"PFES1162631036_0001"</f>
        <v>PFES1162631036_0001</v>
      </c>
      <c r="L1731" s="10">
        <v>1</v>
      </c>
      <c r="M1731" s="10">
        <v>1</v>
      </c>
    </row>
    <row r="1732" spans="1:13">
      <c r="A1732" s="8">
        <v>43272</v>
      </c>
      <c r="B1732" s="9">
        <v>0.65</v>
      </c>
      <c r="C1732" s="10" t="str">
        <f>"FES1162630822"</f>
        <v>FES1162630822</v>
      </c>
      <c r="D1732" s="10" t="s">
        <v>19</v>
      </c>
      <c r="E1732" s="10" t="s">
        <v>135</v>
      </c>
      <c r="F1732" s="10" t="str">
        <f>"2170636743 "</f>
        <v xml:space="preserve">2170636743 </v>
      </c>
      <c r="G1732" s="10" t="str">
        <f t="shared" si="49"/>
        <v>ON1</v>
      </c>
      <c r="H1732" s="10" t="s">
        <v>21</v>
      </c>
      <c r="I1732" s="10" t="s">
        <v>136</v>
      </c>
      <c r="J1732" s="10" t="str">
        <f>""</f>
        <v/>
      </c>
      <c r="K1732" s="10" t="str">
        <f>"PFES1162630822_0001"</f>
        <v>PFES1162630822_0001</v>
      </c>
      <c r="L1732" s="10">
        <v>1</v>
      </c>
      <c r="M1732" s="10">
        <v>1</v>
      </c>
    </row>
    <row r="1733" spans="1:13">
      <c r="A1733" s="8">
        <v>43272</v>
      </c>
      <c r="B1733" s="9">
        <v>0.65</v>
      </c>
      <c r="C1733" s="10" t="str">
        <f>"FES1162631026"</f>
        <v>FES1162631026</v>
      </c>
      <c r="D1733" s="10" t="s">
        <v>19</v>
      </c>
      <c r="E1733" s="10" t="s">
        <v>249</v>
      </c>
      <c r="F1733" s="10" t="str">
        <f>"2170637921 "</f>
        <v xml:space="preserve">2170637921 </v>
      </c>
      <c r="G1733" s="10" t="str">
        <f t="shared" si="49"/>
        <v>ON1</v>
      </c>
      <c r="H1733" s="10" t="s">
        <v>21</v>
      </c>
      <c r="I1733" s="10" t="s">
        <v>59</v>
      </c>
      <c r="J1733" s="10" t="str">
        <f>""</f>
        <v/>
      </c>
      <c r="K1733" s="10" t="str">
        <f>"PFES1162631026_0001"</f>
        <v>PFES1162631026_0001</v>
      </c>
      <c r="L1733" s="10">
        <v>1</v>
      </c>
      <c r="M1733" s="10">
        <v>1</v>
      </c>
    </row>
    <row r="1734" spans="1:13">
      <c r="A1734" s="8">
        <v>43272</v>
      </c>
      <c r="B1734" s="9">
        <v>0.64930555555555558</v>
      </c>
      <c r="C1734" s="10" t="str">
        <f>"FES1162630841"</f>
        <v>FES1162630841</v>
      </c>
      <c r="D1734" s="10" t="s">
        <v>19</v>
      </c>
      <c r="E1734" s="10" t="s">
        <v>888</v>
      </c>
      <c r="F1734" s="10" t="str">
        <f>"2170637774 "</f>
        <v xml:space="preserve">2170637774 </v>
      </c>
      <c r="G1734" s="10" t="str">
        <f t="shared" si="49"/>
        <v>ON1</v>
      </c>
      <c r="H1734" s="10" t="s">
        <v>21</v>
      </c>
      <c r="I1734" s="10" t="s">
        <v>230</v>
      </c>
      <c r="J1734" s="10" t="str">
        <f>""</f>
        <v/>
      </c>
      <c r="K1734" s="10" t="str">
        <f>"PFES1162630841_0001"</f>
        <v>PFES1162630841_0001</v>
      </c>
      <c r="L1734" s="10">
        <v>1</v>
      </c>
      <c r="M1734" s="10">
        <v>4</v>
      </c>
    </row>
    <row r="1735" spans="1:13">
      <c r="A1735" s="8">
        <v>43272</v>
      </c>
      <c r="B1735" s="9">
        <v>0.64930555555555558</v>
      </c>
      <c r="C1735" s="10" t="str">
        <f>"FES1162630845"</f>
        <v>FES1162630845</v>
      </c>
      <c r="D1735" s="10" t="s">
        <v>19</v>
      </c>
      <c r="E1735" s="10" t="s">
        <v>64</v>
      </c>
      <c r="F1735" s="10" t="str">
        <f>"2170637781 "</f>
        <v xml:space="preserve">2170637781 </v>
      </c>
      <c r="G1735" s="10" t="str">
        <f t="shared" si="49"/>
        <v>ON1</v>
      </c>
      <c r="H1735" s="10" t="s">
        <v>21</v>
      </c>
      <c r="I1735" s="10" t="s">
        <v>40</v>
      </c>
      <c r="J1735" s="10" t="str">
        <f>""</f>
        <v/>
      </c>
      <c r="K1735" s="10" t="str">
        <f>"PFES1162630845_0001"</f>
        <v>PFES1162630845_0001</v>
      </c>
      <c r="L1735" s="10">
        <v>1</v>
      </c>
      <c r="M1735" s="10">
        <v>1</v>
      </c>
    </row>
    <row r="1736" spans="1:13">
      <c r="A1736" s="8">
        <v>43272</v>
      </c>
      <c r="B1736" s="9">
        <v>0.64930555555555558</v>
      </c>
      <c r="C1736" s="10" t="str">
        <f>"FES1162631031"</f>
        <v>FES1162631031</v>
      </c>
      <c r="D1736" s="10" t="s">
        <v>19</v>
      </c>
      <c r="E1736" s="10" t="s">
        <v>889</v>
      </c>
      <c r="F1736" s="10" t="str">
        <f>"2170637923 "</f>
        <v xml:space="preserve">2170637923 </v>
      </c>
      <c r="G1736" s="10" t="str">
        <f t="shared" si="49"/>
        <v>ON1</v>
      </c>
      <c r="H1736" s="10" t="s">
        <v>21</v>
      </c>
      <c r="I1736" s="10" t="s">
        <v>36</v>
      </c>
      <c r="J1736" s="10" t="str">
        <f>""</f>
        <v/>
      </c>
      <c r="K1736" s="10" t="str">
        <f>"PFES1162631031_0001"</f>
        <v>PFES1162631031_0001</v>
      </c>
      <c r="L1736" s="10">
        <v>1</v>
      </c>
      <c r="M1736" s="10">
        <v>1</v>
      </c>
    </row>
    <row r="1737" spans="1:13">
      <c r="A1737" s="8">
        <v>43272</v>
      </c>
      <c r="B1737" s="9">
        <v>0.64861111111111114</v>
      </c>
      <c r="C1737" s="10" t="str">
        <f>"FES1162631033"</f>
        <v>FES1162631033</v>
      </c>
      <c r="D1737" s="10" t="s">
        <v>19</v>
      </c>
      <c r="E1737" s="10" t="s">
        <v>602</v>
      </c>
      <c r="F1737" s="10" t="str">
        <f>"2170637927 "</f>
        <v xml:space="preserve">2170637927 </v>
      </c>
      <c r="G1737" s="10" t="str">
        <f t="shared" si="49"/>
        <v>ON1</v>
      </c>
      <c r="H1737" s="10" t="s">
        <v>21</v>
      </c>
      <c r="I1737" s="10" t="s">
        <v>108</v>
      </c>
      <c r="J1737" s="10" t="str">
        <f>""</f>
        <v/>
      </c>
      <c r="K1737" s="10" t="str">
        <f>"PFES1162631033_0001"</f>
        <v>PFES1162631033_0001</v>
      </c>
      <c r="L1737" s="10">
        <v>1</v>
      </c>
      <c r="M1737" s="10">
        <v>1</v>
      </c>
    </row>
    <row r="1738" spans="1:13">
      <c r="A1738" s="8">
        <v>43272</v>
      </c>
      <c r="B1738" s="9">
        <v>0.64861111111111114</v>
      </c>
      <c r="C1738" s="10" t="str">
        <f>"FES1162631034"</f>
        <v>FES1162631034</v>
      </c>
      <c r="D1738" s="10" t="s">
        <v>19</v>
      </c>
      <c r="E1738" s="10" t="s">
        <v>890</v>
      </c>
      <c r="F1738" s="10" t="str">
        <f>"2170637679 "</f>
        <v xml:space="preserve">2170637679 </v>
      </c>
      <c r="G1738" s="10" t="str">
        <f t="shared" si="49"/>
        <v>ON1</v>
      </c>
      <c r="H1738" s="10" t="s">
        <v>21</v>
      </c>
      <c r="I1738" s="10" t="s">
        <v>213</v>
      </c>
      <c r="J1738" s="10" t="str">
        <f>""</f>
        <v/>
      </c>
      <c r="K1738" s="10" t="str">
        <f>"PFES1162631034_0001"</f>
        <v>PFES1162631034_0001</v>
      </c>
      <c r="L1738" s="10">
        <v>1</v>
      </c>
      <c r="M1738" s="10">
        <v>1</v>
      </c>
    </row>
    <row r="1739" spans="1:13">
      <c r="A1739" s="8">
        <v>43272</v>
      </c>
      <c r="B1739" s="9">
        <v>0.6479166666666667</v>
      </c>
      <c r="C1739" s="10" t="str">
        <f>"FES1162631014"</f>
        <v>FES1162631014</v>
      </c>
      <c r="D1739" s="10" t="s">
        <v>19</v>
      </c>
      <c r="E1739" s="10" t="s">
        <v>891</v>
      </c>
      <c r="F1739" s="10" t="str">
        <f>"2170637896 "</f>
        <v xml:space="preserve">2170637896 </v>
      </c>
      <c r="G1739" s="10" t="str">
        <f t="shared" si="49"/>
        <v>ON1</v>
      </c>
      <c r="H1739" s="10" t="s">
        <v>21</v>
      </c>
      <c r="I1739" s="10" t="s">
        <v>32</v>
      </c>
      <c r="J1739" s="10" t="str">
        <f>""</f>
        <v/>
      </c>
      <c r="K1739" s="10" t="str">
        <f>"PFES1162631014_0001"</f>
        <v>PFES1162631014_0001</v>
      </c>
      <c r="L1739" s="10">
        <v>1</v>
      </c>
      <c r="M1739" s="10">
        <v>1</v>
      </c>
    </row>
    <row r="1740" spans="1:13">
      <c r="A1740" s="8">
        <v>43272</v>
      </c>
      <c r="B1740" s="9">
        <v>0.6479166666666667</v>
      </c>
      <c r="C1740" s="10" t="str">
        <f>"FES1162631013"</f>
        <v>FES1162631013</v>
      </c>
      <c r="D1740" s="10" t="s">
        <v>19</v>
      </c>
      <c r="E1740" s="10" t="s">
        <v>33</v>
      </c>
      <c r="F1740" s="10" t="str">
        <f>"2170637821 "</f>
        <v xml:space="preserve">2170637821 </v>
      </c>
      <c r="G1740" s="10" t="str">
        <f t="shared" si="49"/>
        <v>ON1</v>
      </c>
      <c r="H1740" s="10" t="s">
        <v>21</v>
      </c>
      <c r="I1740" s="10" t="s">
        <v>34</v>
      </c>
      <c r="J1740" s="10" t="str">
        <f>""</f>
        <v/>
      </c>
      <c r="K1740" s="10" t="str">
        <f>"PFES1162631013_0001"</f>
        <v>PFES1162631013_0001</v>
      </c>
      <c r="L1740" s="10">
        <v>1</v>
      </c>
      <c r="M1740" s="10">
        <v>5</v>
      </c>
    </row>
    <row r="1741" spans="1:13">
      <c r="A1741" s="8">
        <v>43272</v>
      </c>
      <c r="B1741" s="9">
        <v>0.64513888888888882</v>
      </c>
      <c r="C1741" s="10" t="str">
        <f>"FES1162630874"</f>
        <v>FES1162630874</v>
      </c>
      <c r="D1741" s="10" t="s">
        <v>19</v>
      </c>
      <c r="E1741" s="10" t="s">
        <v>892</v>
      </c>
      <c r="F1741" s="10" t="str">
        <f>"2170634667 "</f>
        <v xml:space="preserve">2170634667 </v>
      </c>
      <c r="G1741" s="10" t="str">
        <f t="shared" si="49"/>
        <v>ON1</v>
      </c>
      <c r="H1741" s="10" t="s">
        <v>21</v>
      </c>
      <c r="I1741" s="10" t="s">
        <v>849</v>
      </c>
      <c r="J1741" s="10" t="str">
        <f>""</f>
        <v/>
      </c>
      <c r="K1741" s="10" t="str">
        <f>"PFES1162630874_0001"</f>
        <v>PFES1162630874_0001</v>
      </c>
      <c r="L1741" s="10">
        <v>1</v>
      </c>
      <c r="M1741" s="10">
        <v>4</v>
      </c>
    </row>
    <row r="1742" spans="1:13">
      <c r="A1742" s="8">
        <v>43272</v>
      </c>
      <c r="B1742" s="9">
        <v>0.64444444444444449</v>
      </c>
      <c r="C1742" s="10" t="str">
        <f>"FES1162631038"</f>
        <v>FES1162631038</v>
      </c>
      <c r="D1742" s="10" t="s">
        <v>19</v>
      </c>
      <c r="E1742" s="10" t="s">
        <v>534</v>
      </c>
      <c r="F1742" s="10" t="str">
        <f>"2170637935 "</f>
        <v xml:space="preserve">2170637935 </v>
      </c>
      <c r="G1742" s="10" t="str">
        <f t="shared" si="49"/>
        <v>ON1</v>
      </c>
      <c r="H1742" s="10" t="s">
        <v>21</v>
      </c>
      <c r="I1742" s="10" t="s">
        <v>356</v>
      </c>
      <c r="J1742" s="10" t="str">
        <f>""</f>
        <v/>
      </c>
      <c r="K1742" s="10" t="str">
        <f>"PFES1162631038_0001"</f>
        <v>PFES1162631038_0001</v>
      </c>
      <c r="L1742" s="10">
        <v>1</v>
      </c>
      <c r="M1742" s="10">
        <v>4</v>
      </c>
    </row>
    <row r="1743" spans="1:13">
      <c r="A1743" s="8">
        <v>43272</v>
      </c>
      <c r="B1743" s="9">
        <v>0.6430555555555556</v>
      </c>
      <c r="C1743" s="10" t="str">
        <f>"FES1162631041"</f>
        <v>FES1162631041</v>
      </c>
      <c r="D1743" s="10" t="s">
        <v>19</v>
      </c>
      <c r="E1743" s="10" t="s">
        <v>837</v>
      </c>
      <c r="F1743" s="10" t="str">
        <f>"2170637940 "</f>
        <v xml:space="preserve">2170637940 </v>
      </c>
      <c r="G1743" s="10" t="str">
        <f t="shared" si="49"/>
        <v>ON1</v>
      </c>
      <c r="H1743" s="10" t="s">
        <v>21</v>
      </c>
      <c r="I1743" s="10" t="s">
        <v>767</v>
      </c>
      <c r="J1743" s="10" t="str">
        <f>""</f>
        <v/>
      </c>
      <c r="K1743" s="10" t="str">
        <f>"PFES1162631041_0001"</f>
        <v>PFES1162631041_0001</v>
      </c>
      <c r="L1743" s="10">
        <v>1</v>
      </c>
      <c r="M1743" s="10">
        <v>4</v>
      </c>
    </row>
    <row r="1744" spans="1:13">
      <c r="A1744" s="8">
        <v>43272</v>
      </c>
      <c r="B1744" s="9">
        <v>0.62291666666666667</v>
      </c>
      <c r="C1744" s="10" t="str">
        <f>"FES1162630880"</f>
        <v>FES1162630880</v>
      </c>
      <c r="D1744" s="10" t="s">
        <v>19</v>
      </c>
      <c r="E1744" s="10" t="s">
        <v>193</v>
      </c>
      <c r="F1744" s="10" t="str">
        <f>"2170635421 "</f>
        <v xml:space="preserve">2170635421 </v>
      </c>
      <c r="G1744" s="10" t="str">
        <f t="shared" si="49"/>
        <v>ON1</v>
      </c>
      <c r="H1744" s="10" t="s">
        <v>21</v>
      </c>
      <c r="I1744" s="10" t="s">
        <v>30</v>
      </c>
      <c r="J1744" s="10" t="str">
        <f>""</f>
        <v/>
      </c>
      <c r="K1744" s="10" t="str">
        <f>"PFES1162630880_0001"</f>
        <v>PFES1162630880_0001</v>
      </c>
      <c r="L1744" s="10">
        <v>1</v>
      </c>
      <c r="M1744" s="10">
        <v>1</v>
      </c>
    </row>
    <row r="1745" spans="1:13">
      <c r="A1745" s="8">
        <v>43272</v>
      </c>
      <c r="B1745" s="9">
        <v>0.56597222222222221</v>
      </c>
      <c r="C1745" s="10" t="str">
        <f>"FES1162630906"</f>
        <v>FES1162630906</v>
      </c>
      <c r="D1745" s="10" t="s">
        <v>19</v>
      </c>
      <c r="E1745" s="10" t="s">
        <v>67</v>
      </c>
      <c r="F1745" s="10" t="str">
        <f>"2170637817 "</f>
        <v xml:space="preserve">2170637817 </v>
      </c>
      <c r="G1745" s="10" t="str">
        <f t="shared" si="49"/>
        <v>ON1</v>
      </c>
      <c r="H1745" s="10" t="s">
        <v>21</v>
      </c>
      <c r="I1745" s="10" t="s">
        <v>46</v>
      </c>
      <c r="J1745" s="10" t="str">
        <f>""</f>
        <v/>
      </c>
      <c r="K1745" s="10" t="str">
        <f>"PFES1162630906_0001"</f>
        <v>PFES1162630906_0001</v>
      </c>
      <c r="L1745" s="10">
        <v>1</v>
      </c>
      <c r="M1745" s="10">
        <v>3</v>
      </c>
    </row>
    <row r="1746" spans="1:13">
      <c r="A1746" s="8">
        <v>43272</v>
      </c>
      <c r="B1746" s="9">
        <v>0.56458333333333333</v>
      </c>
      <c r="C1746" s="10" t="str">
        <f>"FES1162630956"</f>
        <v>FES1162630956</v>
      </c>
      <c r="D1746" s="10" t="s">
        <v>19</v>
      </c>
      <c r="E1746" s="10" t="s">
        <v>388</v>
      </c>
      <c r="F1746" s="10" t="str">
        <f>"2170636309 "</f>
        <v xml:space="preserve">2170636309 </v>
      </c>
      <c r="G1746" s="10" t="str">
        <f t="shared" si="49"/>
        <v>ON1</v>
      </c>
      <c r="H1746" s="10" t="s">
        <v>21</v>
      </c>
      <c r="I1746" s="10" t="s">
        <v>389</v>
      </c>
      <c r="J1746" s="10" t="str">
        <f>""</f>
        <v/>
      </c>
      <c r="K1746" s="10" t="str">
        <f>"PFES1162630956_0001"</f>
        <v>PFES1162630956_0001</v>
      </c>
      <c r="L1746" s="10">
        <v>1</v>
      </c>
      <c r="M1746" s="10">
        <v>3</v>
      </c>
    </row>
    <row r="1747" spans="1:13">
      <c r="A1747" s="8">
        <v>43272</v>
      </c>
      <c r="B1747" s="9">
        <v>0.56388888888888888</v>
      </c>
      <c r="C1747" s="10" t="str">
        <f>"FES1162630868"</f>
        <v>FES1162630868</v>
      </c>
      <c r="D1747" s="10" t="s">
        <v>19</v>
      </c>
      <c r="E1747" s="10" t="s">
        <v>130</v>
      </c>
      <c r="F1747" s="10" t="str">
        <f>"2170637806 "</f>
        <v xml:space="preserve">2170637806 </v>
      </c>
      <c r="G1747" s="10" t="str">
        <f t="shared" si="49"/>
        <v>ON1</v>
      </c>
      <c r="H1747" s="10" t="s">
        <v>21</v>
      </c>
      <c r="I1747" s="10" t="s">
        <v>303</v>
      </c>
      <c r="J1747" s="10" t="str">
        <f>""</f>
        <v/>
      </c>
      <c r="K1747" s="10" t="str">
        <f>"PFES1162630868_0001"</f>
        <v>PFES1162630868_0001</v>
      </c>
      <c r="L1747" s="10">
        <v>1</v>
      </c>
      <c r="M1747" s="10">
        <v>2</v>
      </c>
    </row>
    <row r="1748" spans="1:13">
      <c r="A1748" s="8">
        <v>43272</v>
      </c>
      <c r="B1748" s="9">
        <v>0.56180555555555556</v>
      </c>
      <c r="C1748" s="10" t="str">
        <f>"FES1162630898"</f>
        <v>FES1162630898</v>
      </c>
      <c r="D1748" s="10" t="s">
        <v>19</v>
      </c>
      <c r="E1748" s="10" t="s">
        <v>388</v>
      </c>
      <c r="F1748" s="10" t="str">
        <f>"2170636309 "</f>
        <v xml:space="preserve">2170636309 </v>
      </c>
      <c r="G1748" s="10" t="str">
        <f t="shared" si="49"/>
        <v>ON1</v>
      </c>
      <c r="H1748" s="10" t="s">
        <v>21</v>
      </c>
      <c r="I1748" s="10" t="s">
        <v>389</v>
      </c>
      <c r="J1748" s="10" t="str">
        <f>""</f>
        <v/>
      </c>
      <c r="K1748" s="10" t="str">
        <f>"PFES1162630898_0001"</f>
        <v>PFES1162630898_0001</v>
      </c>
      <c r="L1748" s="10">
        <v>1</v>
      </c>
      <c r="M1748" s="10">
        <v>12</v>
      </c>
    </row>
    <row r="1749" spans="1:13">
      <c r="A1749" s="8">
        <v>43272</v>
      </c>
      <c r="B1749" s="9">
        <v>0.56041666666666667</v>
      </c>
      <c r="C1749" s="10" t="str">
        <f>"FES1162630827"</f>
        <v>FES1162630827</v>
      </c>
      <c r="D1749" s="10" t="s">
        <v>19</v>
      </c>
      <c r="E1749" s="10" t="s">
        <v>29</v>
      </c>
      <c r="F1749" s="10" t="str">
        <f>"2170637204 "</f>
        <v xml:space="preserve">2170637204 </v>
      </c>
      <c r="G1749" s="10" t="str">
        <f t="shared" si="49"/>
        <v>ON1</v>
      </c>
      <c r="H1749" s="10" t="s">
        <v>21</v>
      </c>
      <c r="I1749" s="10" t="s">
        <v>30</v>
      </c>
      <c r="J1749" s="10" t="str">
        <f>""</f>
        <v/>
      </c>
      <c r="K1749" s="10" t="str">
        <f>"PFES1162630827_0001"</f>
        <v>PFES1162630827_0001</v>
      </c>
      <c r="L1749" s="10">
        <v>1</v>
      </c>
      <c r="M1749" s="10">
        <v>7</v>
      </c>
    </row>
    <row r="1750" spans="1:13">
      <c r="A1750" s="8">
        <v>43272</v>
      </c>
      <c r="B1750" s="9">
        <v>0.55972222222222223</v>
      </c>
      <c r="C1750" s="10" t="str">
        <f>"FES1162630814"</f>
        <v>FES1162630814</v>
      </c>
      <c r="D1750" s="10" t="s">
        <v>19</v>
      </c>
      <c r="E1750" s="10" t="s">
        <v>893</v>
      </c>
      <c r="F1750" s="10" t="str">
        <f>"2170637520 "</f>
        <v xml:space="preserve">2170637520 </v>
      </c>
      <c r="G1750" s="10" t="str">
        <f t="shared" si="49"/>
        <v>ON1</v>
      </c>
      <c r="H1750" s="10" t="s">
        <v>21</v>
      </c>
      <c r="I1750" s="10" t="s">
        <v>160</v>
      </c>
      <c r="J1750" s="10" t="str">
        <f>""</f>
        <v/>
      </c>
      <c r="K1750" s="10" t="str">
        <f>"PFES1162630814_0001"</f>
        <v>PFES1162630814_0001</v>
      </c>
      <c r="L1750" s="10">
        <v>1</v>
      </c>
      <c r="M1750" s="10">
        <v>9</v>
      </c>
    </row>
    <row r="1751" spans="1:13">
      <c r="A1751" s="8">
        <v>43272</v>
      </c>
      <c r="B1751" s="9">
        <v>0.55763888888888891</v>
      </c>
      <c r="C1751" s="10" t="str">
        <f>"FES1162630774"</f>
        <v>FES1162630774</v>
      </c>
      <c r="D1751" s="10" t="s">
        <v>19</v>
      </c>
      <c r="E1751" s="10" t="s">
        <v>263</v>
      </c>
      <c r="F1751" s="10" t="str">
        <f>"2170637482 "</f>
        <v xml:space="preserve">2170637482 </v>
      </c>
      <c r="G1751" s="10" t="str">
        <f>"DBC"</f>
        <v>DBC</v>
      </c>
      <c r="H1751" s="10" t="s">
        <v>21</v>
      </c>
      <c r="I1751" s="10" t="s">
        <v>230</v>
      </c>
      <c r="J1751" s="10" t="str">
        <f>""</f>
        <v/>
      </c>
      <c r="K1751" s="10" t="str">
        <f>"PFES1162630774_0001"</f>
        <v>PFES1162630774_0001</v>
      </c>
      <c r="L1751" s="10">
        <v>3</v>
      </c>
      <c r="M1751" s="10">
        <v>20</v>
      </c>
    </row>
    <row r="1752" spans="1:13">
      <c r="A1752" s="8">
        <v>43272</v>
      </c>
      <c r="B1752" s="9">
        <v>0.54791666666666672</v>
      </c>
      <c r="C1752" s="10" t="str">
        <f>"FES1162630912"</f>
        <v>FES1162630912</v>
      </c>
      <c r="D1752" s="10" t="s">
        <v>19</v>
      </c>
      <c r="E1752" s="10" t="s">
        <v>119</v>
      </c>
      <c r="F1752" s="10" t="str">
        <f>"2170635843 "</f>
        <v xml:space="preserve">2170635843 </v>
      </c>
      <c r="G1752" s="10" t="str">
        <f>"ON1"</f>
        <v>ON1</v>
      </c>
      <c r="H1752" s="10" t="s">
        <v>21</v>
      </c>
      <c r="I1752" s="10" t="s">
        <v>83</v>
      </c>
      <c r="J1752" s="10" t="str">
        <f>""</f>
        <v/>
      </c>
      <c r="K1752" s="10" t="str">
        <f>"PFES1162630912_0001"</f>
        <v>PFES1162630912_0001</v>
      </c>
      <c r="L1752" s="10">
        <v>1</v>
      </c>
      <c r="M1752" s="10">
        <v>1</v>
      </c>
    </row>
    <row r="1753" spans="1:13">
      <c r="A1753" s="8">
        <v>43272</v>
      </c>
      <c r="B1753" s="9">
        <v>0.54791666666666672</v>
      </c>
      <c r="C1753" s="10" t="str">
        <f>"FES1162630929"</f>
        <v>FES1162630929</v>
      </c>
      <c r="D1753" s="10" t="s">
        <v>19</v>
      </c>
      <c r="E1753" s="10" t="s">
        <v>352</v>
      </c>
      <c r="F1753" s="10" t="str">
        <f>"2170637833 "</f>
        <v xml:space="preserve">2170637833 </v>
      </c>
      <c r="G1753" s="10" t="str">
        <f>"ON1"</f>
        <v>ON1</v>
      </c>
      <c r="H1753" s="10" t="s">
        <v>21</v>
      </c>
      <c r="I1753" s="10" t="s">
        <v>353</v>
      </c>
      <c r="J1753" s="10" t="str">
        <f>""</f>
        <v/>
      </c>
      <c r="K1753" s="10" t="str">
        <f>"PFES1162630929_0001"</f>
        <v>PFES1162630929_0001</v>
      </c>
      <c r="L1753" s="10">
        <v>1</v>
      </c>
      <c r="M1753" s="10">
        <v>1</v>
      </c>
    </row>
    <row r="1754" spans="1:13">
      <c r="A1754" s="8">
        <v>43272</v>
      </c>
      <c r="B1754" s="9">
        <v>0.54791666666666672</v>
      </c>
      <c r="C1754" s="10" t="str">
        <f>"FES1162630948"</f>
        <v>FES1162630948</v>
      </c>
      <c r="D1754" s="10" t="s">
        <v>19</v>
      </c>
      <c r="E1754" s="10" t="s">
        <v>327</v>
      </c>
      <c r="F1754" s="10" t="str">
        <f>"2170635860 "</f>
        <v xml:space="preserve">2170635860 </v>
      </c>
      <c r="G1754" s="10" t="str">
        <f>"DBC"</f>
        <v>DBC</v>
      </c>
      <c r="H1754" s="10" t="s">
        <v>21</v>
      </c>
      <c r="I1754" s="10" t="s">
        <v>69</v>
      </c>
      <c r="J1754" s="10" t="str">
        <f>""</f>
        <v/>
      </c>
      <c r="K1754" s="10" t="str">
        <f>"PFES1162630948_0001"</f>
        <v>PFES1162630948_0001</v>
      </c>
      <c r="L1754" s="10">
        <v>1</v>
      </c>
      <c r="M1754" s="10">
        <v>1</v>
      </c>
    </row>
    <row r="1755" spans="1:13">
      <c r="A1755" s="8">
        <v>43272</v>
      </c>
      <c r="B1755" s="9">
        <v>0.54652777777777783</v>
      </c>
      <c r="C1755" s="10" t="str">
        <f>"FES1162630819"</f>
        <v>FES1162630819</v>
      </c>
      <c r="D1755" s="10" t="s">
        <v>19</v>
      </c>
      <c r="E1755" s="10" t="s">
        <v>254</v>
      </c>
      <c r="F1755" s="10" t="str">
        <f>"2170636424 "</f>
        <v xml:space="preserve">2170636424 </v>
      </c>
      <c r="G1755" s="10" t="str">
        <f t="shared" ref="G1755:G1786" si="50">"ON1"</f>
        <v>ON1</v>
      </c>
      <c r="H1755" s="10" t="s">
        <v>21</v>
      </c>
      <c r="I1755" s="10" t="s">
        <v>255</v>
      </c>
      <c r="J1755" s="10" t="str">
        <f>""</f>
        <v/>
      </c>
      <c r="K1755" s="10" t="str">
        <f>"PFES1162630819_0001"</f>
        <v>PFES1162630819_0001</v>
      </c>
      <c r="L1755" s="10">
        <v>1</v>
      </c>
      <c r="M1755" s="10">
        <v>1</v>
      </c>
    </row>
    <row r="1756" spans="1:13">
      <c r="A1756" s="8">
        <v>43272</v>
      </c>
      <c r="B1756" s="9">
        <v>0.54652777777777783</v>
      </c>
      <c r="C1756" s="10" t="str">
        <f>"FES1162630823"</f>
        <v>FES1162630823</v>
      </c>
      <c r="D1756" s="10" t="s">
        <v>19</v>
      </c>
      <c r="E1756" s="10" t="s">
        <v>111</v>
      </c>
      <c r="F1756" s="10" t="str">
        <f>"2170636752 "</f>
        <v xml:space="preserve">2170636752 </v>
      </c>
      <c r="G1756" s="10" t="str">
        <f t="shared" si="50"/>
        <v>ON1</v>
      </c>
      <c r="H1756" s="10" t="s">
        <v>21</v>
      </c>
      <c r="I1756" s="10" t="s">
        <v>112</v>
      </c>
      <c r="J1756" s="10" t="str">
        <f>""</f>
        <v/>
      </c>
      <c r="K1756" s="10" t="str">
        <f>"PFES1162630823_0001"</f>
        <v>PFES1162630823_0001</v>
      </c>
      <c r="L1756" s="10">
        <v>1</v>
      </c>
      <c r="M1756" s="10">
        <v>1</v>
      </c>
    </row>
    <row r="1757" spans="1:13">
      <c r="A1757" s="8">
        <v>43272</v>
      </c>
      <c r="B1757" s="9">
        <v>0.54583333333333328</v>
      </c>
      <c r="C1757" s="10" t="str">
        <f>"FES1162630957"</f>
        <v>FES1162630957</v>
      </c>
      <c r="D1757" s="10" t="s">
        <v>19</v>
      </c>
      <c r="E1757" s="10" t="s">
        <v>23</v>
      </c>
      <c r="F1757" s="10" t="str">
        <f>"21706378444 "</f>
        <v xml:space="preserve">21706378444 </v>
      </c>
      <c r="G1757" s="10" t="str">
        <f t="shared" si="50"/>
        <v>ON1</v>
      </c>
      <c r="H1757" s="10" t="s">
        <v>21</v>
      </c>
      <c r="I1757" s="10" t="s">
        <v>24</v>
      </c>
      <c r="J1757" s="10" t="str">
        <f>""</f>
        <v/>
      </c>
      <c r="K1757" s="10" t="str">
        <f>"PFES1162630957_0001"</f>
        <v>PFES1162630957_0001</v>
      </c>
      <c r="L1757" s="10">
        <v>1</v>
      </c>
      <c r="M1757" s="10">
        <v>1</v>
      </c>
    </row>
    <row r="1758" spans="1:13">
      <c r="A1758" s="8">
        <v>43272</v>
      </c>
      <c r="B1758" s="9">
        <v>0.54583333333333328</v>
      </c>
      <c r="C1758" s="10" t="str">
        <f>"FES1162630873"</f>
        <v>FES1162630873</v>
      </c>
      <c r="D1758" s="10" t="s">
        <v>19</v>
      </c>
      <c r="E1758" s="10" t="s">
        <v>505</v>
      </c>
      <c r="F1758" s="10" t="str">
        <f>"21706345656 "</f>
        <v xml:space="preserve">21706345656 </v>
      </c>
      <c r="G1758" s="10" t="str">
        <f t="shared" si="50"/>
        <v>ON1</v>
      </c>
      <c r="H1758" s="10" t="s">
        <v>21</v>
      </c>
      <c r="I1758" s="10" t="s">
        <v>480</v>
      </c>
      <c r="J1758" s="10" t="str">
        <f>""</f>
        <v/>
      </c>
      <c r="K1758" s="10" t="str">
        <f>"PFES1162630873_0001"</f>
        <v>PFES1162630873_0001</v>
      </c>
      <c r="L1758" s="10">
        <v>1</v>
      </c>
      <c r="M1758" s="10">
        <v>1</v>
      </c>
    </row>
    <row r="1759" spans="1:13">
      <c r="A1759" s="8">
        <v>43272</v>
      </c>
      <c r="B1759" s="9">
        <v>0.54513888888888895</v>
      </c>
      <c r="C1759" s="10" t="str">
        <f>"FES1162630904"</f>
        <v>FES1162630904</v>
      </c>
      <c r="D1759" s="10" t="s">
        <v>19</v>
      </c>
      <c r="E1759" s="10" t="s">
        <v>894</v>
      </c>
      <c r="F1759" s="10" t="str">
        <f>"2170637815 "</f>
        <v xml:space="preserve">2170637815 </v>
      </c>
      <c r="G1759" s="10" t="str">
        <f t="shared" si="50"/>
        <v>ON1</v>
      </c>
      <c r="H1759" s="10" t="s">
        <v>21</v>
      </c>
      <c r="I1759" s="10" t="s">
        <v>683</v>
      </c>
      <c r="J1759" s="10" t="str">
        <f>""</f>
        <v/>
      </c>
      <c r="K1759" s="10" t="str">
        <f>"PFES1162630904_0001"</f>
        <v>PFES1162630904_0001</v>
      </c>
      <c r="L1759" s="10">
        <v>1</v>
      </c>
      <c r="M1759" s="10">
        <v>1</v>
      </c>
    </row>
    <row r="1760" spans="1:13">
      <c r="A1760" s="8">
        <v>43272</v>
      </c>
      <c r="B1760" s="9">
        <v>0.54513888888888895</v>
      </c>
      <c r="C1760" s="10" t="str">
        <f>"FES1162630946"</f>
        <v>FES1162630946</v>
      </c>
      <c r="D1760" s="10" t="s">
        <v>19</v>
      </c>
      <c r="E1760" s="10" t="s">
        <v>649</v>
      </c>
      <c r="F1760" s="10" t="str">
        <f>"2170635802 "</f>
        <v xml:space="preserve">2170635802 </v>
      </c>
      <c r="G1760" s="10" t="str">
        <f t="shared" si="50"/>
        <v>ON1</v>
      </c>
      <c r="H1760" s="10" t="s">
        <v>21</v>
      </c>
      <c r="I1760" s="10" t="s">
        <v>26</v>
      </c>
      <c r="J1760" s="10" t="str">
        <f>""</f>
        <v/>
      </c>
      <c r="K1760" s="10" t="str">
        <f>"PFES1162630946_0001"</f>
        <v>PFES1162630946_0001</v>
      </c>
      <c r="L1760" s="10">
        <v>1</v>
      </c>
      <c r="M1760" s="10">
        <v>1</v>
      </c>
    </row>
    <row r="1761" spans="1:13">
      <c r="A1761" s="8">
        <v>43272</v>
      </c>
      <c r="B1761" s="9">
        <v>0.54513888888888895</v>
      </c>
      <c r="C1761" s="10" t="str">
        <f>"FES1162630834"</f>
        <v>FES1162630834</v>
      </c>
      <c r="D1761" s="10" t="s">
        <v>19</v>
      </c>
      <c r="E1761" s="10" t="s">
        <v>895</v>
      </c>
      <c r="F1761" s="10" t="str">
        <f>"2170637507 "</f>
        <v xml:space="preserve">2170637507 </v>
      </c>
      <c r="G1761" s="10" t="str">
        <f t="shared" si="50"/>
        <v>ON1</v>
      </c>
      <c r="H1761" s="10" t="s">
        <v>21</v>
      </c>
      <c r="I1761" s="10" t="s">
        <v>279</v>
      </c>
      <c r="J1761" s="10" t="str">
        <f>""</f>
        <v/>
      </c>
      <c r="K1761" s="10" t="str">
        <f>"PFES1162630834_0001"</f>
        <v>PFES1162630834_0001</v>
      </c>
      <c r="L1761" s="10">
        <v>1</v>
      </c>
      <c r="M1761" s="10">
        <v>1</v>
      </c>
    </row>
    <row r="1762" spans="1:13">
      <c r="A1762" s="8">
        <v>43272</v>
      </c>
      <c r="B1762" s="9">
        <v>0.5444444444444444</v>
      </c>
      <c r="C1762" s="10" t="str">
        <f>"FES1162630942"</f>
        <v>FES1162630942</v>
      </c>
      <c r="D1762" s="10" t="s">
        <v>19</v>
      </c>
      <c r="E1762" s="10" t="s">
        <v>649</v>
      </c>
      <c r="F1762" s="10" t="str">
        <f>"2170635739 "</f>
        <v xml:space="preserve">2170635739 </v>
      </c>
      <c r="G1762" s="10" t="str">
        <f t="shared" si="50"/>
        <v>ON1</v>
      </c>
      <c r="H1762" s="10" t="s">
        <v>21</v>
      </c>
      <c r="I1762" s="10" t="s">
        <v>26</v>
      </c>
      <c r="J1762" s="10" t="str">
        <f>""</f>
        <v/>
      </c>
      <c r="K1762" s="10" t="str">
        <f>"PFES1162630942_0001"</f>
        <v>PFES1162630942_0001</v>
      </c>
      <c r="L1762" s="10">
        <v>1</v>
      </c>
      <c r="M1762" s="10">
        <v>1</v>
      </c>
    </row>
    <row r="1763" spans="1:13">
      <c r="A1763" s="8">
        <v>43272</v>
      </c>
      <c r="B1763" s="9">
        <v>0.54375000000000007</v>
      </c>
      <c r="C1763" s="10" t="str">
        <f>"FES1162630817"</f>
        <v>FES1162630817</v>
      </c>
      <c r="D1763" s="10" t="s">
        <v>19</v>
      </c>
      <c r="E1763" s="10" t="s">
        <v>419</v>
      </c>
      <c r="F1763" s="10" t="str">
        <f>"2170635819 "</f>
        <v xml:space="preserve">2170635819 </v>
      </c>
      <c r="G1763" s="10" t="str">
        <f t="shared" si="50"/>
        <v>ON1</v>
      </c>
      <c r="H1763" s="10" t="s">
        <v>21</v>
      </c>
      <c r="I1763" s="10" t="s">
        <v>420</v>
      </c>
      <c r="J1763" s="10" t="str">
        <f>""</f>
        <v/>
      </c>
      <c r="K1763" s="10" t="str">
        <f>"PFES1162630817_0001"</f>
        <v>PFES1162630817_0001</v>
      </c>
      <c r="L1763" s="10">
        <v>1</v>
      </c>
      <c r="M1763" s="10">
        <v>1</v>
      </c>
    </row>
    <row r="1764" spans="1:13">
      <c r="A1764" s="8">
        <v>43272</v>
      </c>
      <c r="B1764" s="9">
        <v>0.54305555555555551</v>
      </c>
      <c r="C1764" s="10" t="str">
        <f>"FES1162630893"</f>
        <v>FES1162630893</v>
      </c>
      <c r="D1764" s="10" t="s">
        <v>19</v>
      </c>
      <c r="E1764" s="10" t="s">
        <v>95</v>
      </c>
      <c r="F1764" s="10" t="str">
        <f>"2170635957 "</f>
        <v xml:space="preserve">2170635957 </v>
      </c>
      <c r="G1764" s="10" t="str">
        <f t="shared" si="50"/>
        <v>ON1</v>
      </c>
      <c r="H1764" s="10" t="s">
        <v>21</v>
      </c>
      <c r="I1764" s="10" t="s">
        <v>96</v>
      </c>
      <c r="J1764" s="10" t="str">
        <f>""</f>
        <v/>
      </c>
      <c r="K1764" s="10" t="str">
        <f>"PFES1162630893_0001"</f>
        <v>PFES1162630893_0001</v>
      </c>
      <c r="L1764" s="10">
        <v>1</v>
      </c>
      <c r="M1764" s="10">
        <v>1</v>
      </c>
    </row>
    <row r="1765" spans="1:13">
      <c r="A1765" s="8">
        <v>43272</v>
      </c>
      <c r="B1765" s="9">
        <v>0.54305555555555551</v>
      </c>
      <c r="C1765" s="10" t="str">
        <f>"FES1162630952"</f>
        <v>FES1162630952</v>
      </c>
      <c r="D1765" s="10" t="s">
        <v>19</v>
      </c>
      <c r="E1765" s="10" t="s">
        <v>60</v>
      </c>
      <c r="F1765" s="10" t="str">
        <f>"2170635895 "</f>
        <v xml:space="preserve">2170635895 </v>
      </c>
      <c r="G1765" s="10" t="str">
        <f t="shared" si="50"/>
        <v>ON1</v>
      </c>
      <c r="H1765" s="10" t="s">
        <v>21</v>
      </c>
      <c r="I1765" s="10" t="s">
        <v>61</v>
      </c>
      <c r="J1765" s="10" t="str">
        <f>""</f>
        <v/>
      </c>
      <c r="K1765" s="10" t="str">
        <f>"PFES1162630952_0001"</f>
        <v>PFES1162630952_0001</v>
      </c>
      <c r="L1765" s="10">
        <v>1</v>
      </c>
      <c r="M1765" s="10">
        <v>1</v>
      </c>
    </row>
    <row r="1766" spans="1:13">
      <c r="A1766" s="8">
        <v>43272</v>
      </c>
      <c r="B1766" s="9">
        <v>0.54236111111111118</v>
      </c>
      <c r="C1766" s="10" t="str">
        <f>"FES1162630936"</f>
        <v>FES1162630936</v>
      </c>
      <c r="D1766" s="10" t="s">
        <v>19</v>
      </c>
      <c r="E1766" s="10" t="s">
        <v>107</v>
      </c>
      <c r="F1766" s="10" t="str">
        <f>"2170637842 "</f>
        <v xml:space="preserve">2170637842 </v>
      </c>
      <c r="G1766" s="10" t="str">
        <f t="shared" si="50"/>
        <v>ON1</v>
      </c>
      <c r="H1766" s="10" t="s">
        <v>21</v>
      </c>
      <c r="I1766" s="10" t="s">
        <v>108</v>
      </c>
      <c r="J1766" s="10" t="str">
        <f>""</f>
        <v/>
      </c>
      <c r="K1766" s="10" t="str">
        <f>"PFES1162630936_0001"</f>
        <v>PFES1162630936_0001</v>
      </c>
      <c r="L1766" s="10">
        <v>1</v>
      </c>
      <c r="M1766" s="10">
        <v>1</v>
      </c>
    </row>
    <row r="1767" spans="1:13">
      <c r="A1767" s="8">
        <v>43272</v>
      </c>
      <c r="B1767" s="9">
        <v>0.54236111111111118</v>
      </c>
      <c r="C1767" s="10" t="str">
        <f>"FES1162630836"</f>
        <v>FES1162630836</v>
      </c>
      <c r="D1767" s="10" t="s">
        <v>19</v>
      </c>
      <c r="E1767" s="10" t="s">
        <v>537</v>
      </c>
      <c r="F1767" s="10" t="str">
        <f>"217063777712 "</f>
        <v xml:space="preserve">217063777712 </v>
      </c>
      <c r="G1767" s="10" t="str">
        <f t="shared" si="50"/>
        <v>ON1</v>
      </c>
      <c r="H1767" s="10" t="s">
        <v>21</v>
      </c>
      <c r="I1767" s="10" t="s">
        <v>303</v>
      </c>
      <c r="J1767" s="10" t="str">
        <f>""</f>
        <v/>
      </c>
      <c r="K1767" s="10" t="str">
        <f>"PFES1162630836_0001"</f>
        <v>PFES1162630836_0001</v>
      </c>
      <c r="L1767" s="10">
        <v>1</v>
      </c>
      <c r="M1767" s="10">
        <v>1</v>
      </c>
    </row>
    <row r="1768" spans="1:13">
      <c r="A1768" s="8">
        <v>43272</v>
      </c>
      <c r="B1768" s="9">
        <v>0.54236111111111118</v>
      </c>
      <c r="C1768" s="10" t="str">
        <f>"FES1162630840"</f>
        <v>FES1162630840</v>
      </c>
      <c r="D1768" s="10" t="s">
        <v>19</v>
      </c>
      <c r="E1768" s="10" t="s">
        <v>302</v>
      </c>
      <c r="F1768" s="10" t="str">
        <f>"2170637771 "</f>
        <v xml:space="preserve">2170637771 </v>
      </c>
      <c r="G1768" s="10" t="str">
        <f t="shared" si="50"/>
        <v>ON1</v>
      </c>
      <c r="H1768" s="10" t="s">
        <v>21</v>
      </c>
      <c r="I1768" s="10" t="s">
        <v>303</v>
      </c>
      <c r="J1768" s="10" t="str">
        <f>""</f>
        <v/>
      </c>
      <c r="K1768" s="10" t="str">
        <f>"PFES1162630840_0001"</f>
        <v>PFES1162630840_0001</v>
      </c>
      <c r="L1768" s="10">
        <v>1</v>
      </c>
      <c r="M1768" s="10">
        <v>1</v>
      </c>
    </row>
    <row r="1769" spans="1:13">
      <c r="A1769" s="8">
        <v>43272</v>
      </c>
      <c r="B1769" s="9">
        <v>0.54166666666666663</v>
      </c>
      <c r="C1769" s="10" t="str">
        <f>"FES1162630826"</f>
        <v>FES1162630826</v>
      </c>
      <c r="D1769" s="10" t="s">
        <v>19</v>
      </c>
      <c r="E1769" s="10" t="s">
        <v>791</v>
      </c>
      <c r="F1769" s="10" t="str">
        <f>"2170637194 "</f>
        <v xml:space="preserve">2170637194 </v>
      </c>
      <c r="G1769" s="10" t="str">
        <f t="shared" si="50"/>
        <v>ON1</v>
      </c>
      <c r="H1769" s="10" t="s">
        <v>21</v>
      </c>
      <c r="I1769" s="10" t="s">
        <v>61</v>
      </c>
      <c r="J1769" s="10" t="str">
        <f>""</f>
        <v/>
      </c>
      <c r="K1769" s="10" t="str">
        <f>"PFES1162630826_0001"</f>
        <v>PFES1162630826_0001</v>
      </c>
      <c r="L1769" s="10">
        <v>1</v>
      </c>
      <c r="M1769" s="10">
        <v>1</v>
      </c>
    </row>
    <row r="1770" spans="1:13">
      <c r="A1770" s="8">
        <v>43272</v>
      </c>
      <c r="B1770" s="9">
        <v>0.54166666666666663</v>
      </c>
      <c r="C1770" s="10" t="str">
        <f>"FES1162630838"</f>
        <v>FES1162630838</v>
      </c>
      <c r="D1770" s="10" t="s">
        <v>19</v>
      </c>
      <c r="E1770" s="10" t="s">
        <v>302</v>
      </c>
      <c r="F1770" s="10" t="str">
        <f>"2170637729 "</f>
        <v xml:space="preserve">2170637729 </v>
      </c>
      <c r="G1770" s="10" t="str">
        <f t="shared" si="50"/>
        <v>ON1</v>
      </c>
      <c r="H1770" s="10" t="s">
        <v>21</v>
      </c>
      <c r="I1770" s="10" t="s">
        <v>303</v>
      </c>
      <c r="J1770" s="10" t="str">
        <f>""</f>
        <v/>
      </c>
      <c r="K1770" s="10" t="str">
        <f>"PFES1162630838_0001"</f>
        <v>PFES1162630838_0001</v>
      </c>
      <c r="L1770" s="10">
        <v>1</v>
      </c>
      <c r="M1770" s="10">
        <v>1</v>
      </c>
    </row>
    <row r="1771" spans="1:13">
      <c r="A1771" s="8">
        <v>43272</v>
      </c>
      <c r="B1771" s="9">
        <v>0.54097222222222219</v>
      </c>
      <c r="C1771" s="10" t="str">
        <f>"FES1162630863"</f>
        <v>FES1162630863</v>
      </c>
      <c r="D1771" s="10" t="s">
        <v>19</v>
      </c>
      <c r="E1771" s="10" t="s">
        <v>362</v>
      </c>
      <c r="F1771" s="10" t="str">
        <f>"2170637807 "</f>
        <v xml:space="preserve">2170637807 </v>
      </c>
      <c r="G1771" s="10" t="str">
        <f t="shared" si="50"/>
        <v>ON1</v>
      </c>
      <c r="H1771" s="10" t="s">
        <v>21</v>
      </c>
      <c r="I1771" s="10" t="s">
        <v>363</v>
      </c>
      <c r="J1771" s="10" t="str">
        <f>""</f>
        <v/>
      </c>
      <c r="K1771" s="10" t="str">
        <f>"PFES1162630863_0001"</f>
        <v>PFES1162630863_0001</v>
      </c>
      <c r="L1771" s="10">
        <v>1</v>
      </c>
      <c r="M1771" s="10">
        <v>1</v>
      </c>
    </row>
    <row r="1772" spans="1:13">
      <c r="A1772" s="8">
        <v>43272</v>
      </c>
      <c r="B1772" s="9">
        <v>0.54097222222222219</v>
      </c>
      <c r="C1772" s="10" t="str">
        <f>"FES1162630844"</f>
        <v>FES1162630844</v>
      </c>
      <c r="D1772" s="10" t="s">
        <v>19</v>
      </c>
      <c r="E1772" s="10" t="s">
        <v>302</v>
      </c>
      <c r="F1772" s="10" t="str">
        <f>"2170637779 "</f>
        <v xml:space="preserve">2170637779 </v>
      </c>
      <c r="G1772" s="10" t="str">
        <f t="shared" si="50"/>
        <v>ON1</v>
      </c>
      <c r="H1772" s="10" t="s">
        <v>21</v>
      </c>
      <c r="I1772" s="10" t="s">
        <v>303</v>
      </c>
      <c r="J1772" s="10" t="str">
        <f>""</f>
        <v/>
      </c>
      <c r="K1772" s="10" t="str">
        <f>"PFES1162630844_0001"</f>
        <v>PFES1162630844_0001</v>
      </c>
      <c r="L1772" s="10">
        <v>1</v>
      </c>
      <c r="M1772" s="10">
        <v>1</v>
      </c>
    </row>
    <row r="1773" spans="1:13">
      <c r="A1773" s="8">
        <v>43272</v>
      </c>
      <c r="B1773" s="9">
        <v>0.54097222222222219</v>
      </c>
      <c r="C1773" s="10" t="str">
        <f>"FES1162630949"</f>
        <v>FES1162630949</v>
      </c>
      <c r="D1773" s="10" t="s">
        <v>19</v>
      </c>
      <c r="E1773" s="10" t="s">
        <v>60</v>
      </c>
      <c r="F1773" s="10" t="str">
        <f>"2170635872 "</f>
        <v xml:space="preserve">2170635872 </v>
      </c>
      <c r="G1773" s="10" t="str">
        <f t="shared" si="50"/>
        <v>ON1</v>
      </c>
      <c r="H1773" s="10" t="s">
        <v>21</v>
      </c>
      <c r="I1773" s="10" t="s">
        <v>61</v>
      </c>
      <c r="J1773" s="10" t="str">
        <f>""</f>
        <v/>
      </c>
      <c r="K1773" s="10" t="str">
        <f>"PFES1162630949_0001"</f>
        <v>PFES1162630949_0001</v>
      </c>
      <c r="L1773" s="10">
        <v>1</v>
      </c>
      <c r="M1773" s="10">
        <v>1</v>
      </c>
    </row>
    <row r="1774" spans="1:13">
      <c r="A1774" s="8">
        <v>43272</v>
      </c>
      <c r="B1774" s="9">
        <v>0.54027777777777775</v>
      </c>
      <c r="C1774" s="10" t="str">
        <f>"FES1162630867"</f>
        <v>FES1162630867</v>
      </c>
      <c r="D1774" s="10" t="s">
        <v>19</v>
      </c>
      <c r="E1774" s="10" t="s">
        <v>94</v>
      </c>
      <c r="F1774" s="10" t="str">
        <f>"21706373808 "</f>
        <v xml:space="preserve">21706373808 </v>
      </c>
      <c r="G1774" s="10" t="str">
        <f t="shared" si="50"/>
        <v>ON1</v>
      </c>
      <c r="H1774" s="10" t="s">
        <v>21</v>
      </c>
      <c r="I1774" s="10" t="s">
        <v>55</v>
      </c>
      <c r="J1774" s="10" t="str">
        <f>""</f>
        <v/>
      </c>
      <c r="K1774" s="10" t="str">
        <f>"PFES1162630867_0001"</f>
        <v>PFES1162630867_0001</v>
      </c>
      <c r="L1774" s="10">
        <v>1</v>
      </c>
      <c r="M1774" s="10">
        <v>1</v>
      </c>
    </row>
    <row r="1775" spans="1:13">
      <c r="A1775" s="8">
        <v>43272</v>
      </c>
      <c r="B1775" s="9">
        <v>0.54027777777777775</v>
      </c>
      <c r="C1775" s="10" t="str">
        <f>"FES1162630889"</f>
        <v>FES1162630889</v>
      </c>
      <c r="D1775" s="10" t="s">
        <v>19</v>
      </c>
      <c r="E1775" s="10" t="s">
        <v>242</v>
      </c>
      <c r="F1775" s="10" t="str">
        <f>"2170635695 "</f>
        <v xml:space="preserve">2170635695 </v>
      </c>
      <c r="G1775" s="10" t="str">
        <f t="shared" si="50"/>
        <v>ON1</v>
      </c>
      <c r="H1775" s="10" t="s">
        <v>21</v>
      </c>
      <c r="I1775" s="10" t="s">
        <v>55</v>
      </c>
      <c r="J1775" s="10" t="str">
        <f>""</f>
        <v/>
      </c>
      <c r="K1775" s="10" t="str">
        <f>"PFES1162630889_0001"</f>
        <v>PFES1162630889_0001</v>
      </c>
      <c r="L1775" s="10">
        <v>1</v>
      </c>
      <c r="M1775" s="10">
        <v>1</v>
      </c>
    </row>
    <row r="1776" spans="1:13">
      <c r="A1776" s="8">
        <v>43272</v>
      </c>
      <c r="B1776" s="9">
        <v>0.5395833333333333</v>
      </c>
      <c r="C1776" s="10" t="str">
        <f>"FES1162630964"</f>
        <v>FES1162630964</v>
      </c>
      <c r="D1776" s="10" t="s">
        <v>19</v>
      </c>
      <c r="E1776" s="10" t="s">
        <v>60</v>
      </c>
      <c r="F1776" s="10" t="str">
        <f>"2170635895 "</f>
        <v xml:space="preserve">2170635895 </v>
      </c>
      <c r="G1776" s="10" t="str">
        <f t="shared" si="50"/>
        <v>ON1</v>
      </c>
      <c r="H1776" s="10" t="s">
        <v>21</v>
      </c>
      <c r="I1776" s="10" t="s">
        <v>61</v>
      </c>
      <c r="J1776" s="10" t="str">
        <f>""</f>
        <v/>
      </c>
      <c r="K1776" s="10" t="str">
        <f>"PFES1162630964_0001"</f>
        <v>PFES1162630964_0001</v>
      </c>
      <c r="L1776" s="10">
        <v>1</v>
      </c>
      <c r="M1776" s="10">
        <v>1</v>
      </c>
    </row>
    <row r="1777" spans="1:13">
      <c r="A1777" s="8">
        <v>43272</v>
      </c>
      <c r="B1777" s="9">
        <v>0.5395833333333333</v>
      </c>
      <c r="C1777" s="10" t="str">
        <f>"FES1162630862"</f>
        <v>FES1162630862</v>
      </c>
      <c r="D1777" s="10" t="s">
        <v>19</v>
      </c>
      <c r="E1777" s="10" t="s">
        <v>56</v>
      </c>
      <c r="F1777" s="10" t="str">
        <f>"2170637805 "</f>
        <v xml:space="preserve">2170637805 </v>
      </c>
      <c r="G1777" s="10" t="str">
        <f t="shared" si="50"/>
        <v>ON1</v>
      </c>
      <c r="H1777" s="10" t="s">
        <v>21</v>
      </c>
      <c r="I1777" s="10" t="s">
        <v>57</v>
      </c>
      <c r="J1777" s="10" t="str">
        <f>""</f>
        <v/>
      </c>
      <c r="K1777" s="10" t="str">
        <f>"PFES1162630862_0001"</f>
        <v>PFES1162630862_0001</v>
      </c>
      <c r="L1777" s="10">
        <v>1</v>
      </c>
      <c r="M1777" s="10">
        <v>1</v>
      </c>
    </row>
    <row r="1778" spans="1:13">
      <c r="A1778" s="8">
        <v>43272</v>
      </c>
      <c r="B1778" s="9">
        <v>0.5395833333333333</v>
      </c>
      <c r="C1778" s="10" t="str">
        <f>"FES1162630900"</f>
        <v>FES1162630900</v>
      </c>
      <c r="D1778" s="10" t="s">
        <v>19</v>
      </c>
      <c r="E1778" s="10" t="s">
        <v>896</v>
      </c>
      <c r="F1778" s="10" t="str">
        <f>"217063458 "</f>
        <v xml:space="preserve">217063458 </v>
      </c>
      <c r="G1778" s="10" t="str">
        <f t="shared" si="50"/>
        <v>ON1</v>
      </c>
      <c r="H1778" s="10" t="s">
        <v>21</v>
      </c>
      <c r="I1778" s="10" t="s">
        <v>104</v>
      </c>
      <c r="J1778" s="10" t="str">
        <f>""</f>
        <v/>
      </c>
      <c r="K1778" s="10" t="str">
        <f>"PFES1162630900_0001"</f>
        <v>PFES1162630900_0001</v>
      </c>
      <c r="L1778" s="10">
        <v>1</v>
      </c>
      <c r="M1778" s="10">
        <v>1</v>
      </c>
    </row>
    <row r="1779" spans="1:13">
      <c r="A1779" s="8">
        <v>43272</v>
      </c>
      <c r="B1779" s="9">
        <v>0.53888888888888886</v>
      </c>
      <c r="C1779" s="10" t="str">
        <f>"FES1162630896"</f>
        <v>FES1162630896</v>
      </c>
      <c r="D1779" s="10" t="s">
        <v>19</v>
      </c>
      <c r="E1779" s="10" t="s">
        <v>95</v>
      </c>
      <c r="F1779" s="10" t="str">
        <f>"2170636108 "</f>
        <v xml:space="preserve">2170636108 </v>
      </c>
      <c r="G1779" s="10" t="str">
        <f t="shared" si="50"/>
        <v>ON1</v>
      </c>
      <c r="H1779" s="10" t="s">
        <v>21</v>
      </c>
      <c r="I1779" s="10" t="s">
        <v>96</v>
      </c>
      <c r="J1779" s="10" t="str">
        <f>""</f>
        <v/>
      </c>
      <c r="K1779" s="10" t="str">
        <f>"PFES1162630896_0001"</f>
        <v>PFES1162630896_0001</v>
      </c>
      <c r="L1779" s="10">
        <v>1</v>
      </c>
      <c r="M1779" s="10">
        <v>1</v>
      </c>
    </row>
    <row r="1780" spans="1:13">
      <c r="A1780" s="8">
        <v>43272</v>
      </c>
      <c r="B1780" s="9">
        <v>0.53888888888888886</v>
      </c>
      <c r="C1780" s="10" t="str">
        <f>"FES1162630966"</f>
        <v>FES1162630966</v>
      </c>
      <c r="D1780" s="10" t="s">
        <v>19</v>
      </c>
      <c r="E1780" s="10" t="s">
        <v>56</v>
      </c>
      <c r="F1780" s="10" t="str">
        <f>"2170635996 "</f>
        <v xml:space="preserve">2170635996 </v>
      </c>
      <c r="G1780" s="10" t="str">
        <f t="shared" si="50"/>
        <v>ON1</v>
      </c>
      <c r="H1780" s="10" t="s">
        <v>21</v>
      </c>
      <c r="I1780" s="10" t="s">
        <v>57</v>
      </c>
      <c r="J1780" s="10" t="str">
        <f>""</f>
        <v/>
      </c>
      <c r="K1780" s="10" t="str">
        <f>"PFES1162630966_0001"</f>
        <v>PFES1162630966_0001</v>
      </c>
      <c r="L1780" s="10">
        <v>1</v>
      </c>
      <c r="M1780" s="10">
        <v>1</v>
      </c>
    </row>
    <row r="1781" spans="1:13">
      <c r="A1781" s="8">
        <v>43272</v>
      </c>
      <c r="B1781" s="9">
        <v>0.53819444444444442</v>
      </c>
      <c r="C1781" s="10" t="str">
        <f>"FES1162630959"</f>
        <v>FES1162630959</v>
      </c>
      <c r="D1781" s="10" t="s">
        <v>19</v>
      </c>
      <c r="E1781" s="10" t="s">
        <v>95</v>
      </c>
      <c r="F1781" s="10" t="str">
        <f>"2170637847 "</f>
        <v xml:space="preserve">2170637847 </v>
      </c>
      <c r="G1781" s="10" t="str">
        <f t="shared" si="50"/>
        <v>ON1</v>
      </c>
      <c r="H1781" s="10" t="s">
        <v>21</v>
      </c>
      <c r="I1781" s="10" t="s">
        <v>96</v>
      </c>
      <c r="J1781" s="10" t="str">
        <f>""</f>
        <v/>
      </c>
      <c r="K1781" s="10" t="str">
        <f>"PFES1162630959_0001"</f>
        <v>PFES1162630959_0001</v>
      </c>
      <c r="L1781" s="10">
        <v>1</v>
      </c>
      <c r="M1781" s="10">
        <v>1</v>
      </c>
    </row>
    <row r="1782" spans="1:13">
      <c r="A1782" s="8">
        <v>43272</v>
      </c>
      <c r="B1782" s="9">
        <v>0.53819444444444442</v>
      </c>
      <c r="C1782" s="10" t="str">
        <f>"FES1162630947"</f>
        <v>FES1162630947</v>
      </c>
      <c r="D1782" s="10" t="s">
        <v>19</v>
      </c>
      <c r="E1782" s="10" t="s">
        <v>150</v>
      </c>
      <c r="F1782" s="10" t="str">
        <f>"2170635836 "</f>
        <v xml:space="preserve">2170635836 </v>
      </c>
      <c r="G1782" s="10" t="str">
        <f t="shared" si="50"/>
        <v>ON1</v>
      </c>
      <c r="H1782" s="10" t="s">
        <v>21</v>
      </c>
      <c r="I1782" s="10" t="s">
        <v>151</v>
      </c>
      <c r="J1782" s="10" t="str">
        <f>""</f>
        <v/>
      </c>
      <c r="K1782" s="10" t="str">
        <f>"PFES1162630947_0001"</f>
        <v>PFES1162630947_0001</v>
      </c>
      <c r="L1782" s="10">
        <v>1</v>
      </c>
      <c r="M1782" s="10">
        <v>1</v>
      </c>
    </row>
    <row r="1783" spans="1:13">
      <c r="A1783" s="8">
        <v>43272</v>
      </c>
      <c r="B1783" s="9">
        <v>0.53819444444444442</v>
      </c>
      <c r="C1783" s="10" t="str">
        <f>"FES1162630870"</f>
        <v>FES1162630870</v>
      </c>
      <c r="D1783" s="10" t="s">
        <v>19</v>
      </c>
      <c r="E1783" s="10" t="s">
        <v>270</v>
      </c>
      <c r="F1783" s="10" t="str">
        <f>"2170628961 "</f>
        <v xml:space="preserve">2170628961 </v>
      </c>
      <c r="G1783" s="10" t="str">
        <f t="shared" si="50"/>
        <v>ON1</v>
      </c>
      <c r="H1783" s="10" t="s">
        <v>21</v>
      </c>
      <c r="I1783" s="10" t="s">
        <v>238</v>
      </c>
      <c r="J1783" s="10" t="str">
        <f>""</f>
        <v/>
      </c>
      <c r="K1783" s="10" t="str">
        <f>"PFES1162630870_0001"</f>
        <v>PFES1162630870_0001</v>
      </c>
      <c r="L1783" s="10">
        <v>1</v>
      </c>
      <c r="M1783" s="10">
        <v>1</v>
      </c>
    </row>
    <row r="1784" spans="1:13">
      <c r="A1784" s="8">
        <v>43272</v>
      </c>
      <c r="B1784" s="9">
        <v>0.53749999999999998</v>
      </c>
      <c r="C1784" s="10" t="str">
        <f>"FES1162630824"</f>
        <v>FES1162630824</v>
      </c>
      <c r="D1784" s="10" t="s">
        <v>19</v>
      </c>
      <c r="E1784" s="10" t="s">
        <v>117</v>
      </c>
      <c r="F1784" s="10" t="str">
        <f>"2170637038 "</f>
        <v xml:space="preserve">2170637038 </v>
      </c>
      <c r="G1784" s="10" t="str">
        <f t="shared" si="50"/>
        <v>ON1</v>
      </c>
      <c r="H1784" s="10" t="s">
        <v>21</v>
      </c>
      <c r="I1784" s="10" t="s">
        <v>118</v>
      </c>
      <c r="J1784" s="10" t="str">
        <f>""</f>
        <v/>
      </c>
      <c r="K1784" s="10" t="str">
        <f>"PFES1162630824_0001"</f>
        <v>PFES1162630824_0001</v>
      </c>
      <c r="L1784" s="10">
        <v>1</v>
      </c>
      <c r="M1784" s="10">
        <v>1</v>
      </c>
    </row>
    <row r="1785" spans="1:13">
      <c r="A1785" s="8">
        <v>43272</v>
      </c>
      <c r="B1785" s="9">
        <v>0.53749999999999998</v>
      </c>
      <c r="C1785" s="10" t="str">
        <f>"FES1162630890"</f>
        <v>FES1162630890</v>
      </c>
      <c r="D1785" s="10" t="s">
        <v>19</v>
      </c>
      <c r="E1785" s="10" t="s">
        <v>897</v>
      </c>
      <c r="F1785" s="10" t="str">
        <f>"2170635738 "</f>
        <v xml:space="preserve">2170635738 </v>
      </c>
      <c r="G1785" s="10" t="str">
        <f t="shared" si="50"/>
        <v>ON1</v>
      </c>
      <c r="H1785" s="10" t="s">
        <v>21</v>
      </c>
      <c r="I1785" s="10" t="s">
        <v>898</v>
      </c>
      <c r="J1785" s="10" t="str">
        <f>""</f>
        <v/>
      </c>
      <c r="K1785" s="10" t="str">
        <f>"PFES1162630890_0001"</f>
        <v>PFES1162630890_0001</v>
      </c>
      <c r="L1785" s="10">
        <v>1</v>
      </c>
      <c r="M1785" s="10">
        <v>1</v>
      </c>
    </row>
    <row r="1786" spans="1:13">
      <c r="A1786" s="8">
        <v>43272</v>
      </c>
      <c r="B1786" s="9">
        <v>0.53680555555555554</v>
      </c>
      <c r="C1786" s="10" t="str">
        <f>"FES1162630894"</f>
        <v>FES1162630894</v>
      </c>
      <c r="D1786" s="10" t="s">
        <v>19</v>
      </c>
      <c r="E1786" s="10" t="s">
        <v>421</v>
      </c>
      <c r="F1786" s="10" t="str">
        <f>"2170635896 "</f>
        <v xml:space="preserve">2170635896 </v>
      </c>
      <c r="G1786" s="10" t="str">
        <f t="shared" si="50"/>
        <v>ON1</v>
      </c>
      <c r="H1786" s="10" t="s">
        <v>21</v>
      </c>
      <c r="I1786" s="10" t="s">
        <v>422</v>
      </c>
      <c r="J1786" s="10" t="str">
        <f>""</f>
        <v/>
      </c>
      <c r="K1786" s="10" t="str">
        <f>"PFES1162630894_0001"</f>
        <v>PFES1162630894_0001</v>
      </c>
      <c r="L1786" s="10">
        <v>1</v>
      </c>
      <c r="M1786" s="10">
        <v>1</v>
      </c>
    </row>
    <row r="1787" spans="1:13">
      <c r="A1787" s="8">
        <v>43273</v>
      </c>
      <c r="B1787" s="9">
        <v>0.62013888888888891</v>
      </c>
      <c r="C1787" s="10" t="str">
        <f>"FES1162631151"</f>
        <v>FES1162631151</v>
      </c>
      <c r="D1787" s="10" t="s">
        <v>19</v>
      </c>
      <c r="E1787" s="10" t="s">
        <v>270</v>
      </c>
      <c r="F1787" s="10" t="str">
        <f>"2170638058 "</f>
        <v xml:space="preserve">2170638058 </v>
      </c>
      <c r="G1787" s="10" t="str">
        <f>"ON1"</f>
        <v>ON1</v>
      </c>
      <c r="H1787" s="10" t="s">
        <v>21</v>
      </c>
      <c r="I1787" s="10" t="s">
        <v>238</v>
      </c>
      <c r="J1787" s="10" t="str">
        <f>""</f>
        <v/>
      </c>
      <c r="K1787" s="10" t="str">
        <f>"PFES1162631151_0001"</f>
        <v>PFES1162631151_0001</v>
      </c>
      <c r="L1787" s="10">
        <v>1</v>
      </c>
      <c r="M1787" s="10">
        <v>3</v>
      </c>
    </row>
    <row r="1788" spans="1:13">
      <c r="A1788" s="8">
        <v>43273</v>
      </c>
      <c r="B1788" s="9">
        <v>0.61944444444444446</v>
      </c>
      <c r="C1788" s="10" t="str">
        <f>"FES1162631225"</f>
        <v>FES1162631225</v>
      </c>
      <c r="D1788" s="10" t="s">
        <v>19</v>
      </c>
      <c r="E1788" s="10" t="s">
        <v>672</v>
      </c>
      <c r="F1788" s="10" t="str">
        <f>"2170638139 "</f>
        <v xml:space="preserve">2170638139 </v>
      </c>
      <c r="G1788" s="10" t="str">
        <f>"ON1"</f>
        <v>ON1</v>
      </c>
      <c r="H1788" s="10" t="s">
        <v>21</v>
      </c>
      <c r="I1788" s="10" t="s">
        <v>356</v>
      </c>
      <c r="J1788" s="10" t="str">
        <f>""</f>
        <v/>
      </c>
      <c r="K1788" s="10" t="str">
        <f>"PFES1162631225_0001"</f>
        <v>PFES1162631225_0001</v>
      </c>
      <c r="L1788" s="10">
        <v>1</v>
      </c>
      <c r="M1788" s="10">
        <v>4</v>
      </c>
    </row>
    <row r="1789" spans="1:13">
      <c r="A1789" s="8">
        <v>43273</v>
      </c>
      <c r="B1789" s="9">
        <v>0.61875000000000002</v>
      </c>
      <c r="C1789" s="10" t="str">
        <f>"FES1162631166"</f>
        <v>FES1162631166</v>
      </c>
      <c r="D1789" s="10" t="s">
        <v>19</v>
      </c>
      <c r="E1789" s="10" t="s">
        <v>286</v>
      </c>
      <c r="F1789" s="10" t="str">
        <f>"2170637590 "</f>
        <v xml:space="preserve">2170637590 </v>
      </c>
      <c r="G1789" s="10" t="str">
        <f>"ON1"</f>
        <v>ON1</v>
      </c>
      <c r="H1789" s="10" t="s">
        <v>21</v>
      </c>
      <c r="I1789" s="10" t="s">
        <v>79</v>
      </c>
      <c r="J1789" s="10" t="str">
        <f>""</f>
        <v/>
      </c>
      <c r="K1789" s="10" t="str">
        <f>"PFES1162631166_0001"</f>
        <v>PFES1162631166_0001</v>
      </c>
      <c r="L1789" s="10">
        <v>1</v>
      </c>
      <c r="M1789" s="10">
        <v>2</v>
      </c>
    </row>
    <row r="1790" spans="1:13">
      <c r="A1790" s="8">
        <v>43273</v>
      </c>
      <c r="B1790" s="9">
        <v>0.61805555555555558</v>
      </c>
      <c r="C1790" s="10" t="str">
        <f>"FES1162631201"</f>
        <v>FES1162631201</v>
      </c>
      <c r="D1790" s="10" t="s">
        <v>19</v>
      </c>
      <c r="E1790" s="10" t="s">
        <v>140</v>
      </c>
      <c r="F1790" s="10" t="str">
        <f>"2170638113 "</f>
        <v xml:space="preserve">2170638113 </v>
      </c>
      <c r="G1790" s="10" t="str">
        <f>"ON1"</f>
        <v>ON1</v>
      </c>
      <c r="H1790" s="10" t="s">
        <v>21</v>
      </c>
      <c r="I1790" s="10" t="s">
        <v>141</v>
      </c>
      <c r="J1790" s="10" t="str">
        <f>""</f>
        <v/>
      </c>
      <c r="K1790" s="10" t="str">
        <f>"PFES1162631201_0001"</f>
        <v>PFES1162631201_0001</v>
      </c>
      <c r="L1790" s="10">
        <v>1</v>
      </c>
      <c r="M1790" s="10">
        <v>3</v>
      </c>
    </row>
    <row r="1791" spans="1:13">
      <c r="A1791" s="8">
        <v>43273</v>
      </c>
      <c r="B1791" s="9">
        <v>0.61805555555555558</v>
      </c>
      <c r="C1791" s="10" t="str">
        <f>"FES1162631222"</f>
        <v>FES1162631222</v>
      </c>
      <c r="D1791" s="10" t="s">
        <v>19</v>
      </c>
      <c r="E1791" s="10" t="s">
        <v>613</v>
      </c>
      <c r="F1791" s="10" t="str">
        <f>"2170635470 "</f>
        <v xml:space="preserve">2170635470 </v>
      </c>
      <c r="G1791" s="10" t="str">
        <f>"DBC"</f>
        <v>DBC</v>
      </c>
      <c r="H1791" s="10" t="s">
        <v>21</v>
      </c>
      <c r="I1791" s="10" t="s">
        <v>614</v>
      </c>
      <c r="J1791" s="10" t="str">
        <f>""</f>
        <v/>
      </c>
      <c r="K1791" s="10" t="str">
        <f>"PFES1162631222_0001"</f>
        <v>PFES1162631222_0001</v>
      </c>
      <c r="L1791" s="10">
        <v>1</v>
      </c>
      <c r="M1791" s="10">
        <v>30</v>
      </c>
    </row>
    <row r="1792" spans="1:13">
      <c r="A1792" s="8">
        <v>43273</v>
      </c>
      <c r="B1792" s="9">
        <v>0.61805555555555558</v>
      </c>
      <c r="C1792" s="10" t="str">
        <f>"FES1162631167"</f>
        <v>FES1162631167</v>
      </c>
      <c r="D1792" s="10" t="s">
        <v>19</v>
      </c>
      <c r="E1792" s="10" t="s">
        <v>843</v>
      </c>
      <c r="F1792" s="10" t="str">
        <f>"2170637611 "</f>
        <v xml:space="preserve">2170637611 </v>
      </c>
      <c r="G1792" s="10" t="str">
        <f t="shared" ref="G1792:G1803" si="51">"ON1"</f>
        <v>ON1</v>
      </c>
      <c r="H1792" s="10" t="s">
        <v>21</v>
      </c>
      <c r="I1792" s="10" t="s">
        <v>702</v>
      </c>
      <c r="J1792" s="10" t="str">
        <f>""</f>
        <v/>
      </c>
      <c r="K1792" s="10" t="str">
        <f>"PFES1162631167_0001"</f>
        <v>PFES1162631167_0001</v>
      </c>
      <c r="L1792" s="10">
        <v>1</v>
      </c>
      <c r="M1792" s="10">
        <v>3</v>
      </c>
    </row>
    <row r="1793" spans="1:13">
      <c r="A1793" s="8">
        <v>43273</v>
      </c>
      <c r="B1793" s="9">
        <v>0.61805555555555558</v>
      </c>
      <c r="C1793" s="10" t="str">
        <f>"FES1162631165"</f>
        <v>FES1162631165</v>
      </c>
      <c r="D1793" s="10" t="s">
        <v>19</v>
      </c>
      <c r="E1793" s="10" t="s">
        <v>145</v>
      </c>
      <c r="F1793" s="10" t="str">
        <f>"2170637308 "</f>
        <v xml:space="preserve">2170637308 </v>
      </c>
      <c r="G1793" s="10" t="str">
        <f t="shared" si="51"/>
        <v>ON1</v>
      </c>
      <c r="H1793" s="10" t="s">
        <v>21</v>
      </c>
      <c r="I1793" s="10" t="s">
        <v>146</v>
      </c>
      <c r="J1793" s="10" t="str">
        <f>""</f>
        <v/>
      </c>
      <c r="K1793" s="10" t="str">
        <f>"PFES1162631165_0001"</f>
        <v>PFES1162631165_0001</v>
      </c>
      <c r="L1793" s="10">
        <v>1</v>
      </c>
      <c r="M1793" s="10">
        <v>5</v>
      </c>
    </row>
    <row r="1794" spans="1:13">
      <c r="A1794" s="8">
        <v>43273</v>
      </c>
      <c r="B1794" s="9">
        <v>0.61736111111111114</v>
      </c>
      <c r="C1794" s="10" t="str">
        <f>"FES1162631164"</f>
        <v>FES1162631164</v>
      </c>
      <c r="D1794" s="10" t="s">
        <v>19</v>
      </c>
      <c r="E1794" s="10" t="s">
        <v>145</v>
      </c>
      <c r="F1794" s="10" t="str">
        <f>"2170631179 "</f>
        <v xml:space="preserve">2170631179 </v>
      </c>
      <c r="G1794" s="10" t="str">
        <f t="shared" si="51"/>
        <v>ON1</v>
      </c>
      <c r="H1794" s="10" t="s">
        <v>21</v>
      </c>
      <c r="I1794" s="10" t="s">
        <v>146</v>
      </c>
      <c r="J1794" s="10" t="str">
        <f>""</f>
        <v/>
      </c>
      <c r="K1794" s="10" t="str">
        <f>"PFES1162631164_0001"</f>
        <v>PFES1162631164_0001</v>
      </c>
      <c r="L1794" s="10">
        <v>1</v>
      </c>
      <c r="M1794" s="10">
        <v>3</v>
      </c>
    </row>
    <row r="1795" spans="1:13">
      <c r="A1795" s="8">
        <v>43273</v>
      </c>
      <c r="B1795" s="9">
        <v>0.61736111111111114</v>
      </c>
      <c r="C1795" s="10" t="str">
        <f>"FES1162631193"</f>
        <v>FES1162631193</v>
      </c>
      <c r="D1795" s="10" t="s">
        <v>19</v>
      </c>
      <c r="E1795" s="10" t="s">
        <v>119</v>
      </c>
      <c r="F1795" s="10" t="str">
        <f>"2170638108 "</f>
        <v xml:space="preserve">2170638108 </v>
      </c>
      <c r="G1795" s="10" t="str">
        <f t="shared" si="51"/>
        <v>ON1</v>
      </c>
      <c r="H1795" s="10" t="s">
        <v>21</v>
      </c>
      <c r="I1795" s="10" t="s">
        <v>83</v>
      </c>
      <c r="J1795" s="10" t="str">
        <f>""</f>
        <v/>
      </c>
      <c r="K1795" s="10" t="str">
        <f>"PFES1162631193_0001"</f>
        <v>PFES1162631193_0001</v>
      </c>
      <c r="L1795" s="10">
        <v>1</v>
      </c>
      <c r="M1795" s="10">
        <v>1</v>
      </c>
    </row>
    <row r="1796" spans="1:13">
      <c r="A1796" s="8">
        <v>43273</v>
      </c>
      <c r="B1796" s="9">
        <v>0.61597222222222225</v>
      </c>
      <c r="C1796" s="10" t="str">
        <f>"FES1162631168"</f>
        <v>FES1162631168</v>
      </c>
      <c r="D1796" s="10" t="s">
        <v>19</v>
      </c>
      <c r="E1796" s="10" t="s">
        <v>143</v>
      </c>
      <c r="F1796" s="10" t="str">
        <f>"2170637640 "</f>
        <v xml:space="preserve">2170637640 </v>
      </c>
      <c r="G1796" s="10" t="str">
        <f t="shared" si="51"/>
        <v>ON1</v>
      </c>
      <c r="H1796" s="10" t="s">
        <v>21</v>
      </c>
      <c r="I1796" s="10" t="s">
        <v>144</v>
      </c>
      <c r="J1796" s="10" t="str">
        <f>""</f>
        <v/>
      </c>
      <c r="K1796" s="10" t="str">
        <f>"PFES1162631168_0001"</f>
        <v>PFES1162631168_0001</v>
      </c>
      <c r="L1796" s="10">
        <v>1</v>
      </c>
      <c r="M1796" s="10">
        <v>0</v>
      </c>
    </row>
    <row r="1797" spans="1:13">
      <c r="A1797" s="8">
        <v>43273</v>
      </c>
      <c r="B1797" s="9">
        <v>0.61597222222222225</v>
      </c>
      <c r="C1797" s="10" t="str">
        <f>"FES1162631196"</f>
        <v>FES1162631196</v>
      </c>
      <c r="D1797" s="10" t="s">
        <v>19</v>
      </c>
      <c r="E1797" s="10" t="s">
        <v>239</v>
      </c>
      <c r="F1797" s="10" t="str">
        <f>"2170635262 "</f>
        <v xml:space="preserve">2170635262 </v>
      </c>
      <c r="G1797" s="10" t="str">
        <f t="shared" si="51"/>
        <v>ON1</v>
      </c>
      <c r="H1797" s="10" t="s">
        <v>21</v>
      </c>
      <c r="I1797" s="10" t="s">
        <v>240</v>
      </c>
      <c r="J1797" s="10" t="str">
        <f>""</f>
        <v/>
      </c>
      <c r="K1797" s="10" t="str">
        <f>"PFES1162631196_0001"</f>
        <v>PFES1162631196_0001</v>
      </c>
      <c r="L1797" s="10">
        <v>1</v>
      </c>
      <c r="M1797" s="10">
        <v>1</v>
      </c>
    </row>
    <row r="1798" spans="1:13">
      <c r="A1798" s="8">
        <v>43273</v>
      </c>
      <c r="B1798" s="9">
        <v>0.61527777777777781</v>
      </c>
      <c r="C1798" s="10" t="str">
        <f>"FES1162631226"</f>
        <v>FES1162631226</v>
      </c>
      <c r="D1798" s="10" t="s">
        <v>19</v>
      </c>
      <c r="E1798" s="10" t="s">
        <v>62</v>
      </c>
      <c r="F1798" s="10" t="str">
        <f>"2170638140 "</f>
        <v xml:space="preserve">2170638140 </v>
      </c>
      <c r="G1798" s="10" t="str">
        <f t="shared" si="51"/>
        <v>ON1</v>
      </c>
      <c r="H1798" s="10" t="s">
        <v>21</v>
      </c>
      <c r="I1798" s="10" t="s">
        <v>63</v>
      </c>
      <c r="J1798" s="10" t="str">
        <f>""</f>
        <v/>
      </c>
      <c r="K1798" s="10" t="str">
        <f>"PFES1162631226_0001"</f>
        <v>PFES1162631226_0001</v>
      </c>
      <c r="L1798" s="10">
        <v>1</v>
      </c>
      <c r="M1798" s="10">
        <v>1</v>
      </c>
    </row>
    <row r="1799" spans="1:13">
      <c r="A1799" s="8">
        <v>43273</v>
      </c>
      <c r="B1799" s="9">
        <v>0.61527777777777781</v>
      </c>
      <c r="C1799" s="10" t="str">
        <f>"FES1162631194"</f>
        <v>FES1162631194</v>
      </c>
      <c r="D1799" s="10" t="s">
        <v>19</v>
      </c>
      <c r="E1799" s="10" t="s">
        <v>92</v>
      </c>
      <c r="F1799" s="10" t="str">
        <f>"2170638109 "</f>
        <v xml:space="preserve">2170638109 </v>
      </c>
      <c r="G1799" s="10" t="str">
        <f t="shared" si="51"/>
        <v>ON1</v>
      </c>
      <c r="H1799" s="10" t="s">
        <v>21</v>
      </c>
      <c r="I1799" s="10" t="s">
        <v>93</v>
      </c>
      <c r="J1799" s="10" t="str">
        <f>""</f>
        <v/>
      </c>
      <c r="K1799" s="10" t="str">
        <f>"PFES1162631194_0001"</f>
        <v>PFES1162631194_0001</v>
      </c>
      <c r="L1799" s="10">
        <v>1</v>
      </c>
      <c r="M1799" s="10">
        <v>8</v>
      </c>
    </row>
    <row r="1800" spans="1:13">
      <c r="A1800" s="8">
        <v>43273</v>
      </c>
      <c r="B1800" s="9">
        <v>0.61527777777777781</v>
      </c>
      <c r="C1800" s="10" t="str">
        <f>"FES1162631208"</f>
        <v>FES1162631208</v>
      </c>
      <c r="D1800" s="10" t="s">
        <v>19</v>
      </c>
      <c r="E1800" s="10" t="s">
        <v>372</v>
      </c>
      <c r="F1800" s="10" t="str">
        <f>"2170638121 "</f>
        <v xml:space="preserve">2170638121 </v>
      </c>
      <c r="G1800" s="10" t="str">
        <f t="shared" si="51"/>
        <v>ON1</v>
      </c>
      <c r="H1800" s="10" t="s">
        <v>21</v>
      </c>
      <c r="I1800" s="10" t="s">
        <v>93</v>
      </c>
      <c r="J1800" s="10" t="str">
        <f>""</f>
        <v/>
      </c>
      <c r="K1800" s="10" t="str">
        <f>"PFES1162631208_0001"</f>
        <v>PFES1162631208_0001</v>
      </c>
      <c r="L1800" s="10">
        <v>1</v>
      </c>
      <c r="M1800" s="10">
        <v>1</v>
      </c>
    </row>
    <row r="1801" spans="1:13">
      <c r="A1801" s="8">
        <v>43273</v>
      </c>
      <c r="B1801" s="9">
        <v>0.61458333333333337</v>
      </c>
      <c r="C1801" s="10" t="str">
        <f>"FES1162631210"</f>
        <v>FES1162631210</v>
      </c>
      <c r="D1801" s="10" t="s">
        <v>19</v>
      </c>
      <c r="E1801" s="10" t="s">
        <v>320</v>
      </c>
      <c r="F1801" s="10" t="str">
        <f>"2170635658 "</f>
        <v xml:space="preserve">2170635658 </v>
      </c>
      <c r="G1801" s="10" t="str">
        <f t="shared" si="51"/>
        <v>ON1</v>
      </c>
      <c r="H1801" s="10" t="s">
        <v>21</v>
      </c>
      <c r="I1801" s="10" t="s">
        <v>79</v>
      </c>
      <c r="J1801" s="10" t="str">
        <f>""</f>
        <v/>
      </c>
      <c r="K1801" s="10" t="str">
        <f>"PFES1162631210_0001"</f>
        <v>PFES1162631210_0001</v>
      </c>
      <c r="L1801" s="10">
        <v>1</v>
      </c>
      <c r="M1801" s="10">
        <v>1</v>
      </c>
    </row>
    <row r="1802" spans="1:13">
      <c r="A1802" s="8">
        <v>43273</v>
      </c>
      <c r="B1802" s="9">
        <v>0.61388888888888882</v>
      </c>
      <c r="C1802" s="10" t="str">
        <f>"FES1162631205"</f>
        <v>FES1162631205</v>
      </c>
      <c r="D1802" s="10" t="s">
        <v>19</v>
      </c>
      <c r="E1802" s="10" t="s">
        <v>468</v>
      </c>
      <c r="F1802" s="10" t="str">
        <f>"2170638115 "</f>
        <v xml:space="preserve">2170638115 </v>
      </c>
      <c r="G1802" s="10" t="str">
        <f t="shared" si="51"/>
        <v>ON1</v>
      </c>
      <c r="H1802" s="10" t="s">
        <v>21</v>
      </c>
      <c r="I1802" s="10" t="s">
        <v>469</v>
      </c>
      <c r="J1802" s="10" t="str">
        <f>""</f>
        <v/>
      </c>
      <c r="K1802" s="10" t="str">
        <f>"PFES1162631205_0001"</f>
        <v>PFES1162631205_0001</v>
      </c>
      <c r="L1802" s="10">
        <v>1</v>
      </c>
      <c r="M1802" s="10">
        <v>1</v>
      </c>
    </row>
    <row r="1803" spans="1:13">
      <c r="A1803" s="8">
        <v>43273</v>
      </c>
      <c r="B1803" s="9">
        <v>0.61319444444444449</v>
      </c>
      <c r="C1803" s="10" t="str">
        <f>"FES1162631223"</f>
        <v>FES1162631223</v>
      </c>
      <c r="D1803" s="10" t="s">
        <v>19</v>
      </c>
      <c r="E1803" s="10" t="s">
        <v>632</v>
      </c>
      <c r="F1803" s="10" t="str">
        <f>"2170638120 "</f>
        <v xml:space="preserve">2170638120 </v>
      </c>
      <c r="G1803" s="10" t="str">
        <f t="shared" si="51"/>
        <v>ON1</v>
      </c>
      <c r="H1803" s="10" t="s">
        <v>21</v>
      </c>
      <c r="I1803" s="10" t="s">
        <v>552</v>
      </c>
      <c r="J1803" s="10" t="str">
        <f>""</f>
        <v/>
      </c>
      <c r="K1803" s="10" t="str">
        <f>"PFES1162631223_0001"</f>
        <v>PFES1162631223_0001</v>
      </c>
      <c r="L1803" s="10">
        <v>1</v>
      </c>
      <c r="M1803" s="10">
        <v>3</v>
      </c>
    </row>
    <row r="1804" spans="1:13">
      <c r="A1804" s="8">
        <v>43273</v>
      </c>
      <c r="B1804" s="9">
        <v>0.61249999999999993</v>
      </c>
      <c r="C1804" s="10" t="str">
        <f>"FES1162631221"</f>
        <v>FES1162631221</v>
      </c>
      <c r="D1804" s="10" t="s">
        <v>19</v>
      </c>
      <c r="E1804" s="10" t="s">
        <v>587</v>
      </c>
      <c r="F1804" s="10" t="str">
        <f>"2170638173 "</f>
        <v xml:space="preserve">2170638173 </v>
      </c>
      <c r="G1804" s="10" t="str">
        <f>"SAT"</f>
        <v>SAT</v>
      </c>
      <c r="H1804" s="10" t="s">
        <v>21</v>
      </c>
      <c r="I1804" s="10" t="s">
        <v>397</v>
      </c>
      <c r="J1804" s="10" t="str">
        <f>"PLS SATURDAY DELIVER CONTACT,"</f>
        <v>PLS SATURDAY DELIVER CONTACT,</v>
      </c>
      <c r="K1804" s="10" t="str">
        <f>"PFES1162631221_0001"</f>
        <v>PFES1162631221_0001</v>
      </c>
      <c r="L1804" s="10">
        <v>1</v>
      </c>
      <c r="M1804" s="10">
        <v>1</v>
      </c>
    </row>
    <row r="1805" spans="1:13">
      <c r="A1805" s="8">
        <v>43273</v>
      </c>
      <c r="B1805" s="9">
        <v>0.61249999999999993</v>
      </c>
      <c r="C1805" s="10" t="str">
        <f>"FES1162631202"</f>
        <v>FES1162631202</v>
      </c>
      <c r="D1805" s="10" t="s">
        <v>19</v>
      </c>
      <c r="E1805" s="10" t="s">
        <v>445</v>
      </c>
      <c r="F1805" s="10" t="str">
        <f>"2170638114 "</f>
        <v xml:space="preserve">2170638114 </v>
      </c>
      <c r="G1805" s="10" t="str">
        <f t="shared" ref="G1805:G1823" si="52">"ON1"</f>
        <v>ON1</v>
      </c>
      <c r="H1805" s="10" t="s">
        <v>21</v>
      </c>
      <c r="I1805" s="10" t="s">
        <v>446</v>
      </c>
      <c r="J1805" s="10" t="str">
        <f>""</f>
        <v/>
      </c>
      <c r="K1805" s="10" t="str">
        <f>"PFES1162631202_0001"</f>
        <v>PFES1162631202_0001</v>
      </c>
      <c r="L1805" s="10">
        <v>1</v>
      </c>
      <c r="M1805" s="10">
        <v>1</v>
      </c>
    </row>
    <row r="1806" spans="1:13">
      <c r="A1806" s="8">
        <v>43273</v>
      </c>
      <c r="B1806" s="9">
        <v>0.6118055555555556</v>
      </c>
      <c r="C1806" s="10" t="str">
        <f>"FES1162631206"</f>
        <v>FES1162631206</v>
      </c>
      <c r="D1806" s="10" t="s">
        <v>19</v>
      </c>
      <c r="E1806" s="10" t="s">
        <v>786</v>
      </c>
      <c r="F1806" s="10" t="str">
        <f>"2170638116 "</f>
        <v xml:space="preserve">2170638116 </v>
      </c>
      <c r="G1806" s="10" t="str">
        <f t="shared" si="52"/>
        <v>ON1</v>
      </c>
      <c r="H1806" s="10" t="s">
        <v>21</v>
      </c>
      <c r="I1806" s="10" t="s">
        <v>710</v>
      </c>
      <c r="J1806" s="10" t="str">
        <f>""</f>
        <v/>
      </c>
      <c r="K1806" s="10" t="str">
        <f>"PFES1162631206_0001"</f>
        <v>PFES1162631206_0001</v>
      </c>
      <c r="L1806" s="10">
        <v>1</v>
      </c>
      <c r="M1806" s="10">
        <v>2</v>
      </c>
    </row>
    <row r="1807" spans="1:13">
      <c r="A1807" s="8">
        <v>43273</v>
      </c>
      <c r="B1807" s="9">
        <v>0.61041666666666672</v>
      </c>
      <c r="C1807" s="10" t="str">
        <f>"FES1162631211"</f>
        <v>FES1162631211</v>
      </c>
      <c r="D1807" s="10" t="s">
        <v>19</v>
      </c>
      <c r="E1807" s="10" t="s">
        <v>169</v>
      </c>
      <c r="F1807" s="10" t="str">
        <f>"2170638123 "</f>
        <v xml:space="preserve">2170638123 </v>
      </c>
      <c r="G1807" s="10" t="str">
        <f t="shared" si="52"/>
        <v>ON1</v>
      </c>
      <c r="H1807" s="10" t="s">
        <v>21</v>
      </c>
      <c r="I1807" s="10" t="s">
        <v>170</v>
      </c>
      <c r="J1807" s="10" t="str">
        <f>""</f>
        <v/>
      </c>
      <c r="K1807" s="10" t="str">
        <f>"PFES1162631211_0001"</f>
        <v>PFES1162631211_0001</v>
      </c>
      <c r="L1807" s="10">
        <v>1</v>
      </c>
      <c r="M1807" s="10">
        <v>1</v>
      </c>
    </row>
    <row r="1808" spans="1:13">
      <c r="A1808" s="8">
        <v>43273</v>
      </c>
      <c r="B1808" s="9">
        <v>0.60277777777777775</v>
      </c>
      <c r="C1808" s="10" t="str">
        <f>"FES1162631227"</f>
        <v>FES1162631227</v>
      </c>
      <c r="D1808" s="10" t="s">
        <v>19</v>
      </c>
      <c r="E1808" s="10" t="s">
        <v>895</v>
      </c>
      <c r="F1808" s="10" t="str">
        <f>"2170635970 "</f>
        <v xml:space="preserve">2170635970 </v>
      </c>
      <c r="G1808" s="10" t="str">
        <f t="shared" si="52"/>
        <v>ON1</v>
      </c>
      <c r="H1808" s="10" t="s">
        <v>21</v>
      </c>
      <c r="I1808" s="10" t="s">
        <v>279</v>
      </c>
      <c r="J1808" s="10" t="str">
        <f>""</f>
        <v/>
      </c>
      <c r="K1808" s="10" t="str">
        <f>"PFES1162631227_0001"</f>
        <v>PFES1162631227_0001</v>
      </c>
      <c r="L1808" s="10">
        <v>1</v>
      </c>
      <c r="M1808" s="10">
        <v>1</v>
      </c>
    </row>
    <row r="1809" spans="1:13">
      <c r="A1809" s="8">
        <v>43273</v>
      </c>
      <c r="B1809" s="9">
        <v>0.60138888888888886</v>
      </c>
      <c r="C1809" s="10" t="str">
        <f>"FES1162631134"</f>
        <v>FES1162631134</v>
      </c>
      <c r="D1809" s="10" t="s">
        <v>19</v>
      </c>
      <c r="E1809" s="10" t="s">
        <v>395</v>
      </c>
      <c r="F1809" s="10" t="str">
        <f>"2170638032 "</f>
        <v xml:space="preserve">2170638032 </v>
      </c>
      <c r="G1809" s="10" t="str">
        <f t="shared" si="52"/>
        <v>ON1</v>
      </c>
      <c r="H1809" s="10" t="s">
        <v>21</v>
      </c>
      <c r="I1809" s="10" t="s">
        <v>396</v>
      </c>
      <c r="J1809" s="10" t="str">
        <f>""</f>
        <v/>
      </c>
      <c r="K1809" s="10" t="str">
        <f>"PFES1162631134_0001"</f>
        <v>PFES1162631134_0001</v>
      </c>
      <c r="L1809" s="10">
        <v>1</v>
      </c>
      <c r="M1809" s="10">
        <v>7</v>
      </c>
    </row>
    <row r="1810" spans="1:13">
      <c r="A1810" s="8">
        <v>43273</v>
      </c>
      <c r="B1810" s="9">
        <v>0.60069444444444442</v>
      </c>
      <c r="C1810" s="10" t="str">
        <f>"FES1162631224"</f>
        <v>FES1162631224</v>
      </c>
      <c r="D1810" s="10" t="s">
        <v>19</v>
      </c>
      <c r="E1810" s="10" t="s">
        <v>56</v>
      </c>
      <c r="F1810" s="10" t="str">
        <f>"2170638138 "</f>
        <v xml:space="preserve">2170638138 </v>
      </c>
      <c r="G1810" s="10" t="str">
        <f t="shared" si="52"/>
        <v>ON1</v>
      </c>
      <c r="H1810" s="10" t="s">
        <v>21</v>
      </c>
      <c r="I1810" s="10" t="s">
        <v>57</v>
      </c>
      <c r="J1810" s="10" t="str">
        <f>""</f>
        <v/>
      </c>
      <c r="K1810" s="10" t="str">
        <f>"PFES1162631224_0001"</f>
        <v>PFES1162631224_0001</v>
      </c>
      <c r="L1810" s="10">
        <v>1</v>
      </c>
      <c r="M1810" s="10">
        <v>2</v>
      </c>
    </row>
    <row r="1811" spans="1:13">
      <c r="A1811" s="8">
        <v>43273</v>
      </c>
      <c r="B1811" s="9">
        <v>0.59930555555555554</v>
      </c>
      <c r="C1811" s="10" t="str">
        <f>"FES1162631219"</f>
        <v>FES1162631219</v>
      </c>
      <c r="D1811" s="10" t="s">
        <v>19</v>
      </c>
      <c r="E1811" s="10" t="s">
        <v>60</v>
      </c>
      <c r="F1811" s="10" t="str">
        <f>"2170638130 "</f>
        <v xml:space="preserve">2170638130 </v>
      </c>
      <c r="G1811" s="10" t="str">
        <f t="shared" si="52"/>
        <v>ON1</v>
      </c>
      <c r="H1811" s="10" t="s">
        <v>21</v>
      </c>
      <c r="I1811" s="10" t="s">
        <v>61</v>
      </c>
      <c r="J1811" s="10" t="str">
        <f>""</f>
        <v/>
      </c>
      <c r="K1811" s="10" t="str">
        <f>"PFES1162631219_0001"</f>
        <v>PFES1162631219_0001</v>
      </c>
      <c r="L1811" s="10">
        <v>1</v>
      </c>
      <c r="M1811" s="10">
        <v>1</v>
      </c>
    </row>
    <row r="1812" spans="1:13">
      <c r="A1812" s="8">
        <v>43273</v>
      </c>
      <c r="B1812" s="9">
        <v>0.59930555555555554</v>
      </c>
      <c r="C1812" s="10" t="str">
        <f>"FES1162631213"</f>
        <v>FES1162631213</v>
      </c>
      <c r="D1812" s="10" t="s">
        <v>19</v>
      </c>
      <c r="E1812" s="10" t="s">
        <v>456</v>
      </c>
      <c r="F1812" s="10" t="str">
        <f>"2170635105 "</f>
        <v xml:space="preserve">2170635105 </v>
      </c>
      <c r="G1812" s="10" t="str">
        <f t="shared" si="52"/>
        <v>ON1</v>
      </c>
      <c r="H1812" s="10" t="s">
        <v>21</v>
      </c>
      <c r="I1812" s="10" t="s">
        <v>36</v>
      </c>
      <c r="J1812" s="10" t="str">
        <f>""</f>
        <v/>
      </c>
      <c r="K1812" s="10" t="str">
        <f>"PFES1162631213_0001"</f>
        <v>PFES1162631213_0001</v>
      </c>
      <c r="L1812" s="10">
        <v>1</v>
      </c>
      <c r="M1812" s="10">
        <v>1</v>
      </c>
    </row>
    <row r="1813" spans="1:13">
      <c r="A1813" s="8">
        <v>43273</v>
      </c>
      <c r="B1813" s="9">
        <v>0.59930555555555554</v>
      </c>
      <c r="C1813" s="10" t="str">
        <f>"FES1162631214"</f>
        <v>FES1162631214</v>
      </c>
      <c r="D1813" s="10" t="s">
        <v>19</v>
      </c>
      <c r="E1813" s="10" t="s">
        <v>456</v>
      </c>
      <c r="F1813" s="10" t="str">
        <f>"2170635176 "</f>
        <v xml:space="preserve">2170635176 </v>
      </c>
      <c r="G1813" s="10" t="str">
        <f t="shared" si="52"/>
        <v>ON1</v>
      </c>
      <c r="H1813" s="10" t="s">
        <v>21</v>
      </c>
      <c r="I1813" s="10" t="s">
        <v>36</v>
      </c>
      <c r="J1813" s="10" t="str">
        <f>""</f>
        <v/>
      </c>
      <c r="K1813" s="10" t="str">
        <f>"PFES1162631214_0001"</f>
        <v>PFES1162631214_0001</v>
      </c>
      <c r="L1813" s="10">
        <v>1</v>
      </c>
      <c r="M1813" s="10">
        <v>1</v>
      </c>
    </row>
    <row r="1814" spans="1:13">
      <c r="A1814" s="8">
        <v>43273</v>
      </c>
      <c r="B1814" s="9">
        <v>0.59861111111111109</v>
      </c>
      <c r="C1814" s="10" t="str">
        <f>"FES1162631184"</f>
        <v>FES1162631184</v>
      </c>
      <c r="D1814" s="10" t="s">
        <v>19</v>
      </c>
      <c r="E1814" s="10" t="s">
        <v>201</v>
      </c>
      <c r="F1814" s="10" t="str">
        <f>"2170637995 "</f>
        <v xml:space="preserve">2170637995 </v>
      </c>
      <c r="G1814" s="10" t="str">
        <f t="shared" si="52"/>
        <v>ON1</v>
      </c>
      <c r="H1814" s="10" t="s">
        <v>21</v>
      </c>
      <c r="I1814" s="10" t="s">
        <v>26</v>
      </c>
      <c r="J1814" s="10" t="str">
        <f>""</f>
        <v/>
      </c>
      <c r="K1814" s="10" t="str">
        <f>"PFES1162631184_0001"</f>
        <v>PFES1162631184_0001</v>
      </c>
      <c r="L1814" s="10">
        <v>1</v>
      </c>
      <c r="M1814" s="10">
        <v>1</v>
      </c>
    </row>
    <row r="1815" spans="1:13">
      <c r="A1815" s="8">
        <v>43273</v>
      </c>
      <c r="B1815" s="9">
        <v>0.59861111111111109</v>
      </c>
      <c r="C1815" s="10" t="str">
        <f>"FES1162631156"</f>
        <v>FES1162631156</v>
      </c>
      <c r="D1815" s="10" t="s">
        <v>19</v>
      </c>
      <c r="E1815" s="10" t="s">
        <v>117</v>
      </c>
      <c r="F1815" s="10" t="str">
        <f>"2170638063 "</f>
        <v xml:space="preserve">2170638063 </v>
      </c>
      <c r="G1815" s="10" t="str">
        <f t="shared" si="52"/>
        <v>ON1</v>
      </c>
      <c r="H1815" s="10" t="s">
        <v>21</v>
      </c>
      <c r="I1815" s="10" t="s">
        <v>118</v>
      </c>
      <c r="J1815" s="10" t="str">
        <f>""</f>
        <v/>
      </c>
      <c r="K1815" s="10" t="str">
        <f>"PFES1162631156_0001"</f>
        <v>PFES1162631156_0001</v>
      </c>
      <c r="L1815" s="10">
        <v>1</v>
      </c>
      <c r="M1815" s="10">
        <v>1</v>
      </c>
    </row>
    <row r="1816" spans="1:13">
      <c r="A1816" s="8">
        <v>43273</v>
      </c>
      <c r="B1816" s="9">
        <v>0.59861111111111109</v>
      </c>
      <c r="C1816" s="10" t="str">
        <f>"FES1162631198"</f>
        <v>FES1162631198</v>
      </c>
      <c r="D1816" s="10" t="s">
        <v>19</v>
      </c>
      <c r="E1816" s="10" t="s">
        <v>899</v>
      </c>
      <c r="F1816" s="10" t="str">
        <f>"2170635431 "</f>
        <v xml:space="preserve">2170635431 </v>
      </c>
      <c r="G1816" s="10" t="str">
        <f t="shared" si="52"/>
        <v>ON1</v>
      </c>
      <c r="H1816" s="10" t="s">
        <v>21</v>
      </c>
      <c r="I1816" s="10" t="s">
        <v>46</v>
      </c>
      <c r="J1816" s="10" t="str">
        <f>""</f>
        <v/>
      </c>
      <c r="K1816" s="10" t="str">
        <f>"PFES1162631198_0001"</f>
        <v>PFES1162631198_0001</v>
      </c>
      <c r="L1816" s="10">
        <v>1</v>
      </c>
      <c r="M1816" s="10">
        <v>1</v>
      </c>
    </row>
    <row r="1817" spans="1:13">
      <c r="A1817" s="8">
        <v>43273</v>
      </c>
      <c r="B1817" s="9">
        <v>0.59861111111111109</v>
      </c>
      <c r="C1817" s="10" t="str">
        <f>"FES1162631203"</f>
        <v>FES1162631203</v>
      </c>
      <c r="D1817" s="10" t="s">
        <v>19</v>
      </c>
      <c r="E1817" s="10" t="s">
        <v>421</v>
      </c>
      <c r="F1817" s="10" t="str">
        <f>"2170635986 "</f>
        <v xml:space="preserve">2170635986 </v>
      </c>
      <c r="G1817" s="10" t="str">
        <f t="shared" si="52"/>
        <v>ON1</v>
      </c>
      <c r="H1817" s="10" t="s">
        <v>21</v>
      </c>
      <c r="I1817" s="10" t="s">
        <v>422</v>
      </c>
      <c r="J1817" s="10" t="str">
        <f>""</f>
        <v/>
      </c>
      <c r="K1817" s="10" t="str">
        <f>"PFES1162631203_0001"</f>
        <v>PFES1162631203_0001</v>
      </c>
      <c r="L1817" s="10">
        <v>1</v>
      </c>
      <c r="M1817" s="10">
        <v>1</v>
      </c>
    </row>
    <row r="1818" spans="1:13">
      <c r="A1818" s="8">
        <v>43273</v>
      </c>
      <c r="B1818" s="9">
        <v>0.59722222222222221</v>
      </c>
      <c r="C1818" s="10" t="str">
        <f>"FES1162631145"</f>
        <v>FES1162631145</v>
      </c>
      <c r="D1818" s="10" t="s">
        <v>19</v>
      </c>
      <c r="E1818" s="10" t="s">
        <v>647</v>
      </c>
      <c r="F1818" s="10" t="str">
        <f>"2170638047 "</f>
        <v xml:space="preserve">2170638047 </v>
      </c>
      <c r="G1818" s="10" t="str">
        <f t="shared" si="52"/>
        <v>ON1</v>
      </c>
      <c r="H1818" s="10" t="s">
        <v>21</v>
      </c>
      <c r="I1818" s="10" t="s">
        <v>358</v>
      </c>
      <c r="J1818" s="10" t="str">
        <f>""</f>
        <v/>
      </c>
      <c r="K1818" s="10" t="str">
        <f>"PFES1162631145_0001"</f>
        <v>PFES1162631145_0001</v>
      </c>
      <c r="L1818" s="10">
        <v>1</v>
      </c>
      <c r="M1818" s="10">
        <v>1</v>
      </c>
    </row>
    <row r="1819" spans="1:13">
      <c r="A1819" s="8">
        <v>43273</v>
      </c>
      <c r="B1819" s="9">
        <v>0.59652777777777777</v>
      </c>
      <c r="C1819" s="10" t="str">
        <f>"FES1162631215"</f>
        <v>FES1162631215</v>
      </c>
      <c r="D1819" s="10" t="s">
        <v>19</v>
      </c>
      <c r="E1819" s="10" t="s">
        <v>314</v>
      </c>
      <c r="F1819" s="10" t="str">
        <f>"2170635716 "</f>
        <v xml:space="preserve">2170635716 </v>
      </c>
      <c r="G1819" s="10" t="str">
        <f t="shared" si="52"/>
        <v>ON1</v>
      </c>
      <c r="H1819" s="10" t="s">
        <v>21</v>
      </c>
      <c r="I1819" s="10" t="s">
        <v>57</v>
      </c>
      <c r="J1819" s="10" t="str">
        <f>""</f>
        <v/>
      </c>
      <c r="K1819" s="10" t="str">
        <f>"PFES1162631215_0001"</f>
        <v>PFES1162631215_0001</v>
      </c>
      <c r="L1819" s="10">
        <v>1</v>
      </c>
      <c r="M1819" s="10">
        <v>1</v>
      </c>
    </row>
    <row r="1820" spans="1:13">
      <c r="A1820" s="8">
        <v>43273</v>
      </c>
      <c r="B1820" s="9">
        <v>0.59652777777777777</v>
      </c>
      <c r="C1820" s="10" t="str">
        <f>"FES1162631218"</f>
        <v>FES1162631218</v>
      </c>
      <c r="D1820" s="10" t="s">
        <v>19</v>
      </c>
      <c r="E1820" s="10" t="s">
        <v>60</v>
      </c>
      <c r="F1820" s="10" t="str">
        <f>"2170638129 "</f>
        <v xml:space="preserve">2170638129 </v>
      </c>
      <c r="G1820" s="10" t="str">
        <f t="shared" si="52"/>
        <v>ON1</v>
      </c>
      <c r="H1820" s="10" t="s">
        <v>21</v>
      </c>
      <c r="I1820" s="10" t="s">
        <v>61</v>
      </c>
      <c r="J1820" s="10" t="str">
        <f>""</f>
        <v/>
      </c>
      <c r="K1820" s="10" t="str">
        <f>"PFES1162631218_0001"</f>
        <v>PFES1162631218_0001</v>
      </c>
      <c r="L1820" s="10">
        <v>1</v>
      </c>
      <c r="M1820" s="10">
        <v>1</v>
      </c>
    </row>
    <row r="1821" spans="1:13">
      <c r="A1821" s="8">
        <v>43273</v>
      </c>
      <c r="B1821" s="9">
        <v>0.59652777777777777</v>
      </c>
      <c r="C1821" s="10" t="str">
        <f>"FES1162631183"</f>
        <v>FES1162631183</v>
      </c>
      <c r="D1821" s="10" t="s">
        <v>19</v>
      </c>
      <c r="E1821" s="10" t="s">
        <v>897</v>
      </c>
      <c r="F1821" s="10" t="str">
        <f>"2170638095 "</f>
        <v xml:space="preserve">2170638095 </v>
      </c>
      <c r="G1821" s="10" t="str">
        <f t="shared" si="52"/>
        <v>ON1</v>
      </c>
      <c r="H1821" s="10" t="s">
        <v>21</v>
      </c>
      <c r="I1821" s="10" t="s">
        <v>898</v>
      </c>
      <c r="J1821" s="10" t="str">
        <f>""</f>
        <v/>
      </c>
      <c r="K1821" s="10" t="str">
        <f>"PFES1162631183_0001"</f>
        <v>PFES1162631183_0001</v>
      </c>
      <c r="L1821" s="10">
        <v>1</v>
      </c>
      <c r="M1821" s="10">
        <v>1</v>
      </c>
    </row>
    <row r="1822" spans="1:13">
      <c r="A1822" s="8">
        <v>43273</v>
      </c>
      <c r="B1822" s="9">
        <v>0.59583333333333333</v>
      </c>
      <c r="C1822" s="10" t="str">
        <f>"FES1162631154"</f>
        <v>FES1162631154</v>
      </c>
      <c r="D1822" s="10" t="s">
        <v>19</v>
      </c>
      <c r="E1822" s="10" t="s">
        <v>503</v>
      </c>
      <c r="F1822" s="10" t="str">
        <f>"2170638062 "</f>
        <v xml:space="preserve">2170638062 </v>
      </c>
      <c r="G1822" s="10" t="str">
        <f t="shared" si="52"/>
        <v>ON1</v>
      </c>
      <c r="H1822" s="10" t="s">
        <v>21</v>
      </c>
      <c r="I1822" s="10" t="s">
        <v>158</v>
      </c>
      <c r="J1822" s="10" t="str">
        <f>""</f>
        <v/>
      </c>
      <c r="K1822" s="10" t="str">
        <f>"PFES1162631154_0001"</f>
        <v>PFES1162631154_0001</v>
      </c>
      <c r="L1822" s="10">
        <v>1</v>
      </c>
      <c r="M1822" s="10">
        <v>1</v>
      </c>
    </row>
    <row r="1823" spans="1:13">
      <c r="A1823" s="8">
        <v>43273</v>
      </c>
      <c r="B1823" s="9">
        <v>0.59583333333333333</v>
      </c>
      <c r="C1823" s="10" t="str">
        <f>"FES1162631207"</f>
        <v>FES1162631207</v>
      </c>
      <c r="D1823" s="10" t="s">
        <v>19</v>
      </c>
      <c r="E1823" s="10" t="s">
        <v>27</v>
      </c>
      <c r="F1823" s="10" t="str">
        <f>"2170638117 "</f>
        <v xml:space="preserve">2170638117 </v>
      </c>
      <c r="G1823" s="10" t="str">
        <f t="shared" si="52"/>
        <v>ON1</v>
      </c>
      <c r="H1823" s="10" t="s">
        <v>21</v>
      </c>
      <c r="I1823" s="10" t="s">
        <v>28</v>
      </c>
      <c r="J1823" s="10" t="str">
        <f>""</f>
        <v/>
      </c>
      <c r="K1823" s="10" t="str">
        <f>"PFES1162631207_0001"</f>
        <v>PFES1162631207_0001</v>
      </c>
      <c r="L1823" s="10">
        <v>1</v>
      </c>
      <c r="M1823" s="10">
        <v>1</v>
      </c>
    </row>
    <row r="1824" spans="1:13">
      <c r="A1824" s="8">
        <v>43273</v>
      </c>
      <c r="B1824" s="9">
        <v>0.59513888888888888</v>
      </c>
      <c r="C1824" s="10" t="str">
        <f>"FES1162631204"</f>
        <v>FES1162631204</v>
      </c>
      <c r="D1824" s="10" t="s">
        <v>19</v>
      </c>
      <c r="E1824" s="10" t="s">
        <v>864</v>
      </c>
      <c r="F1824" s="10" t="str">
        <f>"2170638107 "</f>
        <v xml:space="preserve">2170638107 </v>
      </c>
      <c r="G1824" s="10" t="str">
        <f>"ON2"</f>
        <v>ON2</v>
      </c>
      <c r="H1824" s="10" t="s">
        <v>21</v>
      </c>
      <c r="I1824" s="10" t="s">
        <v>71</v>
      </c>
      <c r="J1824" s="10" t="str">
        <f>"FRAGILE OIL"</f>
        <v>FRAGILE OIL</v>
      </c>
      <c r="K1824" s="10" t="str">
        <f>"PFES1162631204_0001"</f>
        <v>PFES1162631204_0001</v>
      </c>
      <c r="L1824" s="10">
        <v>1</v>
      </c>
      <c r="M1824" s="10">
        <v>3</v>
      </c>
    </row>
    <row r="1825" spans="1:13">
      <c r="A1825" s="8">
        <v>43273</v>
      </c>
      <c r="B1825" s="9">
        <v>0.59166666666666667</v>
      </c>
      <c r="C1825" s="10" t="str">
        <f>"FES1162631115"</f>
        <v>FES1162631115</v>
      </c>
      <c r="D1825" s="10" t="s">
        <v>19</v>
      </c>
      <c r="E1825" s="10" t="s">
        <v>332</v>
      </c>
      <c r="F1825" s="10" t="str">
        <f>"2170638003 "</f>
        <v xml:space="preserve">2170638003 </v>
      </c>
      <c r="G1825" s="10" t="str">
        <f>"DBC"</f>
        <v>DBC</v>
      </c>
      <c r="H1825" s="10" t="s">
        <v>21</v>
      </c>
      <c r="I1825" s="10" t="s">
        <v>333</v>
      </c>
      <c r="J1825" s="10" t="str">
        <f>""</f>
        <v/>
      </c>
      <c r="K1825" s="10" t="str">
        <f>"PFES1162631115_0001"</f>
        <v>PFES1162631115_0001</v>
      </c>
      <c r="L1825" s="10">
        <v>1</v>
      </c>
      <c r="M1825" s="10">
        <v>26</v>
      </c>
    </row>
    <row r="1826" spans="1:13">
      <c r="A1826" s="8">
        <v>43273</v>
      </c>
      <c r="B1826" s="9">
        <v>0.58958333333333335</v>
      </c>
      <c r="C1826" s="10" t="str">
        <f>"FES1162631216"</f>
        <v>FES1162631216</v>
      </c>
      <c r="D1826" s="10" t="s">
        <v>19</v>
      </c>
      <c r="E1826" s="10" t="s">
        <v>231</v>
      </c>
      <c r="F1826" s="10" t="str">
        <f>"2170635546 "</f>
        <v xml:space="preserve">2170635546 </v>
      </c>
      <c r="G1826" s="10" t="str">
        <f>"ON1"</f>
        <v>ON1</v>
      </c>
      <c r="H1826" s="10" t="s">
        <v>21</v>
      </c>
      <c r="I1826" s="10" t="s">
        <v>154</v>
      </c>
      <c r="J1826" s="10" t="str">
        <f>""</f>
        <v/>
      </c>
      <c r="K1826" s="10" t="str">
        <f>"PFES1162631216_0001"</f>
        <v>PFES1162631216_0001</v>
      </c>
      <c r="L1826" s="10">
        <v>1</v>
      </c>
      <c r="M1826" s="10">
        <v>1</v>
      </c>
    </row>
    <row r="1827" spans="1:13">
      <c r="A1827" s="8">
        <v>43273</v>
      </c>
      <c r="B1827" s="9">
        <v>0.57500000000000007</v>
      </c>
      <c r="C1827" s="10" t="str">
        <f>"FES1162631212"</f>
        <v>FES1162631212</v>
      </c>
      <c r="D1827" s="10" t="s">
        <v>19</v>
      </c>
      <c r="E1827" s="10" t="s">
        <v>900</v>
      </c>
      <c r="F1827" s="10" t="str">
        <f>"217062131 "</f>
        <v xml:space="preserve">217062131 </v>
      </c>
      <c r="G1827" s="10" t="str">
        <f>"SDX"</f>
        <v>SDX</v>
      </c>
      <c r="H1827" s="10" t="s">
        <v>21</v>
      </c>
      <c r="I1827" s="10" t="s">
        <v>61</v>
      </c>
      <c r="J1827" s="10" t="str">
        <f>"SDX PIETER 076 237 1222"</f>
        <v>SDX PIETER 076 237 1222</v>
      </c>
      <c r="K1827" s="10" t="str">
        <f>"PFES1162631212_0001"</f>
        <v>PFES1162631212_0001</v>
      </c>
      <c r="L1827" s="10">
        <v>1</v>
      </c>
      <c r="M1827" s="10">
        <v>1</v>
      </c>
    </row>
    <row r="1828" spans="1:13">
      <c r="A1828" s="8">
        <v>43273</v>
      </c>
      <c r="B1828" s="9">
        <v>0.56805555555555554</v>
      </c>
      <c r="C1828" s="10" t="str">
        <f>"FES1162631159"</f>
        <v>FES1162631159</v>
      </c>
      <c r="D1828" s="10" t="s">
        <v>19</v>
      </c>
      <c r="E1828" s="10" t="s">
        <v>379</v>
      </c>
      <c r="F1828" s="10" t="str">
        <f>"2170638074 "</f>
        <v xml:space="preserve">2170638074 </v>
      </c>
      <c r="G1828" s="10" t="str">
        <f t="shared" ref="G1828:G1846" si="53">"ON1"</f>
        <v>ON1</v>
      </c>
      <c r="H1828" s="10" t="s">
        <v>21</v>
      </c>
      <c r="I1828" s="10" t="s">
        <v>589</v>
      </c>
      <c r="J1828" s="10" t="str">
        <f>""</f>
        <v/>
      </c>
      <c r="K1828" s="10" t="str">
        <f>"PFES1162631159_0001"</f>
        <v>PFES1162631159_0001</v>
      </c>
      <c r="L1828" s="10">
        <v>1</v>
      </c>
      <c r="M1828" s="10">
        <v>1</v>
      </c>
    </row>
    <row r="1829" spans="1:13">
      <c r="A1829" s="8">
        <v>43273</v>
      </c>
      <c r="B1829" s="9">
        <v>0.56736111111111109</v>
      </c>
      <c r="C1829" s="10" t="str">
        <f>"FES1162631170"</f>
        <v>FES1162631170</v>
      </c>
      <c r="D1829" s="10" t="s">
        <v>19</v>
      </c>
      <c r="E1829" s="10" t="s">
        <v>412</v>
      </c>
      <c r="F1829" s="10" t="str">
        <f>"2170638079 "</f>
        <v xml:space="preserve">2170638079 </v>
      </c>
      <c r="G1829" s="10" t="str">
        <f t="shared" si="53"/>
        <v>ON1</v>
      </c>
      <c r="H1829" s="10" t="s">
        <v>21</v>
      </c>
      <c r="I1829" s="10" t="s">
        <v>413</v>
      </c>
      <c r="J1829" s="10" t="str">
        <f>""</f>
        <v/>
      </c>
      <c r="K1829" s="10" t="str">
        <f>"PFES1162631170_0001"</f>
        <v>PFES1162631170_0001</v>
      </c>
      <c r="L1829" s="10">
        <v>1</v>
      </c>
      <c r="M1829" s="10">
        <v>1</v>
      </c>
    </row>
    <row r="1830" spans="1:13">
      <c r="A1830" s="8">
        <v>43273</v>
      </c>
      <c r="B1830" s="9">
        <v>0.56666666666666665</v>
      </c>
      <c r="C1830" s="10" t="str">
        <f>"FES1162631190"</f>
        <v>FES1162631190</v>
      </c>
      <c r="D1830" s="10" t="s">
        <v>19</v>
      </c>
      <c r="E1830" s="10" t="s">
        <v>204</v>
      </c>
      <c r="F1830" s="10" t="str">
        <f>"2170638103 "</f>
        <v xml:space="preserve">2170638103 </v>
      </c>
      <c r="G1830" s="10" t="str">
        <f t="shared" si="53"/>
        <v>ON1</v>
      </c>
      <c r="H1830" s="10" t="s">
        <v>21</v>
      </c>
      <c r="I1830" s="10" t="s">
        <v>205</v>
      </c>
      <c r="J1830" s="10" t="str">
        <f>""</f>
        <v/>
      </c>
      <c r="K1830" s="10" t="str">
        <f>"PFES1162631190_0001"</f>
        <v>PFES1162631190_0001</v>
      </c>
      <c r="L1830" s="10">
        <v>1</v>
      </c>
      <c r="M1830" s="10">
        <v>1</v>
      </c>
    </row>
    <row r="1831" spans="1:13">
      <c r="A1831" s="8">
        <v>43273</v>
      </c>
      <c r="B1831" s="9">
        <v>0.56666666666666665</v>
      </c>
      <c r="C1831" s="10" t="str">
        <f>"FES1162631185"</f>
        <v>FES1162631185</v>
      </c>
      <c r="D1831" s="10" t="s">
        <v>19</v>
      </c>
      <c r="E1831" s="10" t="s">
        <v>198</v>
      </c>
      <c r="F1831" s="10" t="str">
        <f>"2170638093 "</f>
        <v xml:space="preserve">2170638093 </v>
      </c>
      <c r="G1831" s="10" t="str">
        <f t="shared" si="53"/>
        <v>ON1</v>
      </c>
      <c r="H1831" s="10" t="s">
        <v>21</v>
      </c>
      <c r="I1831" s="10" t="s">
        <v>199</v>
      </c>
      <c r="J1831" s="10" t="str">
        <f>""</f>
        <v/>
      </c>
      <c r="K1831" s="10" t="str">
        <f>"PFES1162631185_0001"</f>
        <v>PFES1162631185_0001</v>
      </c>
      <c r="L1831" s="10">
        <v>1</v>
      </c>
      <c r="M1831" s="10">
        <v>1</v>
      </c>
    </row>
    <row r="1832" spans="1:13">
      <c r="A1832" s="8">
        <v>43273</v>
      </c>
      <c r="B1832" s="9">
        <v>0.56527777777777777</v>
      </c>
      <c r="C1832" s="10" t="str">
        <f>"FES1162631191"</f>
        <v>FES1162631191</v>
      </c>
      <c r="D1832" s="10" t="s">
        <v>19</v>
      </c>
      <c r="E1832" s="10" t="s">
        <v>901</v>
      </c>
      <c r="F1832" s="10" t="str">
        <f>"2170637028 "</f>
        <v xml:space="preserve">2170637028 </v>
      </c>
      <c r="G1832" s="10" t="str">
        <f t="shared" si="53"/>
        <v>ON1</v>
      </c>
      <c r="H1832" s="10" t="s">
        <v>21</v>
      </c>
      <c r="I1832" s="10" t="s">
        <v>91</v>
      </c>
      <c r="J1832" s="10" t="str">
        <f>""</f>
        <v/>
      </c>
      <c r="K1832" s="10" t="str">
        <f>"PFES1162631191_0001"</f>
        <v>PFES1162631191_0001</v>
      </c>
      <c r="L1832" s="10">
        <v>1</v>
      </c>
      <c r="M1832" s="10">
        <v>1</v>
      </c>
    </row>
    <row r="1833" spans="1:13">
      <c r="A1833" s="8">
        <v>43273</v>
      </c>
      <c r="B1833" s="9">
        <v>0.56458333333333333</v>
      </c>
      <c r="C1833" s="10" t="str">
        <f>"FES1162631197"</f>
        <v>FES1162631197</v>
      </c>
      <c r="D1833" s="10" t="s">
        <v>19</v>
      </c>
      <c r="E1833" s="10" t="s">
        <v>902</v>
      </c>
      <c r="F1833" s="10" t="str">
        <f>"2170635955 "</f>
        <v xml:space="preserve">2170635955 </v>
      </c>
      <c r="G1833" s="10" t="str">
        <f t="shared" si="53"/>
        <v>ON1</v>
      </c>
      <c r="H1833" s="10" t="s">
        <v>21</v>
      </c>
      <c r="I1833" s="10" t="s">
        <v>903</v>
      </c>
      <c r="J1833" s="10" t="str">
        <f>""</f>
        <v/>
      </c>
      <c r="K1833" s="10" t="str">
        <f>"PFES1162631197_0001"</f>
        <v>PFES1162631197_0001</v>
      </c>
      <c r="L1833" s="10">
        <v>1</v>
      </c>
      <c r="M1833" s="10">
        <v>1</v>
      </c>
    </row>
    <row r="1834" spans="1:13">
      <c r="A1834" s="8">
        <v>43273</v>
      </c>
      <c r="B1834" s="9">
        <v>0.56458333333333333</v>
      </c>
      <c r="C1834" s="10" t="str">
        <f>"FES1162631186"</f>
        <v>FES1162631186</v>
      </c>
      <c r="D1834" s="10" t="s">
        <v>19</v>
      </c>
      <c r="E1834" s="10" t="s">
        <v>87</v>
      </c>
      <c r="F1834" s="10" t="str">
        <f>"217068096 "</f>
        <v xml:space="preserve">217068096 </v>
      </c>
      <c r="G1834" s="10" t="str">
        <f t="shared" si="53"/>
        <v>ON1</v>
      </c>
      <c r="H1834" s="10" t="s">
        <v>21</v>
      </c>
      <c r="I1834" s="10" t="s">
        <v>61</v>
      </c>
      <c r="J1834" s="10" t="str">
        <f>""</f>
        <v/>
      </c>
      <c r="K1834" s="10" t="str">
        <f>"PFES1162631186_0001"</f>
        <v>PFES1162631186_0001</v>
      </c>
      <c r="L1834" s="10">
        <v>1</v>
      </c>
      <c r="M1834" s="10">
        <v>1</v>
      </c>
    </row>
    <row r="1835" spans="1:13">
      <c r="A1835" s="8">
        <v>43273</v>
      </c>
      <c r="B1835" s="9">
        <v>0.56388888888888888</v>
      </c>
      <c r="C1835" s="10" t="str">
        <f>"FES1162631189"</f>
        <v>FES1162631189</v>
      </c>
      <c r="D1835" s="10" t="s">
        <v>19</v>
      </c>
      <c r="E1835" s="10" t="s">
        <v>319</v>
      </c>
      <c r="F1835" s="10" t="str">
        <f>"2170637990 "</f>
        <v xml:space="preserve">2170637990 </v>
      </c>
      <c r="G1835" s="10" t="str">
        <f t="shared" si="53"/>
        <v>ON1</v>
      </c>
      <c r="H1835" s="10" t="s">
        <v>21</v>
      </c>
      <c r="I1835" s="10" t="s">
        <v>106</v>
      </c>
      <c r="J1835" s="10" t="str">
        <f>""</f>
        <v/>
      </c>
      <c r="K1835" s="10" t="str">
        <f>"PFES1162631189_0001"</f>
        <v>PFES1162631189_0001</v>
      </c>
      <c r="L1835" s="10">
        <v>1</v>
      </c>
      <c r="M1835" s="10">
        <v>1</v>
      </c>
    </row>
    <row r="1836" spans="1:13">
      <c r="A1836" s="8">
        <v>43273</v>
      </c>
      <c r="B1836" s="9">
        <v>0.56111111111111112</v>
      </c>
      <c r="C1836" s="10" t="str">
        <f>"FES1162631200"</f>
        <v>FES1162631200</v>
      </c>
      <c r="D1836" s="10" t="s">
        <v>19</v>
      </c>
      <c r="E1836" s="10" t="s">
        <v>143</v>
      </c>
      <c r="F1836" s="10" t="str">
        <f>"2170638112 "</f>
        <v xml:space="preserve">2170638112 </v>
      </c>
      <c r="G1836" s="10" t="str">
        <f t="shared" si="53"/>
        <v>ON1</v>
      </c>
      <c r="H1836" s="10" t="s">
        <v>21</v>
      </c>
      <c r="I1836" s="10" t="s">
        <v>144</v>
      </c>
      <c r="J1836" s="10" t="str">
        <f>""</f>
        <v/>
      </c>
      <c r="K1836" s="10" t="str">
        <f>"PFES1162631200_0001"</f>
        <v>PFES1162631200_0001</v>
      </c>
      <c r="L1836" s="10">
        <v>1</v>
      </c>
      <c r="M1836" s="10">
        <v>2</v>
      </c>
    </row>
    <row r="1837" spans="1:13">
      <c r="A1837" s="8">
        <v>43273</v>
      </c>
      <c r="B1837" s="9">
        <v>0.55972222222222223</v>
      </c>
      <c r="C1837" s="10" t="str">
        <f>"FES1162631199"</f>
        <v>FES1162631199</v>
      </c>
      <c r="D1837" s="10" t="s">
        <v>19</v>
      </c>
      <c r="E1837" s="10" t="s">
        <v>95</v>
      </c>
      <c r="F1837" s="10" t="str">
        <f>"2170638111 "</f>
        <v xml:space="preserve">2170638111 </v>
      </c>
      <c r="G1837" s="10" t="str">
        <f t="shared" si="53"/>
        <v>ON1</v>
      </c>
      <c r="H1837" s="10" t="s">
        <v>21</v>
      </c>
      <c r="I1837" s="10" t="s">
        <v>96</v>
      </c>
      <c r="J1837" s="10" t="str">
        <f>""</f>
        <v/>
      </c>
      <c r="K1837" s="10" t="str">
        <f>"PFES1162631199_0001"</f>
        <v>PFES1162631199_0001</v>
      </c>
      <c r="L1837" s="10">
        <v>1</v>
      </c>
      <c r="M1837" s="10">
        <v>2</v>
      </c>
    </row>
    <row r="1838" spans="1:13">
      <c r="A1838" s="8">
        <v>43273</v>
      </c>
      <c r="B1838" s="9">
        <v>0.55625000000000002</v>
      </c>
      <c r="C1838" s="10" t="str">
        <f>"FES1162631076"</f>
        <v>FES1162631076</v>
      </c>
      <c r="D1838" s="10" t="s">
        <v>19</v>
      </c>
      <c r="E1838" s="10" t="s">
        <v>263</v>
      </c>
      <c r="F1838" s="10" t="str">
        <f>"2170636446 "</f>
        <v xml:space="preserve">2170636446 </v>
      </c>
      <c r="G1838" s="10" t="str">
        <f t="shared" si="53"/>
        <v>ON1</v>
      </c>
      <c r="H1838" s="10" t="s">
        <v>21</v>
      </c>
      <c r="I1838" s="10" t="s">
        <v>230</v>
      </c>
      <c r="J1838" s="10" t="str">
        <f>""</f>
        <v/>
      </c>
      <c r="K1838" s="10" t="str">
        <f>"PFES1162631076_0001"</f>
        <v>PFES1162631076_0001</v>
      </c>
      <c r="L1838" s="10">
        <v>1</v>
      </c>
      <c r="M1838" s="10">
        <v>4</v>
      </c>
    </row>
    <row r="1839" spans="1:13">
      <c r="A1839" s="8">
        <v>43273</v>
      </c>
      <c r="B1839" s="9">
        <v>0.55486111111111114</v>
      </c>
      <c r="C1839" s="10" t="str">
        <f>"FES1162631128"</f>
        <v>FES1162631128</v>
      </c>
      <c r="D1839" s="10" t="s">
        <v>19</v>
      </c>
      <c r="E1839" s="10" t="s">
        <v>67</v>
      </c>
      <c r="F1839" s="10" t="str">
        <f>"2170638021 "</f>
        <v xml:space="preserve">2170638021 </v>
      </c>
      <c r="G1839" s="10" t="str">
        <f t="shared" si="53"/>
        <v>ON1</v>
      </c>
      <c r="H1839" s="10" t="s">
        <v>21</v>
      </c>
      <c r="I1839" s="10" t="s">
        <v>46</v>
      </c>
      <c r="J1839" s="10" t="str">
        <f>""</f>
        <v/>
      </c>
      <c r="K1839" s="10" t="str">
        <f>"PFES1162631128_0001"</f>
        <v>PFES1162631128_0001</v>
      </c>
      <c r="L1839" s="10">
        <v>1</v>
      </c>
      <c r="M1839" s="10">
        <v>3</v>
      </c>
    </row>
    <row r="1840" spans="1:13">
      <c r="A1840" s="8">
        <v>43273</v>
      </c>
      <c r="B1840" s="9">
        <v>0.55347222222222225</v>
      </c>
      <c r="C1840" s="10" t="str">
        <f>"FES1162631142"</f>
        <v>FES1162631142</v>
      </c>
      <c r="D1840" s="10" t="s">
        <v>19</v>
      </c>
      <c r="E1840" s="10" t="s">
        <v>904</v>
      </c>
      <c r="F1840" s="10" t="str">
        <f>"2170638043 "</f>
        <v xml:space="preserve">2170638043 </v>
      </c>
      <c r="G1840" s="10" t="str">
        <f t="shared" si="53"/>
        <v>ON1</v>
      </c>
      <c r="H1840" s="10" t="s">
        <v>21</v>
      </c>
      <c r="I1840" s="10" t="s">
        <v>158</v>
      </c>
      <c r="J1840" s="10" t="str">
        <f>""</f>
        <v/>
      </c>
      <c r="K1840" s="10" t="str">
        <f>"PFES1162631142_0001"</f>
        <v>PFES1162631142_0001</v>
      </c>
      <c r="L1840" s="10">
        <v>1</v>
      </c>
      <c r="M1840" s="10">
        <v>9</v>
      </c>
    </row>
    <row r="1841" spans="1:13">
      <c r="A1841" s="8">
        <v>43273</v>
      </c>
      <c r="B1841" s="9">
        <v>0.55277777777777781</v>
      </c>
      <c r="C1841" s="10" t="str">
        <f>"FES1162631137"</f>
        <v>FES1162631137</v>
      </c>
      <c r="D1841" s="10" t="s">
        <v>19</v>
      </c>
      <c r="E1841" s="10" t="s">
        <v>905</v>
      </c>
      <c r="F1841" s="10" t="str">
        <f>"2170638035 "</f>
        <v xml:space="preserve">2170638035 </v>
      </c>
      <c r="G1841" s="10" t="str">
        <f t="shared" si="53"/>
        <v>ON1</v>
      </c>
      <c r="H1841" s="10" t="s">
        <v>21</v>
      </c>
      <c r="I1841" s="10" t="s">
        <v>887</v>
      </c>
      <c r="J1841" s="10" t="str">
        <f>""</f>
        <v/>
      </c>
      <c r="K1841" s="10" t="str">
        <f>"PFES1162631137_0001"</f>
        <v>PFES1162631137_0001</v>
      </c>
      <c r="L1841" s="10">
        <v>1</v>
      </c>
      <c r="M1841" s="10">
        <v>6</v>
      </c>
    </row>
    <row r="1842" spans="1:13">
      <c r="A1842" s="8">
        <v>43273</v>
      </c>
      <c r="B1842" s="9">
        <v>0.55069444444444449</v>
      </c>
      <c r="C1842" s="10" t="str">
        <f>"FES1162631187"</f>
        <v>FES1162631187</v>
      </c>
      <c r="D1842" s="10" t="s">
        <v>19</v>
      </c>
      <c r="E1842" s="10" t="s">
        <v>60</v>
      </c>
      <c r="F1842" s="10" t="str">
        <f>"2170638099 "</f>
        <v xml:space="preserve">2170638099 </v>
      </c>
      <c r="G1842" s="10" t="str">
        <f t="shared" si="53"/>
        <v>ON1</v>
      </c>
      <c r="H1842" s="10" t="s">
        <v>21</v>
      </c>
      <c r="I1842" s="10" t="s">
        <v>61</v>
      </c>
      <c r="J1842" s="10" t="str">
        <f>""</f>
        <v/>
      </c>
      <c r="K1842" s="10" t="str">
        <f>"PFES1162631187_0001"</f>
        <v>PFES1162631187_0001</v>
      </c>
      <c r="L1842" s="10">
        <v>1</v>
      </c>
      <c r="M1842" s="10">
        <v>11</v>
      </c>
    </row>
    <row r="1843" spans="1:13">
      <c r="A1843" s="8">
        <v>43273</v>
      </c>
      <c r="B1843" s="9">
        <v>0.5493055555555556</v>
      </c>
      <c r="C1843" s="10" t="str">
        <f>"FES1162631113"</f>
        <v>FES1162631113</v>
      </c>
      <c r="D1843" s="10" t="s">
        <v>19</v>
      </c>
      <c r="E1843" s="10" t="s">
        <v>906</v>
      </c>
      <c r="F1843" s="10" t="str">
        <f>"2170637597 "</f>
        <v xml:space="preserve">2170637597 </v>
      </c>
      <c r="G1843" s="10" t="str">
        <f t="shared" si="53"/>
        <v>ON1</v>
      </c>
      <c r="H1843" s="10" t="s">
        <v>21</v>
      </c>
      <c r="I1843" s="10" t="s">
        <v>104</v>
      </c>
      <c r="J1843" s="10" t="str">
        <f>""</f>
        <v/>
      </c>
      <c r="K1843" s="10" t="str">
        <f>"PFES1162631113_0001"</f>
        <v>PFES1162631113_0001</v>
      </c>
      <c r="L1843" s="10">
        <v>1</v>
      </c>
      <c r="M1843" s="10">
        <v>10</v>
      </c>
    </row>
    <row r="1844" spans="1:13">
      <c r="A1844" s="8">
        <v>43273</v>
      </c>
      <c r="B1844" s="9">
        <v>0.54791666666666672</v>
      </c>
      <c r="C1844" s="10" t="str">
        <f>"FES1162631112"</f>
        <v>FES1162631112</v>
      </c>
      <c r="D1844" s="10" t="s">
        <v>19</v>
      </c>
      <c r="E1844" s="10" t="s">
        <v>314</v>
      </c>
      <c r="F1844" s="10" t="str">
        <f>"2170635181 "</f>
        <v xml:space="preserve">2170635181 </v>
      </c>
      <c r="G1844" s="10" t="str">
        <f t="shared" si="53"/>
        <v>ON1</v>
      </c>
      <c r="H1844" s="10" t="s">
        <v>21</v>
      </c>
      <c r="I1844" s="10" t="s">
        <v>57</v>
      </c>
      <c r="J1844" s="10" t="str">
        <f>""</f>
        <v/>
      </c>
      <c r="K1844" s="10" t="str">
        <f>"PFES1162631112_0001"</f>
        <v>PFES1162631112_0001</v>
      </c>
      <c r="L1844" s="10">
        <v>1</v>
      </c>
      <c r="M1844" s="10">
        <v>10</v>
      </c>
    </row>
    <row r="1845" spans="1:13">
      <c r="A1845" s="8">
        <v>43273</v>
      </c>
      <c r="B1845" s="9">
        <v>0.5229166666666667</v>
      </c>
      <c r="C1845" s="10" t="str">
        <f>"FES1162631148"</f>
        <v>FES1162631148</v>
      </c>
      <c r="D1845" s="10" t="s">
        <v>19</v>
      </c>
      <c r="E1845" s="10" t="s">
        <v>58</v>
      </c>
      <c r="F1845" s="10" t="str">
        <f>"2170638054 "</f>
        <v xml:space="preserve">2170638054 </v>
      </c>
      <c r="G1845" s="10" t="str">
        <f t="shared" si="53"/>
        <v>ON1</v>
      </c>
      <c r="H1845" s="10" t="s">
        <v>21</v>
      </c>
      <c r="I1845" s="10" t="s">
        <v>59</v>
      </c>
      <c r="J1845" s="10" t="str">
        <f>""</f>
        <v/>
      </c>
      <c r="K1845" s="10" t="str">
        <f>"PFES1162631148_0001"</f>
        <v>PFES1162631148_0001</v>
      </c>
      <c r="L1845" s="10">
        <v>1</v>
      </c>
      <c r="M1845" s="10">
        <v>6</v>
      </c>
    </row>
    <row r="1846" spans="1:13">
      <c r="A1846" s="8">
        <v>43273</v>
      </c>
      <c r="B1846" s="9">
        <v>0.52222222222222225</v>
      </c>
      <c r="C1846" s="10" t="str">
        <f>"FES1162631158"</f>
        <v>FES1162631158</v>
      </c>
      <c r="D1846" s="10" t="s">
        <v>19</v>
      </c>
      <c r="E1846" s="10" t="s">
        <v>379</v>
      </c>
      <c r="F1846" s="10" t="str">
        <f>"2170638072 "</f>
        <v xml:space="preserve">2170638072 </v>
      </c>
      <c r="G1846" s="10" t="str">
        <f t="shared" si="53"/>
        <v>ON1</v>
      </c>
      <c r="H1846" s="10" t="s">
        <v>21</v>
      </c>
      <c r="I1846" s="10" t="s">
        <v>589</v>
      </c>
      <c r="J1846" s="10" t="str">
        <f>""</f>
        <v/>
      </c>
      <c r="K1846" s="10" t="str">
        <f>"PFES1162631158_0001"</f>
        <v>PFES1162631158_0001</v>
      </c>
      <c r="L1846" s="10">
        <v>1</v>
      </c>
      <c r="M1846" s="10">
        <v>13</v>
      </c>
    </row>
    <row r="1847" spans="1:13">
      <c r="A1847" s="8">
        <v>43273</v>
      </c>
      <c r="B1847" s="9">
        <v>0.51944444444444449</v>
      </c>
      <c r="C1847" s="10" t="str">
        <f>"FES1162631123"</f>
        <v>FES1162631123</v>
      </c>
      <c r="D1847" s="10" t="s">
        <v>19</v>
      </c>
      <c r="E1847" s="10" t="s">
        <v>327</v>
      </c>
      <c r="F1847" s="10" t="str">
        <f>"2170638012 "</f>
        <v xml:space="preserve">2170638012 </v>
      </c>
      <c r="G1847" s="10" t="str">
        <f>"DBC"</f>
        <v>DBC</v>
      </c>
      <c r="H1847" s="10" t="s">
        <v>21</v>
      </c>
      <c r="I1847" s="10" t="s">
        <v>69</v>
      </c>
      <c r="J1847" s="10" t="str">
        <f>"INDUCTION"</f>
        <v>INDUCTION</v>
      </c>
      <c r="K1847" s="10" t="str">
        <f>"PFES1162631123_0001"</f>
        <v>PFES1162631123_0001</v>
      </c>
      <c r="L1847" s="10">
        <v>1</v>
      </c>
      <c r="M1847" s="10">
        <v>3</v>
      </c>
    </row>
    <row r="1848" spans="1:13">
      <c r="A1848" s="8">
        <v>43273</v>
      </c>
      <c r="B1848" s="9">
        <v>0.51874999999999993</v>
      </c>
      <c r="C1848" s="10" t="str">
        <f>"FES1162631179"</f>
        <v>FES1162631179</v>
      </c>
      <c r="D1848" s="10" t="s">
        <v>19</v>
      </c>
      <c r="E1848" s="10" t="s">
        <v>714</v>
      </c>
      <c r="F1848" s="10" t="str">
        <f>"2170638088 "</f>
        <v xml:space="preserve">2170638088 </v>
      </c>
      <c r="G1848" s="10" t="str">
        <f t="shared" ref="G1848:G1911" si="54">"ON1"</f>
        <v>ON1</v>
      </c>
      <c r="H1848" s="10" t="s">
        <v>21</v>
      </c>
      <c r="I1848" s="10" t="s">
        <v>441</v>
      </c>
      <c r="J1848" s="10" t="str">
        <f>""</f>
        <v/>
      </c>
      <c r="K1848" s="10" t="str">
        <f>"PFES1162631179_0001"</f>
        <v>PFES1162631179_0001</v>
      </c>
      <c r="L1848" s="10">
        <v>1</v>
      </c>
      <c r="M1848" s="10">
        <v>1</v>
      </c>
    </row>
    <row r="1849" spans="1:13">
      <c r="A1849" s="8">
        <v>43273</v>
      </c>
      <c r="B1849" s="9">
        <v>0.51874999999999993</v>
      </c>
      <c r="C1849" s="10" t="str">
        <f>"FES1162631126"</f>
        <v>FES1162631126</v>
      </c>
      <c r="D1849" s="10" t="s">
        <v>19</v>
      </c>
      <c r="E1849" s="10" t="s">
        <v>907</v>
      </c>
      <c r="F1849" s="10" t="str">
        <f>"2170638019 "</f>
        <v xml:space="preserve">2170638019 </v>
      </c>
      <c r="G1849" s="10" t="str">
        <f t="shared" si="54"/>
        <v>ON1</v>
      </c>
      <c r="H1849" s="10" t="s">
        <v>21</v>
      </c>
      <c r="I1849" s="10" t="s">
        <v>908</v>
      </c>
      <c r="J1849" s="10" t="str">
        <f>""</f>
        <v/>
      </c>
      <c r="K1849" s="10" t="str">
        <f>"PFES1162631126_0001"</f>
        <v>PFES1162631126_0001</v>
      </c>
      <c r="L1849" s="10">
        <v>1</v>
      </c>
      <c r="M1849" s="10">
        <v>2</v>
      </c>
    </row>
    <row r="1850" spans="1:13">
      <c r="A1850" s="8">
        <v>43273</v>
      </c>
      <c r="B1850" s="9">
        <v>0.51736111111111105</v>
      </c>
      <c r="C1850" s="10" t="str">
        <f>"FES1162631073"</f>
        <v>FES1162631073</v>
      </c>
      <c r="D1850" s="10" t="s">
        <v>19</v>
      </c>
      <c r="E1850" s="10" t="s">
        <v>488</v>
      </c>
      <c r="F1850" s="10" t="str">
        <f>"2170636386 "</f>
        <v xml:space="preserve">2170636386 </v>
      </c>
      <c r="G1850" s="10" t="str">
        <f t="shared" si="54"/>
        <v>ON1</v>
      </c>
      <c r="H1850" s="10" t="s">
        <v>21</v>
      </c>
      <c r="I1850" s="10" t="s">
        <v>207</v>
      </c>
      <c r="J1850" s="10" t="str">
        <f>""</f>
        <v/>
      </c>
      <c r="K1850" s="10" t="str">
        <f>"PFES1162631073_0001"</f>
        <v>PFES1162631073_0001</v>
      </c>
      <c r="L1850" s="10">
        <v>1</v>
      </c>
      <c r="M1850" s="10">
        <v>2</v>
      </c>
    </row>
    <row r="1851" spans="1:13">
      <c r="A1851" s="8">
        <v>43273</v>
      </c>
      <c r="B1851" s="9">
        <v>0.51666666666666672</v>
      </c>
      <c r="C1851" s="10" t="str">
        <f>"FES1162631129"</f>
        <v>FES1162631129</v>
      </c>
      <c r="D1851" s="10" t="s">
        <v>19</v>
      </c>
      <c r="E1851" s="10" t="s">
        <v>388</v>
      </c>
      <c r="F1851" s="10" t="str">
        <f>"2170638023 "</f>
        <v xml:space="preserve">2170638023 </v>
      </c>
      <c r="G1851" s="10" t="str">
        <f t="shared" si="54"/>
        <v>ON1</v>
      </c>
      <c r="H1851" s="10" t="s">
        <v>21</v>
      </c>
      <c r="I1851" s="10" t="s">
        <v>389</v>
      </c>
      <c r="J1851" s="10" t="str">
        <f>""</f>
        <v/>
      </c>
      <c r="K1851" s="10" t="str">
        <f>"PFES1162631129_0001"</f>
        <v>PFES1162631129_0001</v>
      </c>
      <c r="L1851" s="10">
        <v>1</v>
      </c>
      <c r="M1851" s="10">
        <v>5</v>
      </c>
    </row>
    <row r="1852" spans="1:13">
      <c r="A1852" s="8">
        <v>43273</v>
      </c>
      <c r="B1852" s="9">
        <v>0.51597222222222217</v>
      </c>
      <c r="C1852" s="10" t="str">
        <f>"FES1162631102"</f>
        <v>FES1162631102</v>
      </c>
      <c r="D1852" s="10" t="s">
        <v>19</v>
      </c>
      <c r="E1852" s="10" t="s">
        <v>811</v>
      </c>
      <c r="F1852" s="10" t="str">
        <f>"2170637989 "</f>
        <v xml:space="preserve">2170637989 </v>
      </c>
      <c r="G1852" s="10" t="str">
        <f t="shared" si="54"/>
        <v>ON1</v>
      </c>
      <c r="H1852" s="10" t="s">
        <v>21</v>
      </c>
      <c r="I1852" s="10" t="s">
        <v>222</v>
      </c>
      <c r="J1852" s="10" t="str">
        <f>""</f>
        <v/>
      </c>
      <c r="K1852" s="10" t="str">
        <f>"PFES1162631102_0001"</f>
        <v>PFES1162631102_0001</v>
      </c>
      <c r="L1852" s="10">
        <v>1</v>
      </c>
      <c r="M1852" s="10">
        <v>8</v>
      </c>
    </row>
    <row r="1853" spans="1:13">
      <c r="A1853" s="8">
        <v>43273</v>
      </c>
      <c r="B1853" s="9">
        <v>0.51597222222222217</v>
      </c>
      <c r="C1853" s="10" t="str">
        <f>"FES1162631169"</f>
        <v>FES1162631169</v>
      </c>
      <c r="D1853" s="10" t="s">
        <v>19</v>
      </c>
      <c r="E1853" s="10" t="s">
        <v>909</v>
      </c>
      <c r="F1853" s="10" t="str">
        <f>"2170638077 "</f>
        <v xml:space="preserve">2170638077 </v>
      </c>
      <c r="G1853" s="10" t="str">
        <f t="shared" si="54"/>
        <v>ON1</v>
      </c>
      <c r="H1853" s="10" t="s">
        <v>21</v>
      </c>
      <c r="I1853" s="10" t="s">
        <v>66</v>
      </c>
      <c r="J1853" s="10" t="str">
        <f>""</f>
        <v/>
      </c>
      <c r="K1853" s="10" t="str">
        <f>"PFES1162631169_0001"</f>
        <v>PFES1162631169_0001</v>
      </c>
      <c r="L1853" s="10">
        <v>1</v>
      </c>
      <c r="M1853" s="10">
        <v>1</v>
      </c>
    </row>
    <row r="1854" spans="1:13">
      <c r="A1854" s="8">
        <v>43273</v>
      </c>
      <c r="B1854" s="9">
        <v>0.51527777777777783</v>
      </c>
      <c r="C1854" s="10" t="str">
        <f>"FES1162631176"</f>
        <v>FES1162631176</v>
      </c>
      <c r="D1854" s="10" t="s">
        <v>19</v>
      </c>
      <c r="E1854" s="10" t="s">
        <v>352</v>
      </c>
      <c r="F1854" s="10" t="str">
        <f>"217063805 "</f>
        <v xml:space="preserve">217063805 </v>
      </c>
      <c r="G1854" s="10" t="str">
        <f t="shared" si="54"/>
        <v>ON1</v>
      </c>
      <c r="H1854" s="10" t="s">
        <v>21</v>
      </c>
      <c r="I1854" s="10" t="s">
        <v>353</v>
      </c>
      <c r="J1854" s="10" t="str">
        <f>""</f>
        <v/>
      </c>
      <c r="K1854" s="10" t="str">
        <f>"PFES1162631176_0001"</f>
        <v>PFES1162631176_0001</v>
      </c>
      <c r="L1854" s="10">
        <v>1</v>
      </c>
      <c r="M1854" s="10">
        <v>1</v>
      </c>
    </row>
    <row r="1855" spans="1:13">
      <c r="A1855" s="8">
        <v>43273</v>
      </c>
      <c r="B1855" s="9">
        <v>0.51527777777777783</v>
      </c>
      <c r="C1855" s="10" t="str">
        <f>"FES1162631160"</f>
        <v>FES1162631160</v>
      </c>
      <c r="D1855" s="10" t="s">
        <v>19</v>
      </c>
      <c r="E1855" s="10" t="s">
        <v>286</v>
      </c>
      <c r="F1855" s="10" t="str">
        <f>"2170638075 "</f>
        <v xml:space="preserve">2170638075 </v>
      </c>
      <c r="G1855" s="10" t="str">
        <f t="shared" si="54"/>
        <v>ON1</v>
      </c>
      <c r="H1855" s="10" t="s">
        <v>21</v>
      </c>
      <c r="I1855" s="10" t="s">
        <v>79</v>
      </c>
      <c r="J1855" s="10" t="str">
        <f>""</f>
        <v/>
      </c>
      <c r="K1855" s="10" t="str">
        <f>"PFES1162631160_0001"</f>
        <v>PFES1162631160_0001</v>
      </c>
      <c r="L1855" s="10">
        <v>1</v>
      </c>
      <c r="M1855" s="10">
        <v>1</v>
      </c>
    </row>
    <row r="1856" spans="1:13">
      <c r="A1856" s="8">
        <v>43273</v>
      </c>
      <c r="B1856" s="9">
        <v>0.51458333333333328</v>
      </c>
      <c r="C1856" s="10" t="str">
        <f>"FES1162631100"</f>
        <v>FES1162631100</v>
      </c>
      <c r="D1856" s="10" t="s">
        <v>19</v>
      </c>
      <c r="E1856" s="10" t="s">
        <v>910</v>
      </c>
      <c r="F1856" s="10" t="str">
        <f>"2170637992 "</f>
        <v xml:space="preserve">2170637992 </v>
      </c>
      <c r="G1856" s="10" t="str">
        <f t="shared" si="54"/>
        <v>ON1</v>
      </c>
      <c r="H1856" s="10" t="s">
        <v>21</v>
      </c>
      <c r="I1856" s="10" t="s">
        <v>911</v>
      </c>
      <c r="J1856" s="10" t="str">
        <f>""</f>
        <v/>
      </c>
      <c r="K1856" s="10" t="str">
        <f>"PFES1162631100_0001"</f>
        <v>PFES1162631100_0001</v>
      </c>
      <c r="L1856" s="10">
        <v>1</v>
      </c>
      <c r="M1856" s="10">
        <v>8</v>
      </c>
    </row>
    <row r="1857" spans="1:13">
      <c r="A1857" s="8">
        <v>43273</v>
      </c>
      <c r="B1857" s="9">
        <v>0.51458333333333328</v>
      </c>
      <c r="C1857" s="10" t="str">
        <f>"FES1162631163"</f>
        <v>FES1162631163</v>
      </c>
      <c r="D1857" s="10" t="s">
        <v>19</v>
      </c>
      <c r="E1857" s="10" t="s">
        <v>536</v>
      </c>
      <c r="F1857" s="10" t="str">
        <f>"2170636129 "</f>
        <v xml:space="preserve">2170636129 </v>
      </c>
      <c r="G1857" s="10" t="str">
        <f t="shared" si="54"/>
        <v>ON1</v>
      </c>
      <c r="H1857" s="10" t="s">
        <v>21</v>
      </c>
      <c r="I1857" s="10" t="s">
        <v>487</v>
      </c>
      <c r="J1857" s="10" t="str">
        <f>""</f>
        <v/>
      </c>
      <c r="K1857" s="10" t="str">
        <f>"PFES1162631163_0001"</f>
        <v>PFES1162631163_0001</v>
      </c>
      <c r="L1857" s="10">
        <v>1</v>
      </c>
      <c r="M1857" s="10">
        <v>1</v>
      </c>
    </row>
    <row r="1858" spans="1:13">
      <c r="A1858" s="8">
        <v>43273</v>
      </c>
      <c r="B1858" s="9">
        <v>0.51388888888888895</v>
      </c>
      <c r="C1858" s="10" t="str">
        <f>"FES1162631181"</f>
        <v>FES1162631181</v>
      </c>
      <c r="D1858" s="10" t="s">
        <v>19</v>
      </c>
      <c r="E1858" s="10" t="s">
        <v>912</v>
      </c>
      <c r="F1858" s="10" t="str">
        <f>"2170638091 "</f>
        <v xml:space="preserve">2170638091 </v>
      </c>
      <c r="G1858" s="10" t="str">
        <f t="shared" si="54"/>
        <v>ON1</v>
      </c>
      <c r="H1858" s="10" t="s">
        <v>21</v>
      </c>
      <c r="I1858" s="10" t="s">
        <v>913</v>
      </c>
      <c r="J1858" s="10" t="str">
        <f>""</f>
        <v/>
      </c>
      <c r="K1858" s="10" t="str">
        <f>"PFES1162631181_0001"</f>
        <v>PFES1162631181_0001</v>
      </c>
      <c r="L1858" s="10">
        <v>1</v>
      </c>
      <c r="M1858" s="10">
        <v>1</v>
      </c>
    </row>
    <row r="1859" spans="1:13">
      <c r="A1859" s="8">
        <v>43273</v>
      </c>
      <c r="B1859" s="9">
        <v>0.5131944444444444</v>
      </c>
      <c r="C1859" s="10" t="str">
        <f>"FES1162631171"</f>
        <v>FES1162631171</v>
      </c>
      <c r="D1859" s="10" t="s">
        <v>19</v>
      </c>
      <c r="E1859" s="10" t="s">
        <v>914</v>
      </c>
      <c r="F1859" s="10" t="str">
        <f>"2170638080 "</f>
        <v xml:space="preserve">2170638080 </v>
      </c>
      <c r="G1859" s="10" t="str">
        <f t="shared" si="54"/>
        <v>ON1</v>
      </c>
      <c r="H1859" s="10" t="s">
        <v>21</v>
      </c>
      <c r="I1859" s="10" t="s">
        <v>200</v>
      </c>
      <c r="J1859" s="10" t="str">
        <f>""</f>
        <v/>
      </c>
      <c r="K1859" s="10" t="str">
        <f>"PFES1162631171_0001"</f>
        <v>PFES1162631171_0001</v>
      </c>
      <c r="L1859" s="10">
        <v>1</v>
      </c>
      <c r="M1859" s="10">
        <v>1</v>
      </c>
    </row>
    <row r="1860" spans="1:13">
      <c r="A1860" s="8">
        <v>43273</v>
      </c>
      <c r="B1860" s="9">
        <v>0.51180555555555551</v>
      </c>
      <c r="C1860" s="10" t="str">
        <f>"FES1162631125"</f>
        <v>FES1162631125</v>
      </c>
      <c r="D1860" s="10" t="s">
        <v>19</v>
      </c>
      <c r="E1860" s="10" t="s">
        <v>67</v>
      </c>
      <c r="F1860" s="10" t="str">
        <f>"2170638018 "</f>
        <v xml:space="preserve">2170638018 </v>
      </c>
      <c r="G1860" s="10" t="str">
        <f t="shared" si="54"/>
        <v>ON1</v>
      </c>
      <c r="H1860" s="10" t="s">
        <v>21</v>
      </c>
      <c r="I1860" s="10" t="s">
        <v>46</v>
      </c>
      <c r="J1860" s="10" t="str">
        <f>""</f>
        <v/>
      </c>
      <c r="K1860" s="10" t="str">
        <f>"PFES1162631125_0001"</f>
        <v>PFES1162631125_0001</v>
      </c>
      <c r="L1860" s="10">
        <v>1</v>
      </c>
      <c r="M1860" s="10">
        <v>1</v>
      </c>
    </row>
    <row r="1861" spans="1:13">
      <c r="A1861" s="8">
        <v>43273</v>
      </c>
      <c r="B1861" s="9">
        <v>0.51111111111111118</v>
      </c>
      <c r="C1861" s="10" t="str">
        <f>"FES1162631149"</f>
        <v>FES1162631149</v>
      </c>
      <c r="D1861" s="10" t="s">
        <v>19</v>
      </c>
      <c r="E1861" s="10" t="s">
        <v>766</v>
      </c>
      <c r="F1861" s="10" t="str">
        <f>"2170638056 "</f>
        <v xml:space="preserve">2170638056 </v>
      </c>
      <c r="G1861" s="10" t="str">
        <f t="shared" si="54"/>
        <v>ON1</v>
      </c>
      <c r="H1861" s="10" t="s">
        <v>21</v>
      </c>
      <c r="I1861" s="10" t="s">
        <v>767</v>
      </c>
      <c r="J1861" s="10" t="str">
        <f>""</f>
        <v/>
      </c>
      <c r="K1861" s="10" t="str">
        <f>"PFES1162631149_0001"</f>
        <v>PFES1162631149_0001</v>
      </c>
      <c r="L1861" s="10">
        <v>1</v>
      </c>
      <c r="M1861" s="10">
        <v>1</v>
      </c>
    </row>
    <row r="1862" spans="1:13">
      <c r="A1862" s="8">
        <v>43273</v>
      </c>
      <c r="B1862" s="9">
        <v>0.51041666666666663</v>
      </c>
      <c r="C1862" s="10" t="str">
        <f>"FES1162631064"</f>
        <v>FES1162631064</v>
      </c>
      <c r="D1862" s="10" t="s">
        <v>19</v>
      </c>
      <c r="E1862" s="10" t="s">
        <v>339</v>
      </c>
      <c r="F1862" s="10" t="str">
        <f>"2170633771 "</f>
        <v xml:space="preserve">2170633771 </v>
      </c>
      <c r="G1862" s="10" t="str">
        <f t="shared" si="54"/>
        <v>ON1</v>
      </c>
      <c r="H1862" s="10" t="s">
        <v>21</v>
      </c>
      <c r="I1862" s="10" t="s">
        <v>230</v>
      </c>
      <c r="J1862" s="10" t="str">
        <f>""</f>
        <v/>
      </c>
      <c r="K1862" s="10" t="str">
        <f>"PFES1162631064_0001"</f>
        <v>PFES1162631064_0001</v>
      </c>
      <c r="L1862" s="10">
        <v>1</v>
      </c>
      <c r="M1862" s="10">
        <v>6</v>
      </c>
    </row>
    <row r="1863" spans="1:13">
      <c r="A1863" s="8">
        <v>43273</v>
      </c>
      <c r="B1863" s="9">
        <v>0.51041666666666663</v>
      </c>
      <c r="C1863" s="10" t="str">
        <f>"FES1162631162"</f>
        <v>FES1162631162</v>
      </c>
      <c r="D1863" s="10" t="s">
        <v>19</v>
      </c>
      <c r="E1863" s="10" t="s">
        <v>884</v>
      </c>
      <c r="F1863" s="10" t="str">
        <f>"2170635383 "</f>
        <v xml:space="preserve">2170635383 </v>
      </c>
      <c r="G1863" s="10" t="str">
        <f t="shared" si="54"/>
        <v>ON1</v>
      </c>
      <c r="H1863" s="10" t="s">
        <v>21</v>
      </c>
      <c r="I1863" s="10" t="s">
        <v>30</v>
      </c>
      <c r="J1863" s="10" t="str">
        <f>""</f>
        <v/>
      </c>
      <c r="K1863" s="10" t="str">
        <f>"PFES1162631162_0001"</f>
        <v>PFES1162631162_0001</v>
      </c>
      <c r="L1863" s="10">
        <v>1</v>
      </c>
      <c r="M1863" s="10">
        <v>1</v>
      </c>
    </row>
    <row r="1864" spans="1:13">
      <c r="A1864" s="8">
        <v>43273</v>
      </c>
      <c r="B1864" s="9">
        <v>0.50972222222222219</v>
      </c>
      <c r="C1864" s="10" t="str">
        <f>"FES1162631065"</f>
        <v>FES1162631065</v>
      </c>
      <c r="D1864" s="10" t="s">
        <v>19</v>
      </c>
      <c r="E1864" s="10" t="s">
        <v>221</v>
      </c>
      <c r="F1864" s="10" t="str">
        <f>"217063251 "</f>
        <v xml:space="preserve">217063251 </v>
      </c>
      <c r="G1864" s="10" t="str">
        <f t="shared" si="54"/>
        <v>ON1</v>
      </c>
      <c r="H1864" s="10" t="s">
        <v>21</v>
      </c>
      <c r="I1864" s="10" t="s">
        <v>222</v>
      </c>
      <c r="J1864" s="10" t="str">
        <f>""</f>
        <v/>
      </c>
      <c r="K1864" s="10" t="str">
        <f>"PFES1162631065_0001"</f>
        <v>PFES1162631065_0001</v>
      </c>
      <c r="L1864" s="10">
        <v>1</v>
      </c>
      <c r="M1864" s="10">
        <v>1</v>
      </c>
    </row>
    <row r="1865" spans="1:13">
      <c r="A1865" s="8">
        <v>43273</v>
      </c>
      <c r="B1865" s="9">
        <v>0.50972222222222219</v>
      </c>
      <c r="C1865" s="10" t="str">
        <f>"FES1162631089"</f>
        <v>FES1162631089</v>
      </c>
      <c r="D1865" s="10" t="s">
        <v>19</v>
      </c>
      <c r="E1865" s="10" t="s">
        <v>29</v>
      </c>
      <c r="F1865" s="10" t="str">
        <f>"2170637624 "</f>
        <v xml:space="preserve">2170637624 </v>
      </c>
      <c r="G1865" s="10" t="str">
        <f t="shared" si="54"/>
        <v>ON1</v>
      </c>
      <c r="H1865" s="10" t="s">
        <v>21</v>
      </c>
      <c r="I1865" s="10" t="s">
        <v>30</v>
      </c>
      <c r="J1865" s="10" t="str">
        <f>""</f>
        <v/>
      </c>
      <c r="K1865" s="10" t="str">
        <f>"PFES1162631089_0001"</f>
        <v>PFES1162631089_0001</v>
      </c>
      <c r="L1865" s="10">
        <v>1</v>
      </c>
      <c r="M1865" s="10">
        <v>3</v>
      </c>
    </row>
    <row r="1866" spans="1:13">
      <c r="A1866" s="8">
        <v>43273</v>
      </c>
      <c r="B1866" s="9">
        <v>0.50972222222222219</v>
      </c>
      <c r="C1866" s="10" t="str">
        <f>"FES1162631066"</f>
        <v>FES1162631066</v>
      </c>
      <c r="D1866" s="10" t="s">
        <v>19</v>
      </c>
      <c r="E1866" s="10" t="s">
        <v>915</v>
      </c>
      <c r="F1866" s="10" t="str">
        <f>"2170635542 "</f>
        <v xml:space="preserve">2170635542 </v>
      </c>
      <c r="G1866" s="10" t="str">
        <f t="shared" si="54"/>
        <v>ON1</v>
      </c>
      <c r="H1866" s="10" t="s">
        <v>21</v>
      </c>
      <c r="I1866" s="10" t="s">
        <v>916</v>
      </c>
      <c r="J1866" s="10" t="str">
        <f>""</f>
        <v/>
      </c>
      <c r="K1866" s="10" t="str">
        <f>"PFES1162631066_0001"</f>
        <v>PFES1162631066_0001</v>
      </c>
      <c r="L1866" s="10">
        <v>1</v>
      </c>
      <c r="M1866" s="10">
        <v>1</v>
      </c>
    </row>
    <row r="1867" spans="1:13">
      <c r="A1867" s="8">
        <v>43273</v>
      </c>
      <c r="B1867" s="9">
        <v>0.50902777777777775</v>
      </c>
      <c r="C1867" s="10" t="str">
        <f>"FES1162631077"</f>
        <v>FES1162631077</v>
      </c>
      <c r="D1867" s="10" t="s">
        <v>19</v>
      </c>
      <c r="E1867" s="10" t="s">
        <v>29</v>
      </c>
      <c r="F1867" s="10" t="str">
        <f>"2170636542 "</f>
        <v xml:space="preserve">2170636542 </v>
      </c>
      <c r="G1867" s="10" t="str">
        <f t="shared" si="54"/>
        <v>ON1</v>
      </c>
      <c r="H1867" s="10" t="s">
        <v>21</v>
      </c>
      <c r="I1867" s="10" t="s">
        <v>30</v>
      </c>
      <c r="J1867" s="10" t="str">
        <f>""</f>
        <v/>
      </c>
      <c r="K1867" s="10" t="str">
        <f>"PFES1162631077_0001"</f>
        <v>PFES1162631077_0001</v>
      </c>
      <c r="L1867" s="10">
        <v>1</v>
      </c>
      <c r="M1867" s="10">
        <v>2</v>
      </c>
    </row>
    <row r="1868" spans="1:13">
      <c r="A1868" s="8">
        <v>43273</v>
      </c>
      <c r="B1868" s="9">
        <v>0.50763888888888886</v>
      </c>
      <c r="C1868" s="10" t="str">
        <f>"FES1162631182"</f>
        <v>FES1162631182</v>
      </c>
      <c r="D1868" s="10" t="s">
        <v>19</v>
      </c>
      <c r="E1868" s="10" t="s">
        <v>917</v>
      </c>
      <c r="F1868" s="10" t="str">
        <f>"2170638092 "</f>
        <v xml:space="preserve">2170638092 </v>
      </c>
      <c r="G1868" s="10" t="str">
        <f t="shared" si="54"/>
        <v>ON1</v>
      </c>
      <c r="H1868" s="10" t="s">
        <v>21</v>
      </c>
      <c r="I1868" s="10" t="s">
        <v>382</v>
      </c>
      <c r="J1868" s="10" t="str">
        <f>""</f>
        <v/>
      </c>
      <c r="K1868" s="10" t="str">
        <f>"PFES1162631182_0001"</f>
        <v>PFES1162631182_0001</v>
      </c>
      <c r="L1868" s="10">
        <v>1</v>
      </c>
      <c r="M1868" s="10">
        <v>4</v>
      </c>
    </row>
    <row r="1869" spans="1:13">
      <c r="A1869" s="8">
        <v>43273</v>
      </c>
      <c r="B1869" s="9">
        <v>0.50694444444444442</v>
      </c>
      <c r="C1869" s="10" t="str">
        <f>"FES1162631097"</f>
        <v>FES1162631097</v>
      </c>
      <c r="D1869" s="10" t="s">
        <v>19</v>
      </c>
      <c r="E1869" s="10" t="s">
        <v>117</v>
      </c>
      <c r="F1869" s="10" t="str">
        <f>"2170637980 "</f>
        <v xml:space="preserve">2170637980 </v>
      </c>
      <c r="G1869" s="10" t="str">
        <f t="shared" si="54"/>
        <v>ON1</v>
      </c>
      <c r="H1869" s="10" t="s">
        <v>21</v>
      </c>
      <c r="I1869" s="10" t="s">
        <v>118</v>
      </c>
      <c r="J1869" s="10" t="str">
        <f>""</f>
        <v/>
      </c>
      <c r="K1869" s="10" t="str">
        <f>"PFES1162631097_0001"</f>
        <v>PFES1162631097_0001</v>
      </c>
      <c r="L1869" s="10">
        <v>1</v>
      </c>
      <c r="M1869" s="10">
        <v>1</v>
      </c>
    </row>
    <row r="1870" spans="1:13">
      <c r="A1870" s="8">
        <v>43273</v>
      </c>
      <c r="B1870" s="9">
        <v>0.50694444444444442</v>
      </c>
      <c r="C1870" s="10" t="str">
        <f>"FES1162631103"</f>
        <v>FES1162631103</v>
      </c>
      <c r="D1870" s="10" t="s">
        <v>19</v>
      </c>
      <c r="E1870" s="10" t="s">
        <v>278</v>
      </c>
      <c r="F1870" s="10" t="str">
        <f>"2170637991 "</f>
        <v xml:space="preserve">2170637991 </v>
      </c>
      <c r="G1870" s="10" t="str">
        <f t="shared" si="54"/>
        <v>ON1</v>
      </c>
      <c r="H1870" s="10" t="s">
        <v>21</v>
      </c>
      <c r="I1870" s="10" t="s">
        <v>279</v>
      </c>
      <c r="J1870" s="10" t="str">
        <f>""</f>
        <v/>
      </c>
      <c r="K1870" s="10" t="str">
        <f>"PFES1162631103_0001"</f>
        <v>PFES1162631103_0001</v>
      </c>
      <c r="L1870" s="10">
        <v>1</v>
      </c>
      <c r="M1870" s="10">
        <v>1</v>
      </c>
    </row>
    <row r="1871" spans="1:13">
      <c r="A1871" s="8">
        <v>43273</v>
      </c>
      <c r="B1871" s="9">
        <v>0.50624999999999998</v>
      </c>
      <c r="C1871" s="10" t="str">
        <f>"FES1162631104"</f>
        <v>FES1162631104</v>
      </c>
      <c r="D1871" s="10" t="s">
        <v>19</v>
      </c>
      <c r="E1871" s="10" t="s">
        <v>811</v>
      </c>
      <c r="F1871" s="10" t="str">
        <f>"2170637993 "</f>
        <v xml:space="preserve">2170637993 </v>
      </c>
      <c r="G1871" s="10" t="str">
        <f t="shared" si="54"/>
        <v>ON1</v>
      </c>
      <c r="H1871" s="10" t="s">
        <v>21</v>
      </c>
      <c r="I1871" s="10" t="s">
        <v>222</v>
      </c>
      <c r="J1871" s="10" t="str">
        <f>""</f>
        <v/>
      </c>
      <c r="K1871" s="10" t="str">
        <f>"PFES1162631104_0001"</f>
        <v>PFES1162631104_0001</v>
      </c>
      <c r="L1871" s="10">
        <v>1</v>
      </c>
      <c r="M1871" s="10">
        <v>1</v>
      </c>
    </row>
    <row r="1872" spans="1:13">
      <c r="A1872" s="8">
        <v>43273</v>
      </c>
      <c r="B1872" s="9">
        <v>0.49513888888888885</v>
      </c>
      <c r="C1872" s="10" t="str">
        <f>"FES1162631069"</f>
        <v>FES1162631069</v>
      </c>
      <c r="D1872" s="10" t="s">
        <v>19</v>
      </c>
      <c r="E1872" s="10" t="s">
        <v>67</v>
      </c>
      <c r="F1872" s="10" t="str">
        <f>"2170636082 "</f>
        <v xml:space="preserve">2170636082 </v>
      </c>
      <c r="G1872" s="10" t="str">
        <f t="shared" si="54"/>
        <v>ON1</v>
      </c>
      <c r="H1872" s="10" t="s">
        <v>21</v>
      </c>
      <c r="I1872" s="10" t="s">
        <v>238</v>
      </c>
      <c r="J1872" s="10" t="str">
        <f>""</f>
        <v/>
      </c>
      <c r="K1872" s="10" t="str">
        <f>"PFES1162631069_0001"</f>
        <v>PFES1162631069_0001</v>
      </c>
      <c r="L1872" s="10">
        <v>1</v>
      </c>
      <c r="M1872" s="10">
        <v>1</v>
      </c>
    </row>
    <row r="1873" spans="1:13">
      <c r="A1873" s="8">
        <v>43273</v>
      </c>
      <c r="B1873" s="9">
        <v>0.49513888888888885</v>
      </c>
      <c r="C1873" s="10" t="str">
        <f>"FES1162631139"</f>
        <v>FES1162631139</v>
      </c>
      <c r="D1873" s="10" t="s">
        <v>19</v>
      </c>
      <c r="E1873" s="10" t="s">
        <v>54</v>
      </c>
      <c r="F1873" s="10" t="str">
        <f>"2170638038 "</f>
        <v xml:space="preserve">2170638038 </v>
      </c>
      <c r="G1873" s="10" t="str">
        <f t="shared" si="54"/>
        <v>ON1</v>
      </c>
      <c r="H1873" s="10" t="s">
        <v>21</v>
      </c>
      <c r="I1873" s="10" t="s">
        <v>55</v>
      </c>
      <c r="J1873" s="10" t="str">
        <f>""</f>
        <v/>
      </c>
      <c r="K1873" s="10" t="str">
        <f>"PFES1162631139_0001"</f>
        <v>PFES1162631139_0001</v>
      </c>
      <c r="L1873" s="10">
        <v>1</v>
      </c>
      <c r="M1873" s="10">
        <v>1</v>
      </c>
    </row>
    <row r="1874" spans="1:13">
      <c r="A1874" s="8">
        <v>43273</v>
      </c>
      <c r="B1874" s="9">
        <v>0.49444444444444446</v>
      </c>
      <c r="C1874" s="10" t="str">
        <f>"FES1162631141"</f>
        <v>FES1162631141</v>
      </c>
      <c r="D1874" s="10" t="s">
        <v>19</v>
      </c>
      <c r="E1874" s="10" t="s">
        <v>56</v>
      </c>
      <c r="F1874" s="10" t="str">
        <f>"2170638040 "</f>
        <v xml:space="preserve">2170638040 </v>
      </c>
      <c r="G1874" s="10" t="str">
        <f t="shared" si="54"/>
        <v>ON1</v>
      </c>
      <c r="H1874" s="10" t="s">
        <v>21</v>
      </c>
      <c r="I1874" s="10" t="s">
        <v>57</v>
      </c>
      <c r="J1874" s="10" t="str">
        <f>""</f>
        <v/>
      </c>
      <c r="K1874" s="10" t="str">
        <f>"PFES1162631141_0001"</f>
        <v>PFES1162631141_0001</v>
      </c>
      <c r="L1874" s="10">
        <v>1</v>
      </c>
      <c r="M1874" s="10">
        <v>1</v>
      </c>
    </row>
    <row r="1875" spans="1:13">
      <c r="A1875" s="8">
        <v>43273</v>
      </c>
      <c r="B1875" s="9">
        <v>0.49444444444444446</v>
      </c>
      <c r="C1875" s="10" t="str">
        <f>"FES1162631096"</f>
        <v>FES1162631096</v>
      </c>
      <c r="D1875" s="10" t="s">
        <v>19</v>
      </c>
      <c r="E1875" s="10" t="s">
        <v>368</v>
      </c>
      <c r="F1875" s="10" t="str">
        <f>"2170637997 "</f>
        <v xml:space="preserve">2170637997 </v>
      </c>
      <c r="G1875" s="10" t="str">
        <f t="shared" si="54"/>
        <v>ON1</v>
      </c>
      <c r="H1875" s="10" t="s">
        <v>21</v>
      </c>
      <c r="I1875" s="10" t="s">
        <v>369</v>
      </c>
      <c r="J1875" s="10" t="str">
        <f>""</f>
        <v/>
      </c>
      <c r="K1875" s="10" t="str">
        <f>"PFES1162631096_0001"</f>
        <v>PFES1162631096_0001</v>
      </c>
      <c r="L1875" s="10">
        <v>1</v>
      </c>
      <c r="M1875" s="10">
        <v>1</v>
      </c>
    </row>
    <row r="1876" spans="1:13">
      <c r="A1876" s="8">
        <v>43273</v>
      </c>
      <c r="B1876" s="9">
        <v>0.49374999999999997</v>
      </c>
      <c r="C1876" s="10" t="str">
        <f>"FES1162631135"</f>
        <v>FES1162631135</v>
      </c>
      <c r="D1876" s="10" t="s">
        <v>19</v>
      </c>
      <c r="E1876" s="10" t="s">
        <v>918</v>
      </c>
      <c r="F1876" s="10" t="str">
        <f>"2170638033 "</f>
        <v xml:space="preserve">2170638033 </v>
      </c>
      <c r="G1876" s="10" t="str">
        <f t="shared" si="54"/>
        <v>ON1</v>
      </c>
      <c r="H1876" s="10" t="s">
        <v>21</v>
      </c>
      <c r="I1876" s="10" t="s">
        <v>919</v>
      </c>
      <c r="J1876" s="10" t="str">
        <f>""</f>
        <v/>
      </c>
      <c r="K1876" s="10" t="str">
        <f>"PFES1162631135_0001"</f>
        <v>PFES1162631135_0001</v>
      </c>
      <c r="L1876" s="10">
        <v>1</v>
      </c>
      <c r="M1876" s="10">
        <v>1</v>
      </c>
    </row>
    <row r="1877" spans="1:13">
      <c r="A1877" s="8">
        <v>43273</v>
      </c>
      <c r="B1877" s="9">
        <v>0.49374999999999997</v>
      </c>
      <c r="C1877" s="10" t="str">
        <f>"FES1162631080"</f>
        <v>FES1162631080</v>
      </c>
      <c r="D1877" s="10" t="s">
        <v>19</v>
      </c>
      <c r="E1877" s="10" t="s">
        <v>117</v>
      </c>
      <c r="F1877" s="10" t="str">
        <f>"2170637052 "</f>
        <v xml:space="preserve">2170637052 </v>
      </c>
      <c r="G1877" s="10" t="str">
        <f t="shared" si="54"/>
        <v>ON1</v>
      </c>
      <c r="H1877" s="10" t="s">
        <v>21</v>
      </c>
      <c r="I1877" s="10" t="s">
        <v>118</v>
      </c>
      <c r="J1877" s="10" t="str">
        <f>""</f>
        <v/>
      </c>
      <c r="K1877" s="10" t="str">
        <f>"PFES1162631080_0001"</f>
        <v>PFES1162631080_0001</v>
      </c>
      <c r="L1877" s="10">
        <v>1</v>
      </c>
      <c r="M1877" s="10">
        <v>1</v>
      </c>
    </row>
    <row r="1878" spans="1:13">
      <c r="A1878" s="8">
        <v>43273</v>
      </c>
      <c r="B1878" s="9">
        <v>0.49305555555555558</v>
      </c>
      <c r="C1878" s="10" t="str">
        <f>"FES1162631072"</f>
        <v>FES1162631072</v>
      </c>
      <c r="D1878" s="10" t="s">
        <v>19</v>
      </c>
      <c r="E1878" s="10" t="s">
        <v>499</v>
      </c>
      <c r="F1878" s="10" t="str">
        <f>"2170636369 "</f>
        <v xml:space="preserve">2170636369 </v>
      </c>
      <c r="G1878" s="10" t="str">
        <f t="shared" si="54"/>
        <v>ON1</v>
      </c>
      <c r="H1878" s="10" t="s">
        <v>21</v>
      </c>
      <c r="I1878" s="10" t="s">
        <v>158</v>
      </c>
      <c r="J1878" s="10" t="str">
        <f>""</f>
        <v/>
      </c>
      <c r="K1878" s="10" t="str">
        <f>"PFES1162631072_0001"</f>
        <v>PFES1162631072_0001</v>
      </c>
      <c r="L1878" s="10">
        <v>1</v>
      </c>
      <c r="M1878" s="10">
        <v>1</v>
      </c>
    </row>
    <row r="1879" spans="1:13">
      <c r="A1879" s="8">
        <v>43273</v>
      </c>
      <c r="B1879" s="9">
        <v>0.49305555555555558</v>
      </c>
      <c r="C1879" s="10" t="str">
        <f>"FES1162631070"</f>
        <v>FES1162631070</v>
      </c>
      <c r="D1879" s="10" t="s">
        <v>19</v>
      </c>
      <c r="E1879" s="10" t="s">
        <v>920</v>
      </c>
      <c r="F1879" s="10" t="str">
        <f>"21706367117 "</f>
        <v xml:space="preserve">21706367117 </v>
      </c>
      <c r="G1879" s="10" t="str">
        <f t="shared" si="54"/>
        <v>ON1</v>
      </c>
      <c r="H1879" s="10" t="s">
        <v>21</v>
      </c>
      <c r="I1879" s="10" t="s">
        <v>220</v>
      </c>
      <c r="J1879" s="10" t="str">
        <f>""</f>
        <v/>
      </c>
      <c r="K1879" s="10" t="str">
        <f>"PFES1162631070_0001"</f>
        <v>PFES1162631070_0001</v>
      </c>
      <c r="L1879" s="10">
        <v>1</v>
      </c>
      <c r="M1879" s="10">
        <v>1</v>
      </c>
    </row>
    <row r="1880" spans="1:13">
      <c r="A1880" s="8">
        <v>43273</v>
      </c>
      <c r="B1880" s="9">
        <v>0.49236111111111108</v>
      </c>
      <c r="C1880" s="10" t="str">
        <f>"FES1162631118"</f>
        <v>FES1162631118</v>
      </c>
      <c r="D1880" s="10" t="s">
        <v>19</v>
      </c>
      <c r="E1880" s="10" t="s">
        <v>921</v>
      </c>
      <c r="F1880" s="10" t="str">
        <f>"2170638006 "</f>
        <v xml:space="preserve">2170638006 </v>
      </c>
      <c r="G1880" s="10" t="str">
        <f t="shared" si="54"/>
        <v>ON1</v>
      </c>
      <c r="H1880" s="10" t="s">
        <v>21</v>
      </c>
      <c r="I1880" s="10" t="s">
        <v>470</v>
      </c>
      <c r="J1880" s="10" t="str">
        <f>""</f>
        <v/>
      </c>
      <c r="K1880" s="10" t="str">
        <f>"PFES1162631118_0001"</f>
        <v>PFES1162631118_0001</v>
      </c>
      <c r="L1880" s="10">
        <v>1</v>
      </c>
      <c r="M1880" s="10">
        <v>1</v>
      </c>
    </row>
    <row r="1881" spans="1:13">
      <c r="A1881" s="8">
        <v>43273</v>
      </c>
      <c r="B1881" s="9">
        <v>0.49236111111111108</v>
      </c>
      <c r="C1881" s="10" t="str">
        <f>"FES1162631079"</f>
        <v>FES1162631079</v>
      </c>
      <c r="D1881" s="10" t="s">
        <v>19</v>
      </c>
      <c r="E1881" s="10" t="s">
        <v>278</v>
      </c>
      <c r="F1881" s="10" t="str">
        <f>"2170636732 "</f>
        <v xml:space="preserve">2170636732 </v>
      </c>
      <c r="G1881" s="10" t="str">
        <f t="shared" si="54"/>
        <v>ON1</v>
      </c>
      <c r="H1881" s="10" t="s">
        <v>21</v>
      </c>
      <c r="I1881" s="10" t="s">
        <v>279</v>
      </c>
      <c r="J1881" s="10" t="str">
        <f>""</f>
        <v/>
      </c>
      <c r="K1881" s="10" t="str">
        <f>"PFES1162631079_0001"</f>
        <v>PFES1162631079_0001</v>
      </c>
      <c r="L1881" s="10">
        <v>1</v>
      </c>
      <c r="M1881" s="10">
        <v>1</v>
      </c>
    </row>
    <row r="1882" spans="1:13">
      <c r="A1882" s="8">
        <v>43273</v>
      </c>
      <c r="B1882" s="9">
        <v>0.4916666666666667</v>
      </c>
      <c r="C1882" s="10" t="str">
        <f>"FES1162631133"</f>
        <v>FES1162631133</v>
      </c>
      <c r="D1882" s="10" t="s">
        <v>19</v>
      </c>
      <c r="E1882" s="10" t="s">
        <v>95</v>
      </c>
      <c r="F1882" s="10" t="str">
        <f>"2170638030 "</f>
        <v xml:space="preserve">2170638030 </v>
      </c>
      <c r="G1882" s="10" t="str">
        <f t="shared" si="54"/>
        <v>ON1</v>
      </c>
      <c r="H1882" s="10" t="s">
        <v>21</v>
      </c>
      <c r="I1882" s="10" t="s">
        <v>96</v>
      </c>
      <c r="J1882" s="10" t="str">
        <f>""</f>
        <v/>
      </c>
      <c r="K1882" s="10" t="str">
        <f>"PFES1162631133_0001"</f>
        <v>PFES1162631133_0001</v>
      </c>
      <c r="L1882" s="10">
        <v>1</v>
      </c>
      <c r="M1882" s="10">
        <v>1</v>
      </c>
    </row>
    <row r="1883" spans="1:13">
      <c r="A1883" s="8">
        <v>43273</v>
      </c>
      <c r="B1883" s="9">
        <v>0.4916666666666667</v>
      </c>
      <c r="C1883" s="10" t="str">
        <f>"FES1162631101"</f>
        <v>FES1162631101</v>
      </c>
      <c r="D1883" s="10" t="s">
        <v>19</v>
      </c>
      <c r="E1883" s="10" t="s">
        <v>302</v>
      </c>
      <c r="F1883" s="10" t="str">
        <f>"217037986 "</f>
        <v xml:space="preserve">217037986 </v>
      </c>
      <c r="G1883" s="10" t="str">
        <f t="shared" si="54"/>
        <v>ON1</v>
      </c>
      <c r="H1883" s="10" t="s">
        <v>21</v>
      </c>
      <c r="I1883" s="10" t="s">
        <v>303</v>
      </c>
      <c r="J1883" s="10" t="str">
        <f>""</f>
        <v/>
      </c>
      <c r="K1883" s="10" t="str">
        <f>"PFES1162631101_0001"</f>
        <v>PFES1162631101_0001</v>
      </c>
      <c r="L1883" s="10">
        <v>1</v>
      </c>
      <c r="M1883" s="10">
        <v>1</v>
      </c>
    </row>
    <row r="1884" spans="1:13">
      <c r="A1884" s="8">
        <v>43273</v>
      </c>
      <c r="B1884" s="9">
        <v>0.4909722222222222</v>
      </c>
      <c r="C1884" s="10" t="str">
        <f>"FES1162631092"</f>
        <v>FES1162631092</v>
      </c>
      <c r="D1884" s="10" t="s">
        <v>19</v>
      </c>
      <c r="E1884" s="10" t="s">
        <v>922</v>
      </c>
      <c r="F1884" s="10" t="str">
        <f>"2170637968 "</f>
        <v xml:space="preserve">2170637968 </v>
      </c>
      <c r="G1884" s="10" t="str">
        <f t="shared" si="54"/>
        <v>ON1</v>
      </c>
      <c r="H1884" s="10" t="s">
        <v>21</v>
      </c>
      <c r="I1884" s="10" t="s">
        <v>923</v>
      </c>
      <c r="J1884" s="10" t="str">
        <f>""</f>
        <v/>
      </c>
      <c r="K1884" s="10" t="str">
        <f>"PFES1162631092_0001"</f>
        <v>PFES1162631092_0001</v>
      </c>
      <c r="L1884" s="10">
        <v>1</v>
      </c>
      <c r="M1884" s="10">
        <v>1</v>
      </c>
    </row>
    <row r="1885" spans="1:13">
      <c r="A1885" s="8">
        <v>43273</v>
      </c>
      <c r="B1885" s="9">
        <v>0.49027777777777781</v>
      </c>
      <c r="C1885" s="10" t="str">
        <f>"FES1162631117"</f>
        <v>FES1162631117</v>
      </c>
      <c r="D1885" s="10" t="s">
        <v>19</v>
      </c>
      <c r="E1885" s="10" t="s">
        <v>833</v>
      </c>
      <c r="F1885" s="10" t="str">
        <f>"2170638005 "</f>
        <v xml:space="preserve">2170638005 </v>
      </c>
      <c r="G1885" s="10" t="str">
        <f t="shared" si="54"/>
        <v>ON1</v>
      </c>
      <c r="H1885" s="10" t="s">
        <v>21</v>
      </c>
      <c r="I1885" s="10" t="s">
        <v>336</v>
      </c>
      <c r="J1885" s="10" t="str">
        <f>""</f>
        <v/>
      </c>
      <c r="K1885" s="10" t="str">
        <f>"PFES1162631117_0001"</f>
        <v>PFES1162631117_0001</v>
      </c>
      <c r="L1885" s="10">
        <v>1</v>
      </c>
      <c r="M1885" s="10">
        <v>1</v>
      </c>
    </row>
    <row r="1886" spans="1:13">
      <c r="A1886" s="8">
        <v>43273</v>
      </c>
      <c r="B1886" s="9">
        <v>0.49027777777777781</v>
      </c>
      <c r="C1886" s="10" t="str">
        <f>"FES1162631074"</f>
        <v>FES1162631074</v>
      </c>
      <c r="D1886" s="10" t="s">
        <v>19</v>
      </c>
      <c r="E1886" s="10" t="s">
        <v>193</v>
      </c>
      <c r="F1886" s="10" t="str">
        <f>"217063402 "</f>
        <v xml:space="preserve">217063402 </v>
      </c>
      <c r="G1886" s="10" t="str">
        <f t="shared" si="54"/>
        <v>ON1</v>
      </c>
      <c r="H1886" s="10" t="s">
        <v>21</v>
      </c>
      <c r="I1886" s="10" t="s">
        <v>30</v>
      </c>
      <c r="J1886" s="10" t="str">
        <f>""</f>
        <v/>
      </c>
      <c r="K1886" s="10" t="str">
        <f>"PFES1162631074_0001"</f>
        <v>PFES1162631074_0001</v>
      </c>
      <c r="L1886" s="10">
        <v>1</v>
      </c>
      <c r="M1886" s="10">
        <v>1</v>
      </c>
    </row>
    <row r="1887" spans="1:13">
      <c r="A1887" s="8">
        <v>43273</v>
      </c>
      <c r="B1887" s="9">
        <v>0.48958333333333331</v>
      </c>
      <c r="C1887" s="10" t="str">
        <f>"FES1162631099"</f>
        <v>FES1162631099</v>
      </c>
      <c r="D1887" s="10" t="s">
        <v>19</v>
      </c>
      <c r="E1887" s="10" t="s">
        <v>924</v>
      </c>
      <c r="F1887" s="10" t="str">
        <f>"2170637988 "</f>
        <v xml:space="preserve">2170637988 </v>
      </c>
      <c r="G1887" s="10" t="str">
        <f t="shared" si="54"/>
        <v>ON1</v>
      </c>
      <c r="H1887" s="10" t="s">
        <v>21</v>
      </c>
      <c r="I1887" s="10" t="s">
        <v>42</v>
      </c>
      <c r="J1887" s="10" t="str">
        <f>""</f>
        <v/>
      </c>
      <c r="K1887" s="10" t="str">
        <f>"PFES1162631099_0001"</f>
        <v>PFES1162631099_0001</v>
      </c>
      <c r="L1887" s="10">
        <v>1</v>
      </c>
      <c r="M1887" s="10">
        <v>1</v>
      </c>
    </row>
    <row r="1888" spans="1:13">
      <c r="A1888" s="8">
        <v>43273</v>
      </c>
      <c r="B1888" s="9">
        <v>0.48958333333333331</v>
      </c>
      <c r="C1888" s="10" t="str">
        <f>"FES1162631152"</f>
        <v>FES1162631152</v>
      </c>
      <c r="D1888" s="10" t="s">
        <v>19</v>
      </c>
      <c r="E1888" s="10" t="s">
        <v>143</v>
      </c>
      <c r="F1888" s="10" t="str">
        <f>"217063859 "</f>
        <v xml:space="preserve">217063859 </v>
      </c>
      <c r="G1888" s="10" t="str">
        <f t="shared" si="54"/>
        <v>ON1</v>
      </c>
      <c r="H1888" s="10" t="s">
        <v>21</v>
      </c>
      <c r="I1888" s="10" t="s">
        <v>144</v>
      </c>
      <c r="J1888" s="10" t="str">
        <f>""</f>
        <v/>
      </c>
      <c r="K1888" s="10" t="str">
        <f>"PFES1162631152_0001"</f>
        <v>PFES1162631152_0001</v>
      </c>
      <c r="L1888" s="10">
        <v>1</v>
      </c>
      <c r="M1888" s="10">
        <v>1</v>
      </c>
    </row>
    <row r="1889" spans="1:13">
      <c r="A1889" s="8">
        <v>43273</v>
      </c>
      <c r="B1889" s="9">
        <v>0.48888888888888887</v>
      </c>
      <c r="C1889" s="10" t="str">
        <f>"FES1162631081"</f>
        <v>FES1162631081</v>
      </c>
      <c r="D1889" s="10" t="s">
        <v>19</v>
      </c>
      <c r="E1889" s="10" t="s">
        <v>135</v>
      </c>
      <c r="F1889" s="10" t="str">
        <f>"2170637087 "</f>
        <v xml:space="preserve">2170637087 </v>
      </c>
      <c r="G1889" s="10" t="str">
        <f t="shared" si="54"/>
        <v>ON1</v>
      </c>
      <c r="H1889" s="10" t="s">
        <v>21</v>
      </c>
      <c r="I1889" s="10" t="s">
        <v>136</v>
      </c>
      <c r="J1889" s="10" t="str">
        <f>""</f>
        <v/>
      </c>
      <c r="K1889" s="10" t="str">
        <f>"PFES1162631081_0001"</f>
        <v>PFES1162631081_0001</v>
      </c>
      <c r="L1889" s="10">
        <v>1</v>
      </c>
      <c r="M1889" s="10">
        <v>1</v>
      </c>
    </row>
    <row r="1890" spans="1:13">
      <c r="A1890" s="8">
        <v>43273</v>
      </c>
      <c r="B1890" s="9">
        <v>0.48819444444444443</v>
      </c>
      <c r="C1890" s="10" t="str">
        <f>"FES1162631124"</f>
        <v>FES1162631124</v>
      </c>
      <c r="D1890" s="10" t="s">
        <v>19</v>
      </c>
      <c r="E1890" s="10" t="s">
        <v>346</v>
      </c>
      <c r="F1890" s="10" t="str">
        <f>"2170638013 "</f>
        <v xml:space="preserve">2170638013 </v>
      </c>
      <c r="G1890" s="10" t="str">
        <f t="shared" si="54"/>
        <v>ON1</v>
      </c>
      <c r="H1890" s="10" t="s">
        <v>21</v>
      </c>
      <c r="I1890" s="10" t="s">
        <v>228</v>
      </c>
      <c r="J1890" s="10" t="str">
        <f>""</f>
        <v/>
      </c>
      <c r="K1890" s="10" t="str">
        <f>"PFES1162631124_0001"</f>
        <v>PFES1162631124_0001</v>
      </c>
      <c r="L1890" s="10">
        <v>1</v>
      </c>
      <c r="M1890" s="10">
        <v>1</v>
      </c>
    </row>
    <row r="1891" spans="1:13">
      <c r="A1891" s="8">
        <v>43273</v>
      </c>
      <c r="B1891" s="9">
        <v>0.48819444444444443</v>
      </c>
      <c r="C1891" s="10" t="str">
        <f>"FES1162631120"</f>
        <v>FES1162631120</v>
      </c>
      <c r="D1891" s="10" t="s">
        <v>19</v>
      </c>
      <c r="E1891" s="10" t="s">
        <v>64</v>
      </c>
      <c r="F1891" s="10" t="str">
        <f>"2170638009 "</f>
        <v xml:space="preserve">2170638009 </v>
      </c>
      <c r="G1891" s="10" t="str">
        <f t="shared" si="54"/>
        <v>ON1</v>
      </c>
      <c r="H1891" s="10" t="s">
        <v>21</v>
      </c>
      <c r="I1891" s="10" t="s">
        <v>40</v>
      </c>
      <c r="J1891" s="10" t="str">
        <f>""</f>
        <v/>
      </c>
      <c r="K1891" s="10" t="str">
        <f>"PFES1162631120_0001"</f>
        <v>PFES1162631120_0001</v>
      </c>
      <c r="L1891" s="10">
        <v>1</v>
      </c>
      <c r="M1891" s="10">
        <v>1</v>
      </c>
    </row>
    <row r="1892" spans="1:13">
      <c r="A1892" s="8">
        <v>43273</v>
      </c>
      <c r="B1892" s="9">
        <v>0.4861111111111111</v>
      </c>
      <c r="C1892" s="10" t="str">
        <f>"FES1162631088"</f>
        <v>FES1162631088</v>
      </c>
      <c r="D1892" s="10" t="s">
        <v>19</v>
      </c>
      <c r="E1892" s="10" t="s">
        <v>489</v>
      </c>
      <c r="F1892" s="10" t="str">
        <f>"2170637506 "</f>
        <v xml:space="preserve">2170637506 </v>
      </c>
      <c r="G1892" s="10" t="str">
        <f t="shared" si="54"/>
        <v>ON1</v>
      </c>
      <c r="H1892" s="10" t="s">
        <v>21</v>
      </c>
      <c r="I1892" s="10" t="s">
        <v>487</v>
      </c>
      <c r="J1892" s="10" t="str">
        <f>""</f>
        <v/>
      </c>
      <c r="K1892" s="10" t="str">
        <f>"PFES1162631088_0001"</f>
        <v>PFES1162631088_0001</v>
      </c>
      <c r="L1892" s="10">
        <v>1</v>
      </c>
      <c r="M1892" s="10">
        <v>1</v>
      </c>
    </row>
    <row r="1893" spans="1:13">
      <c r="A1893" s="8">
        <v>43273</v>
      </c>
      <c r="B1893" s="9">
        <v>0.48541666666666666</v>
      </c>
      <c r="C1893" s="10" t="str">
        <f>"FES1162631091"</f>
        <v>FES1162631091</v>
      </c>
      <c r="D1893" s="10" t="s">
        <v>19</v>
      </c>
      <c r="E1893" s="10" t="s">
        <v>291</v>
      </c>
      <c r="F1893" s="10" t="str">
        <f>"2170637949 "</f>
        <v xml:space="preserve">2170637949 </v>
      </c>
      <c r="G1893" s="10" t="str">
        <f t="shared" si="54"/>
        <v>ON1</v>
      </c>
      <c r="H1893" s="10" t="s">
        <v>21</v>
      </c>
      <c r="I1893" s="10" t="s">
        <v>131</v>
      </c>
      <c r="J1893" s="10" t="str">
        <f>""</f>
        <v/>
      </c>
      <c r="K1893" s="10" t="str">
        <f>"PFES1162631091_0001"</f>
        <v>PFES1162631091_0001</v>
      </c>
      <c r="L1893" s="10">
        <v>1</v>
      </c>
      <c r="M1893" s="10">
        <v>1</v>
      </c>
    </row>
    <row r="1894" spans="1:13">
      <c r="A1894" s="8">
        <v>43273</v>
      </c>
      <c r="B1894" s="9">
        <v>0.48472222222222222</v>
      </c>
      <c r="C1894" s="10" t="str">
        <f>"FES1162631090"</f>
        <v>FES1162631090</v>
      </c>
      <c r="D1894" s="10" t="s">
        <v>19</v>
      </c>
      <c r="E1894" s="10" t="s">
        <v>925</v>
      </c>
      <c r="F1894" s="10" t="str">
        <f>"21706537944 "</f>
        <v xml:space="preserve">21706537944 </v>
      </c>
      <c r="G1894" s="10" t="str">
        <f t="shared" si="54"/>
        <v>ON1</v>
      </c>
      <c r="H1894" s="10" t="s">
        <v>21</v>
      </c>
      <c r="I1894" s="10" t="s">
        <v>69</v>
      </c>
      <c r="J1894" s="10" t="str">
        <f>""</f>
        <v/>
      </c>
      <c r="K1894" s="10" t="str">
        <f>"PFES1162631090_0001"</f>
        <v>PFES1162631090_0001</v>
      </c>
      <c r="L1894" s="10">
        <v>1</v>
      </c>
      <c r="M1894" s="10">
        <v>1</v>
      </c>
    </row>
    <row r="1895" spans="1:13">
      <c r="A1895" s="8">
        <v>43273</v>
      </c>
      <c r="B1895" s="9">
        <v>0.48472222222222222</v>
      </c>
      <c r="C1895" s="10" t="str">
        <f>"FES1162631147"</f>
        <v>FES1162631147</v>
      </c>
      <c r="D1895" s="10" t="s">
        <v>19</v>
      </c>
      <c r="E1895" s="10" t="s">
        <v>685</v>
      </c>
      <c r="F1895" s="10" t="str">
        <f>"2170638053 "</f>
        <v xml:space="preserve">2170638053 </v>
      </c>
      <c r="G1895" s="10" t="str">
        <f t="shared" si="54"/>
        <v>ON1</v>
      </c>
      <c r="H1895" s="10" t="s">
        <v>21</v>
      </c>
      <c r="I1895" s="10" t="s">
        <v>89</v>
      </c>
      <c r="J1895" s="10" t="str">
        <f>""</f>
        <v/>
      </c>
      <c r="K1895" s="10" t="str">
        <f>"PFES1162631147_0001"</f>
        <v>PFES1162631147_0001</v>
      </c>
      <c r="L1895" s="10">
        <v>1</v>
      </c>
      <c r="M1895" s="10">
        <v>1</v>
      </c>
    </row>
    <row r="1896" spans="1:13">
      <c r="A1896" s="8">
        <v>43273</v>
      </c>
      <c r="B1896" s="9">
        <v>0.48402777777777778</v>
      </c>
      <c r="C1896" s="10" t="str">
        <f>"FES1162631061"</f>
        <v>FES1162631061</v>
      </c>
      <c r="D1896" s="10" t="s">
        <v>19</v>
      </c>
      <c r="E1896" s="10" t="s">
        <v>926</v>
      </c>
      <c r="F1896" s="10" t="str">
        <f>"2170637983 "</f>
        <v xml:space="preserve">2170637983 </v>
      </c>
      <c r="G1896" s="10" t="str">
        <f t="shared" si="54"/>
        <v>ON1</v>
      </c>
      <c r="H1896" s="10" t="s">
        <v>21</v>
      </c>
      <c r="I1896" s="10" t="s">
        <v>386</v>
      </c>
      <c r="J1896" s="10" t="str">
        <f>""</f>
        <v/>
      </c>
      <c r="K1896" s="10" t="str">
        <f>"PFES1162631061_0001"</f>
        <v>PFES1162631061_0001</v>
      </c>
      <c r="L1896" s="10">
        <v>1</v>
      </c>
      <c r="M1896" s="10">
        <v>1</v>
      </c>
    </row>
    <row r="1897" spans="1:13">
      <c r="A1897" s="8">
        <v>43273</v>
      </c>
      <c r="B1897" s="9">
        <v>0.48402777777777778</v>
      </c>
      <c r="C1897" s="10" t="str">
        <f>"FES1162631087"</f>
        <v>FES1162631087</v>
      </c>
      <c r="D1897" s="10" t="s">
        <v>19</v>
      </c>
      <c r="E1897" s="10" t="s">
        <v>489</v>
      </c>
      <c r="F1897" s="10" t="str">
        <f>"2170637452 "</f>
        <v xml:space="preserve">2170637452 </v>
      </c>
      <c r="G1897" s="10" t="str">
        <f t="shared" si="54"/>
        <v>ON1</v>
      </c>
      <c r="H1897" s="10" t="s">
        <v>21</v>
      </c>
      <c r="I1897" s="10" t="s">
        <v>487</v>
      </c>
      <c r="J1897" s="10" t="str">
        <f>""</f>
        <v/>
      </c>
      <c r="K1897" s="10" t="str">
        <f>"PFES1162631087_0001"</f>
        <v>PFES1162631087_0001</v>
      </c>
      <c r="L1897" s="10">
        <v>1</v>
      </c>
      <c r="M1897" s="10">
        <v>1</v>
      </c>
    </row>
    <row r="1898" spans="1:13">
      <c r="A1898" s="8">
        <v>43273</v>
      </c>
      <c r="B1898" s="9">
        <v>0.48333333333333334</v>
      </c>
      <c r="C1898" s="10" t="str">
        <f>"FES1162631140"</f>
        <v>FES1162631140</v>
      </c>
      <c r="D1898" s="10" t="s">
        <v>19</v>
      </c>
      <c r="E1898" s="10" t="s">
        <v>500</v>
      </c>
      <c r="F1898" s="10" t="str">
        <f>"2170638039 "</f>
        <v xml:space="preserve">2170638039 </v>
      </c>
      <c r="G1898" s="10" t="str">
        <f t="shared" si="54"/>
        <v>ON1</v>
      </c>
      <c r="H1898" s="10" t="s">
        <v>21</v>
      </c>
      <c r="I1898" s="10" t="s">
        <v>83</v>
      </c>
      <c r="J1898" s="10" t="str">
        <f>""</f>
        <v/>
      </c>
      <c r="K1898" s="10" t="str">
        <f>"PFES1162631140_0001"</f>
        <v>PFES1162631140_0001</v>
      </c>
      <c r="L1898" s="10">
        <v>1</v>
      </c>
      <c r="M1898" s="10">
        <v>1</v>
      </c>
    </row>
    <row r="1899" spans="1:13">
      <c r="A1899" s="8">
        <v>43273</v>
      </c>
      <c r="B1899" s="9">
        <v>0.48333333333333334</v>
      </c>
      <c r="C1899" s="10" t="str">
        <f>"FES1162631094"</f>
        <v>FES1162631094</v>
      </c>
      <c r="D1899" s="10" t="s">
        <v>19</v>
      </c>
      <c r="E1899" s="10" t="s">
        <v>132</v>
      </c>
      <c r="F1899" s="10" t="str">
        <f>"2170637974 "</f>
        <v xml:space="preserve">2170637974 </v>
      </c>
      <c r="G1899" s="10" t="str">
        <f t="shared" si="54"/>
        <v>ON1</v>
      </c>
      <c r="H1899" s="10" t="s">
        <v>21</v>
      </c>
      <c r="I1899" s="10" t="s">
        <v>69</v>
      </c>
      <c r="J1899" s="10" t="str">
        <f>""</f>
        <v/>
      </c>
      <c r="K1899" s="10" t="str">
        <f>"PFES1162631094_0001"</f>
        <v>PFES1162631094_0001</v>
      </c>
      <c r="L1899" s="10">
        <v>1</v>
      </c>
      <c r="M1899" s="10">
        <v>1</v>
      </c>
    </row>
    <row r="1900" spans="1:13">
      <c r="A1900" s="8">
        <v>43273</v>
      </c>
      <c r="B1900" s="9">
        <v>0.4826388888888889</v>
      </c>
      <c r="C1900" s="10" t="str">
        <f>"FES1162631130"</f>
        <v>FES1162631130</v>
      </c>
      <c r="D1900" s="10" t="s">
        <v>19</v>
      </c>
      <c r="E1900" s="10" t="s">
        <v>597</v>
      </c>
      <c r="F1900" s="10" t="str">
        <f>"2170638024 "</f>
        <v xml:space="preserve">2170638024 </v>
      </c>
      <c r="G1900" s="10" t="str">
        <f t="shared" si="54"/>
        <v>ON1</v>
      </c>
      <c r="H1900" s="10" t="s">
        <v>21</v>
      </c>
      <c r="I1900" s="10" t="s">
        <v>290</v>
      </c>
      <c r="J1900" s="10" t="str">
        <f>""</f>
        <v/>
      </c>
      <c r="K1900" s="10" t="str">
        <f>"PFES1162631130_0001"</f>
        <v>PFES1162631130_0001</v>
      </c>
      <c r="L1900" s="10">
        <v>1</v>
      </c>
      <c r="M1900" s="10">
        <v>1</v>
      </c>
    </row>
    <row r="1901" spans="1:13">
      <c r="A1901" s="8">
        <v>43273</v>
      </c>
      <c r="B1901" s="9">
        <v>0.4826388888888889</v>
      </c>
      <c r="C1901" s="10" t="str">
        <f>"FES1162631063"</f>
        <v>FES1162631063</v>
      </c>
      <c r="D1901" s="10" t="s">
        <v>19</v>
      </c>
      <c r="E1901" s="10" t="s">
        <v>597</v>
      </c>
      <c r="F1901" s="10" t="str">
        <f>"2170633696 "</f>
        <v xml:space="preserve">2170633696 </v>
      </c>
      <c r="G1901" s="10" t="str">
        <f t="shared" si="54"/>
        <v>ON1</v>
      </c>
      <c r="H1901" s="10" t="s">
        <v>21</v>
      </c>
      <c r="I1901" s="10" t="s">
        <v>290</v>
      </c>
      <c r="J1901" s="10" t="str">
        <f>""</f>
        <v/>
      </c>
      <c r="K1901" s="10" t="str">
        <f>"PFES1162631063_0001"</f>
        <v>PFES1162631063_0001</v>
      </c>
      <c r="L1901" s="10">
        <v>1</v>
      </c>
      <c r="M1901" s="10">
        <v>1</v>
      </c>
    </row>
    <row r="1902" spans="1:13">
      <c r="A1902" s="8">
        <v>43273</v>
      </c>
      <c r="B1902" s="9">
        <v>0.48194444444444445</v>
      </c>
      <c r="C1902" s="10" t="str">
        <f>"FES1162631075"</f>
        <v>FES1162631075</v>
      </c>
      <c r="D1902" s="10" t="s">
        <v>19</v>
      </c>
      <c r="E1902" s="10" t="s">
        <v>37</v>
      </c>
      <c r="F1902" s="10" t="str">
        <f>"2170636423 "</f>
        <v xml:space="preserve">2170636423 </v>
      </c>
      <c r="G1902" s="10" t="str">
        <f t="shared" si="54"/>
        <v>ON1</v>
      </c>
      <c r="H1902" s="10" t="s">
        <v>21</v>
      </c>
      <c r="I1902" s="10" t="s">
        <v>38</v>
      </c>
      <c r="J1902" s="10" t="str">
        <f>""</f>
        <v/>
      </c>
      <c r="K1902" s="10" t="str">
        <f>"PFES1162631075_0001"</f>
        <v>PFES1162631075_0001</v>
      </c>
      <c r="L1902" s="10">
        <v>1</v>
      </c>
      <c r="M1902" s="10">
        <v>1</v>
      </c>
    </row>
    <row r="1903" spans="1:13">
      <c r="A1903" s="8">
        <v>43273</v>
      </c>
      <c r="B1903" s="9">
        <v>0.48194444444444445</v>
      </c>
      <c r="C1903" s="10" t="str">
        <f>"FES1162631098"</f>
        <v>FES1162631098</v>
      </c>
      <c r="D1903" s="10" t="s">
        <v>19</v>
      </c>
      <c r="E1903" s="10" t="s">
        <v>504</v>
      </c>
      <c r="F1903" s="10" t="str">
        <f>"2170637985 "</f>
        <v xml:space="preserve">2170637985 </v>
      </c>
      <c r="G1903" s="10" t="str">
        <f t="shared" si="54"/>
        <v>ON1</v>
      </c>
      <c r="H1903" s="10" t="s">
        <v>21</v>
      </c>
      <c r="I1903" s="10" t="s">
        <v>292</v>
      </c>
      <c r="J1903" s="10" t="str">
        <f>""</f>
        <v/>
      </c>
      <c r="K1903" s="10" t="str">
        <f>"PFES1162631098_0001"</f>
        <v>PFES1162631098_0001</v>
      </c>
      <c r="L1903" s="10">
        <v>1</v>
      </c>
      <c r="M1903" s="10">
        <v>1</v>
      </c>
    </row>
    <row r="1904" spans="1:13">
      <c r="A1904" s="8">
        <v>43273</v>
      </c>
      <c r="B1904" s="9">
        <v>0.48125000000000001</v>
      </c>
      <c r="C1904" s="10" t="str">
        <f>"FES1162631093"</f>
        <v>FES1162631093</v>
      </c>
      <c r="D1904" s="10" t="s">
        <v>19</v>
      </c>
      <c r="E1904" s="10" t="s">
        <v>310</v>
      </c>
      <c r="F1904" s="10" t="str">
        <f>"2170637972 "</f>
        <v xml:space="preserve">2170637972 </v>
      </c>
      <c r="G1904" s="10" t="str">
        <f t="shared" si="54"/>
        <v>ON1</v>
      </c>
      <c r="H1904" s="10" t="s">
        <v>21</v>
      </c>
      <c r="I1904" s="10" t="s">
        <v>255</v>
      </c>
      <c r="J1904" s="10" t="str">
        <f>""</f>
        <v/>
      </c>
      <c r="K1904" s="10" t="str">
        <f>"PFES1162631093_0001"</f>
        <v>PFES1162631093_0001</v>
      </c>
      <c r="L1904" s="10">
        <v>1</v>
      </c>
      <c r="M1904" s="10">
        <v>1</v>
      </c>
    </row>
    <row r="1905" spans="1:13">
      <c r="A1905" s="8">
        <v>43273</v>
      </c>
      <c r="B1905" s="9">
        <v>0.48125000000000001</v>
      </c>
      <c r="C1905" s="10" t="str">
        <f>"FES1162631062"</f>
        <v>FES1162631062</v>
      </c>
      <c r="D1905" s="10" t="s">
        <v>19</v>
      </c>
      <c r="E1905" s="10" t="s">
        <v>261</v>
      </c>
      <c r="F1905" s="10" t="str">
        <f>"2170630617 "</f>
        <v xml:space="preserve">2170630617 </v>
      </c>
      <c r="G1905" s="10" t="str">
        <f t="shared" si="54"/>
        <v>ON1</v>
      </c>
      <c r="H1905" s="10" t="s">
        <v>21</v>
      </c>
      <c r="I1905" s="10" t="s">
        <v>423</v>
      </c>
      <c r="J1905" s="10" t="str">
        <f>""</f>
        <v/>
      </c>
      <c r="K1905" s="10" t="str">
        <f>"PFES1162631062_0001"</f>
        <v>PFES1162631062_0001</v>
      </c>
      <c r="L1905" s="10">
        <v>1</v>
      </c>
      <c r="M1905" s="10">
        <v>1</v>
      </c>
    </row>
    <row r="1906" spans="1:13">
      <c r="A1906" s="8">
        <v>43273</v>
      </c>
      <c r="B1906" s="9">
        <v>0.48125000000000001</v>
      </c>
      <c r="C1906" s="10" t="str">
        <f>"FES1162631127"</f>
        <v>FES1162631127</v>
      </c>
      <c r="D1906" s="10" t="s">
        <v>19</v>
      </c>
      <c r="E1906" s="10" t="s">
        <v>67</v>
      </c>
      <c r="F1906" s="10" t="str">
        <f>"2170638020 "</f>
        <v xml:space="preserve">2170638020 </v>
      </c>
      <c r="G1906" s="10" t="str">
        <f t="shared" si="54"/>
        <v>ON1</v>
      </c>
      <c r="H1906" s="10" t="s">
        <v>21</v>
      </c>
      <c r="I1906" s="10" t="s">
        <v>46</v>
      </c>
      <c r="J1906" s="10" t="str">
        <f>""</f>
        <v/>
      </c>
      <c r="K1906" s="10" t="str">
        <f>"PFES1162631127_0001"</f>
        <v>PFES1162631127_0001</v>
      </c>
      <c r="L1906" s="10">
        <v>1</v>
      </c>
      <c r="M1906" s="10">
        <v>1</v>
      </c>
    </row>
    <row r="1907" spans="1:13">
      <c r="A1907" s="8">
        <v>43273</v>
      </c>
      <c r="B1907" s="9">
        <v>0.48055555555555557</v>
      </c>
      <c r="C1907" s="10" t="str">
        <f>"FES1162631095"</f>
        <v>FES1162631095</v>
      </c>
      <c r="D1907" s="10" t="s">
        <v>19</v>
      </c>
      <c r="E1907" s="10" t="s">
        <v>204</v>
      </c>
      <c r="F1907" s="10" t="str">
        <f>"2170637975 "</f>
        <v xml:space="preserve">2170637975 </v>
      </c>
      <c r="G1907" s="10" t="str">
        <f t="shared" si="54"/>
        <v>ON1</v>
      </c>
      <c r="H1907" s="10" t="s">
        <v>21</v>
      </c>
      <c r="I1907" s="10" t="s">
        <v>205</v>
      </c>
      <c r="J1907" s="10" t="str">
        <f>""</f>
        <v/>
      </c>
      <c r="K1907" s="10" t="str">
        <f>"PFES1162631095_0001"</f>
        <v>PFES1162631095_0001</v>
      </c>
      <c r="L1907" s="10">
        <v>1</v>
      </c>
      <c r="M1907" s="10">
        <v>1</v>
      </c>
    </row>
    <row r="1908" spans="1:13">
      <c r="A1908" s="8">
        <v>43273</v>
      </c>
      <c r="B1908" s="9">
        <v>0.48055555555555557</v>
      </c>
      <c r="C1908" s="10" t="str">
        <f>"FES1162631119"</f>
        <v>FES1162631119</v>
      </c>
      <c r="D1908" s="10" t="s">
        <v>19</v>
      </c>
      <c r="E1908" s="10" t="s">
        <v>625</v>
      </c>
      <c r="F1908" s="10" t="str">
        <f>"21706380007 "</f>
        <v xml:space="preserve">21706380007 </v>
      </c>
      <c r="G1908" s="10" t="str">
        <f t="shared" si="54"/>
        <v>ON1</v>
      </c>
      <c r="H1908" s="10" t="s">
        <v>21</v>
      </c>
      <c r="I1908" s="10" t="s">
        <v>36</v>
      </c>
      <c r="J1908" s="10" t="str">
        <f>""</f>
        <v/>
      </c>
      <c r="K1908" s="10" t="str">
        <f>"PFES1162631119_0001"</f>
        <v>PFES1162631119_0001</v>
      </c>
      <c r="L1908" s="10">
        <v>1</v>
      </c>
      <c r="M1908" s="10">
        <v>1</v>
      </c>
    </row>
    <row r="1909" spans="1:13">
      <c r="A1909" s="8">
        <v>43273</v>
      </c>
      <c r="B1909" s="9">
        <v>0.46666666666666662</v>
      </c>
      <c r="C1909" s="10" t="str">
        <f>"FES1162631083"</f>
        <v>FES1162631083</v>
      </c>
      <c r="D1909" s="10" t="s">
        <v>19</v>
      </c>
      <c r="E1909" s="10" t="s">
        <v>504</v>
      </c>
      <c r="F1909" s="10" t="str">
        <f>"2170637220 "</f>
        <v xml:space="preserve">2170637220 </v>
      </c>
      <c r="G1909" s="10" t="str">
        <f t="shared" si="54"/>
        <v>ON1</v>
      </c>
      <c r="H1909" s="10" t="s">
        <v>21</v>
      </c>
      <c r="I1909" s="10" t="s">
        <v>292</v>
      </c>
      <c r="J1909" s="10" t="str">
        <f>""</f>
        <v/>
      </c>
      <c r="K1909" s="10" t="str">
        <f>"PFES1162631083_0001"</f>
        <v>PFES1162631083_0001</v>
      </c>
      <c r="L1909" s="10">
        <v>1</v>
      </c>
      <c r="M1909" s="10">
        <v>4</v>
      </c>
    </row>
    <row r="1910" spans="1:13">
      <c r="A1910" s="8">
        <v>43273</v>
      </c>
      <c r="B1910" s="9">
        <v>0.46388888888888885</v>
      </c>
      <c r="C1910" s="10" t="str">
        <f>"FES1162631108"</f>
        <v>FES1162631108</v>
      </c>
      <c r="D1910" s="10" t="s">
        <v>19</v>
      </c>
      <c r="E1910" s="10" t="s">
        <v>95</v>
      </c>
      <c r="F1910" s="10" t="str">
        <f>"2170637111 "</f>
        <v xml:space="preserve">2170637111 </v>
      </c>
      <c r="G1910" s="10" t="str">
        <f t="shared" si="54"/>
        <v>ON1</v>
      </c>
      <c r="H1910" s="10" t="s">
        <v>21</v>
      </c>
      <c r="I1910" s="10" t="s">
        <v>96</v>
      </c>
      <c r="J1910" s="10" t="str">
        <f>""</f>
        <v/>
      </c>
      <c r="K1910" s="10" t="str">
        <f>"PFES1162631108_0001"</f>
        <v>PFES1162631108_0001</v>
      </c>
      <c r="L1910" s="10">
        <v>1</v>
      </c>
      <c r="M1910" s="10">
        <v>2</v>
      </c>
    </row>
    <row r="1911" spans="1:13">
      <c r="A1911" s="8">
        <v>43273</v>
      </c>
      <c r="B1911" s="9">
        <v>0.46319444444444446</v>
      </c>
      <c r="C1911" s="10" t="str">
        <f>"FES1162631078"</f>
        <v>FES1162631078</v>
      </c>
      <c r="D1911" s="10" t="s">
        <v>19</v>
      </c>
      <c r="E1911" s="10" t="s">
        <v>95</v>
      </c>
      <c r="F1911" s="10" t="str">
        <f>"2170631078 "</f>
        <v xml:space="preserve">2170631078 </v>
      </c>
      <c r="G1911" s="10" t="str">
        <f t="shared" si="54"/>
        <v>ON1</v>
      </c>
      <c r="H1911" s="10" t="s">
        <v>21</v>
      </c>
      <c r="I1911" s="10" t="s">
        <v>96</v>
      </c>
      <c r="J1911" s="10" t="str">
        <f>""</f>
        <v/>
      </c>
      <c r="K1911" s="10" t="str">
        <f>"PFES1162631078_0001"</f>
        <v>PFES1162631078_0001</v>
      </c>
      <c r="L1911" s="10">
        <v>1</v>
      </c>
      <c r="M1911" s="10">
        <v>2</v>
      </c>
    </row>
    <row r="1912" spans="1:13">
      <c r="A1912" s="8">
        <v>43273</v>
      </c>
      <c r="B1912" s="9">
        <v>0.46249999999999997</v>
      </c>
      <c r="C1912" s="10" t="str">
        <f>"FES1162631084"</f>
        <v>FES1162631084</v>
      </c>
      <c r="D1912" s="10" t="s">
        <v>19</v>
      </c>
      <c r="E1912" s="10" t="s">
        <v>105</v>
      </c>
      <c r="F1912" s="10" t="str">
        <f>"2170637272 "</f>
        <v xml:space="preserve">2170637272 </v>
      </c>
      <c r="G1912" s="10" t="str">
        <f t="shared" ref="G1912:G1915" si="55">"ON1"</f>
        <v>ON1</v>
      </c>
      <c r="H1912" s="10" t="s">
        <v>21</v>
      </c>
      <c r="I1912" s="10" t="s">
        <v>106</v>
      </c>
      <c r="J1912" s="10" t="str">
        <f>""</f>
        <v/>
      </c>
      <c r="K1912" s="10" t="str">
        <f>"PFES1162631084_0001"</f>
        <v>PFES1162631084_0001</v>
      </c>
      <c r="L1912" s="10">
        <v>1</v>
      </c>
      <c r="M1912" s="10">
        <v>7</v>
      </c>
    </row>
    <row r="1913" spans="1:13">
      <c r="A1913" s="8">
        <v>43273</v>
      </c>
      <c r="B1913" s="9">
        <v>0.46111111111111108</v>
      </c>
      <c r="C1913" s="10" t="str">
        <f>"FES1162631068"</f>
        <v>FES1162631068</v>
      </c>
      <c r="D1913" s="10" t="s">
        <v>19</v>
      </c>
      <c r="E1913" s="10" t="s">
        <v>360</v>
      </c>
      <c r="F1913" s="10" t="str">
        <f>"2170636018 "</f>
        <v xml:space="preserve">2170636018 </v>
      </c>
      <c r="G1913" s="10" t="str">
        <f t="shared" si="55"/>
        <v>ON1</v>
      </c>
      <c r="H1913" s="10" t="s">
        <v>21</v>
      </c>
      <c r="I1913" s="10" t="s">
        <v>144</v>
      </c>
      <c r="J1913" s="10" t="str">
        <f>""</f>
        <v/>
      </c>
      <c r="K1913" s="10" t="str">
        <f>"PFES1162631068_0001"</f>
        <v>PFES1162631068_0001</v>
      </c>
      <c r="L1913" s="10">
        <v>1</v>
      </c>
      <c r="M1913" s="10">
        <v>2</v>
      </c>
    </row>
    <row r="1914" spans="1:13">
      <c r="A1914" s="8">
        <v>43273</v>
      </c>
      <c r="B1914" s="9">
        <v>0.45902777777777781</v>
      </c>
      <c r="C1914" s="10" t="str">
        <f>"FES1162631110"</f>
        <v>FES1162631110</v>
      </c>
      <c r="D1914" s="10" t="s">
        <v>19</v>
      </c>
      <c r="E1914" s="10" t="s">
        <v>95</v>
      </c>
      <c r="F1914" s="10" t="str">
        <f>"2170638000 "</f>
        <v xml:space="preserve">2170638000 </v>
      </c>
      <c r="G1914" s="10" t="str">
        <f t="shared" si="55"/>
        <v>ON1</v>
      </c>
      <c r="H1914" s="10" t="s">
        <v>21</v>
      </c>
      <c r="I1914" s="10" t="s">
        <v>96</v>
      </c>
      <c r="J1914" s="10" t="str">
        <f>""</f>
        <v/>
      </c>
      <c r="K1914" s="10" t="str">
        <f>"PFES1162631110_0001"</f>
        <v>PFES1162631110_0001</v>
      </c>
      <c r="L1914" s="10">
        <v>1</v>
      </c>
      <c r="M1914" s="10">
        <v>2</v>
      </c>
    </row>
    <row r="1915" spans="1:13">
      <c r="A1915" s="8">
        <v>43273</v>
      </c>
      <c r="B1915" s="9">
        <v>0.45763888888888887</v>
      </c>
      <c r="C1915" s="10" t="str">
        <f>"FES1162631136"</f>
        <v>FES1162631136</v>
      </c>
      <c r="D1915" s="10" t="s">
        <v>19</v>
      </c>
      <c r="E1915" s="10" t="s">
        <v>242</v>
      </c>
      <c r="F1915" s="10" t="str">
        <f>"2170638034 "</f>
        <v xml:space="preserve">2170638034 </v>
      </c>
      <c r="G1915" s="10" t="str">
        <f t="shared" si="55"/>
        <v>ON1</v>
      </c>
      <c r="H1915" s="10" t="s">
        <v>21</v>
      </c>
      <c r="I1915" s="10" t="s">
        <v>55</v>
      </c>
      <c r="J1915" s="10" t="str">
        <f>""</f>
        <v/>
      </c>
      <c r="K1915" s="10" t="str">
        <f>"PFES1162631136_0001"</f>
        <v>PFES1162631136_0001</v>
      </c>
      <c r="L1915" s="10">
        <v>1</v>
      </c>
      <c r="M1915" s="10">
        <v>11</v>
      </c>
    </row>
    <row r="1916" spans="1:13">
      <c r="A1916" s="8">
        <v>43276</v>
      </c>
      <c r="B1916" s="9">
        <v>0.69861111111111107</v>
      </c>
      <c r="C1916" s="10" t="str">
        <f>"FES1162631498"</f>
        <v>FES1162631498</v>
      </c>
      <c r="D1916" s="10" t="s">
        <v>19</v>
      </c>
      <c r="E1916" s="10" t="s">
        <v>822</v>
      </c>
      <c r="F1916" s="10" t="str">
        <f>"2170633559 "</f>
        <v xml:space="preserve">2170633559 </v>
      </c>
      <c r="G1916" s="10" t="str">
        <f>"ON1"</f>
        <v>ON1</v>
      </c>
      <c r="H1916" s="10" t="s">
        <v>21</v>
      </c>
      <c r="I1916" s="10" t="s">
        <v>823</v>
      </c>
      <c r="J1916" s="10" t="str">
        <f>""</f>
        <v/>
      </c>
      <c r="K1916" s="10" t="str">
        <f>"PFES1162631498_0001"</f>
        <v>PFES1162631498_0001</v>
      </c>
      <c r="L1916" s="10">
        <v>1</v>
      </c>
      <c r="M1916" s="10">
        <v>4</v>
      </c>
    </row>
    <row r="1917" spans="1:13">
      <c r="A1917" s="8">
        <v>43276</v>
      </c>
      <c r="B1917" s="9">
        <v>0.69791666666666663</v>
      </c>
      <c r="C1917" s="10" t="str">
        <f>"FES1162631234"</f>
        <v>FES1162631234</v>
      </c>
      <c r="D1917" s="10" t="s">
        <v>19</v>
      </c>
      <c r="E1917" s="10" t="s">
        <v>249</v>
      </c>
      <c r="F1917" s="10" t="str">
        <f>"2170633543 "</f>
        <v xml:space="preserve">2170633543 </v>
      </c>
      <c r="G1917" s="10" t="str">
        <f>"ON1"</f>
        <v>ON1</v>
      </c>
      <c r="H1917" s="10" t="s">
        <v>21</v>
      </c>
      <c r="I1917" s="10" t="s">
        <v>59</v>
      </c>
      <c r="J1917" s="10" t="str">
        <f>""</f>
        <v/>
      </c>
      <c r="K1917" s="10" t="str">
        <f>"PFES1162631234_0001"</f>
        <v>PFES1162631234_0001</v>
      </c>
      <c r="L1917" s="10">
        <v>1</v>
      </c>
      <c r="M1917" s="10">
        <v>7</v>
      </c>
    </row>
    <row r="1918" spans="1:13">
      <c r="A1918" s="8">
        <v>43276</v>
      </c>
      <c r="B1918" s="9">
        <v>0.6972222222222223</v>
      </c>
      <c r="C1918" s="10" t="str">
        <f>"FES1162631482"</f>
        <v>FES1162631482</v>
      </c>
      <c r="D1918" s="10" t="s">
        <v>19</v>
      </c>
      <c r="E1918" s="10" t="s">
        <v>74</v>
      </c>
      <c r="F1918" s="10" t="str">
        <f>"2170638399 "</f>
        <v xml:space="preserve">2170638399 </v>
      </c>
      <c r="G1918" s="10" t="str">
        <f>"ON1"</f>
        <v>ON1</v>
      </c>
      <c r="H1918" s="10" t="s">
        <v>21</v>
      </c>
      <c r="I1918" s="10" t="s">
        <v>75</v>
      </c>
      <c r="J1918" s="10" t="str">
        <f>""</f>
        <v/>
      </c>
      <c r="K1918" s="10" t="str">
        <f>"PFES1162631482_0001"</f>
        <v>PFES1162631482_0001</v>
      </c>
      <c r="L1918" s="10">
        <v>1</v>
      </c>
      <c r="M1918" s="10">
        <v>3</v>
      </c>
    </row>
    <row r="1919" spans="1:13">
      <c r="A1919" s="8">
        <v>43276</v>
      </c>
      <c r="B1919" s="9">
        <v>0.6958333333333333</v>
      </c>
      <c r="C1919" s="10" t="str">
        <f>"FES1162631491"</f>
        <v>FES1162631491</v>
      </c>
      <c r="D1919" s="10" t="s">
        <v>19</v>
      </c>
      <c r="E1919" s="10" t="s">
        <v>132</v>
      </c>
      <c r="F1919" s="10" t="str">
        <f>"2170638396 "</f>
        <v xml:space="preserve">2170638396 </v>
      </c>
      <c r="G1919" s="10" t="str">
        <f>"ON1"</f>
        <v>ON1</v>
      </c>
      <c r="H1919" s="10" t="s">
        <v>21</v>
      </c>
      <c r="I1919" s="10" t="s">
        <v>69</v>
      </c>
      <c r="J1919" s="10" t="str">
        <f>""</f>
        <v/>
      </c>
      <c r="K1919" s="10" t="str">
        <f>"PFES1162631491_0001"</f>
        <v>PFES1162631491_0001</v>
      </c>
      <c r="L1919" s="10">
        <v>1</v>
      </c>
      <c r="M1919" s="10">
        <v>3</v>
      </c>
    </row>
    <row r="1920" spans="1:13">
      <c r="A1920" s="8">
        <v>43276</v>
      </c>
      <c r="B1920" s="9">
        <v>0.69444444444444453</v>
      </c>
      <c r="C1920" s="10" t="str">
        <f>"FES1162631412"</f>
        <v>FES1162631412</v>
      </c>
      <c r="D1920" s="10" t="s">
        <v>19</v>
      </c>
      <c r="E1920" s="10" t="s">
        <v>678</v>
      </c>
      <c r="F1920" s="10" t="str">
        <f>"2170638313 "</f>
        <v xml:space="preserve">2170638313 </v>
      </c>
      <c r="G1920" s="10" t="str">
        <f>"ON1"</f>
        <v>ON1</v>
      </c>
      <c r="H1920" s="10" t="s">
        <v>21</v>
      </c>
      <c r="I1920" s="10" t="s">
        <v>36</v>
      </c>
      <c r="J1920" s="10" t="str">
        <f>""</f>
        <v/>
      </c>
      <c r="K1920" s="10" t="str">
        <f>"PFES1162631412_0001"</f>
        <v>PFES1162631412_0001</v>
      </c>
      <c r="L1920" s="10">
        <v>1</v>
      </c>
      <c r="M1920" s="10">
        <v>7</v>
      </c>
    </row>
    <row r="1921" spans="1:13">
      <c r="A1921" s="8">
        <v>43276</v>
      </c>
      <c r="B1921" s="9">
        <v>0.69305555555555554</v>
      </c>
      <c r="C1921" s="10" t="str">
        <f>"FES1162631495"</f>
        <v>FES1162631495</v>
      </c>
      <c r="D1921" s="10" t="s">
        <v>19</v>
      </c>
      <c r="E1921" s="10" t="s">
        <v>119</v>
      </c>
      <c r="F1921" s="10" t="str">
        <f>"2170638411 "</f>
        <v xml:space="preserve">2170638411 </v>
      </c>
      <c r="G1921" s="10" t="str">
        <f>"DBC"</f>
        <v>DBC</v>
      </c>
      <c r="H1921" s="10" t="s">
        <v>21</v>
      </c>
      <c r="I1921" s="10" t="s">
        <v>83</v>
      </c>
      <c r="J1921" s="10" t="str">
        <f>""</f>
        <v/>
      </c>
      <c r="K1921" s="10" t="str">
        <f>"PFES1162631495_0001"</f>
        <v>PFES1162631495_0001</v>
      </c>
      <c r="L1921" s="10">
        <v>2</v>
      </c>
      <c r="M1921" s="10">
        <v>22</v>
      </c>
    </row>
    <row r="1922" spans="1:13">
      <c r="A1922" s="8">
        <v>43276</v>
      </c>
      <c r="B1922" s="9">
        <v>0.69027777777777777</v>
      </c>
      <c r="C1922" s="10" t="str">
        <f>"FES1162631496"</f>
        <v>FES1162631496</v>
      </c>
      <c r="D1922" s="10" t="s">
        <v>19</v>
      </c>
      <c r="E1922" s="10" t="s">
        <v>784</v>
      </c>
      <c r="F1922" s="10" t="str">
        <f>"2170635335 "</f>
        <v xml:space="preserve">2170635335 </v>
      </c>
      <c r="G1922" s="10" t="str">
        <f t="shared" ref="G1922:G1946" si="56">"ON1"</f>
        <v>ON1</v>
      </c>
      <c r="H1922" s="10" t="s">
        <v>21</v>
      </c>
      <c r="I1922" s="10" t="s">
        <v>156</v>
      </c>
      <c r="J1922" s="10" t="str">
        <f>""</f>
        <v/>
      </c>
      <c r="K1922" s="10" t="str">
        <f>"PFES1162631496_0001"</f>
        <v>PFES1162631496_0001</v>
      </c>
      <c r="L1922" s="10">
        <v>1</v>
      </c>
      <c r="M1922" s="10">
        <v>12</v>
      </c>
    </row>
    <row r="1923" spans="1:13">
      <c r="A1923" s="8">
        <v>43276</v>
      </c>
      <c r="B1923" s="9">
        <v>0.68888888888888899</v>
      </c>
      <c r="C1923" s="10" t="str">
        <f>"FES1162631469"</f>
        <v>FES1162631469</v>
      </c>
      <c r="D1923" s="10" t="s">
        <v>19</v>
      </c>
      <c r="E1923" s="10" t="s">
        <v>58</v>
      </c>
      <c r="F1923" s="10" t="str">
        <f>"2170638382 "</f>
        <v xml:space="preserve">2170638382 </v>
      </c>
      <c r="G1923" s="10" t="str">
        <f t="shared" si="56"/>
        <v>ON1</v>
      </c>
      <c r="H1923" s="10" t="s">
        <v>21</v>
      </c>
      <c r="I1923" s="10" t="s">
        <v>59</v>
      </c>
      <c r="J1923" s="10" t="str">
        <f>""</f>
        <v/>
      </c>
      <c r="K1923" s="10" t="str">
        <f>"PFES1162631469_0001"</f>
        <v>PFES1162631469_0001</v>
      </c>
      <c r="L1923" s="10">
        <v>1</v>
      </c>
      <c r="M1923" s="10">
        <v>7</v>
      </c>
    </row>
    <row r="1924" spans="1:13">
      <c r="A1924" s="8">
        <v>43276</v>
      </c>
      <c r="B1924" s="9">
        <v>0.68819444444444444</v>
      </c>
      <c r="C1924" s="10" t="str">
        <f>"FES1162631477"</f>
        <v>FES1162631477</v>
      </c>
      <c r="D1924" s="10" t="s">
        <v>19</v>
      </c>
      <c r="E1924" s="10" t="s">
        <v>927</v>
      </c>
      <c r="F1924" s="10" t="str">
        <f>"2170634378 "</f>
        <v xml:space="preserve">2170634378 </v>
      </c>
      <c r="G1924" s="10" t="str">
        <f t="shared" si="56"/>
        <v>ON1</v>
      </c>
      <c r="H1924" s="10" t="s">
        <v>21</v>
      </c>
      <c r="I1924" s="10" t="s">
        <v>112</v>
      </c>
      <c r="J1924" s="10" t="str">
        <f>""</f>
        <v/>
      </c>
      <c r="K1924" s="10" t="str">
        <f>"PFES1162631477_0001"</f>
        <v>PFES1162631477_0001</v>
      </c>
      <c r="L1924" s="10">
        <v>1</v>
      </c>
      <c r="M1924" s="10">
        <v>4</v>
      </c>
    </row>
    <row r="1925" spans="1:13">
      <c r="A1925" s="8">
        <v>43276</v>
      </c>
      <c r="B1925" s="9">
        <v>0.68680555555555556</v>
      </c>
      <c r="C1925" s="10" t="str">
        <f>"FES1162631497"</f>
        <v>FES1162631497</v>
      </c>
      <c r="D1925" s="10" t="s">
        <v>19</v>
      </c>
      <c r="E1925" s="10" t="s">
        <v>656</v>
      </c>
      <c r="F1925" s="10" t="str">
        <f>"2170635084 "</f>
        <v xml:space="preserve">2170635084 </v>
      </c>
      <c r="G1925" s="10" t="str">
        <f t="shared" si="56"/>
        <v>ON1</v>
      </c>
      <c r="H1925" s="10" t="s">
        <v>21</v>
      </c>
      <c r="I1925" s="10" t="s">
        <v>42</v>
      </c>
      <c r="J1925" s="10" t="str">
        <f>""</f>
        <v/>
      </c>
      <c r="K1925" s="10" t="str">
        <f>"PFES1162631497_0001"</f>
        <v>PFES1162631497_0001</v>
      </c>
      <c r="L1925" s="10">
        <v>1</v>
      </c>
      <c r="M1925" s="10">
        <v>1</v>
      </c>
    </row>
    <row r="1926" spans="1:13">
      <c r="A1926" s="8">
        <v>43276</v>
      </c>
      <c r="B1926" s="9">
        <v>0.68680555555555556</v>
      </c>
      <c r="C1926" s="10" t="str">
        <f>"FES1162631480"</f>
        <v>FES1162631480</v>
      </c>
      <c r="D1926" s="10" t="s">
        <v>19</v>
      </c>
      <c r="E1926" s="10" t="s">
        <v>516</v>
      </c>
      <c r="F1926" s="10" t="str">
        <f>"2170638394 "</f>
        <v xml:space="preserve">2170638394 </v>
      </c>
      <c r="G1926" s="10" t="str">
        <f t="shared" si="56"/>
        <v>ON1</v>
      </c>
      <c r="H1926" s="10" t="s">
        <v>21</v>
      </c>
      <c r="I1926" s="10" t="s">
        <v>517</v>
      </c>
      <c r="J1926" s="10" t="str">
        <f>""</f>
        <v/>
      </c>
      <c r="K1926" s="10" t="str">
        <f>"PFES1162631480_0001"</f>
        <v>PFES1162631480_0001</v>
      </c>
      <c r="L1926" s="10">
        <v>1</v>
      </c>
      <c r="M1926" s="10">
        <v>10</v>
      </c>
    </row>
    <row r="1927" spans="1:13">
      <c r="A1927" s="8">
        <v>43276</v>
      </c>
      <c r="B1927" s="9">
        <v>0.68680555555555556</v>
      </c>
      <c r="C1927" s="10" t="str">
        <f>"FES1162631484"</f>
        <v>FES1162631484</v>
      </c>
      <c r="D1927" s="10" t="s">
        <v>19</v>
      </c>
      <c r="E1927" s="10" t="s">
        <v>516</v>
      </c>
      <c r="F1927" s="10" t="str">
        <f>"21706384301 "</f>
        <v xml:space="preserve">21706384301 </v>
      </c>
      <c r="G1927" s="10" t="str">
        <f t="shared" si="56"/>
        <v>ON1</v>
      </c>
      <c r="H1927" s="10" t="s">
        <v>21</v>
      </c>
      <c r="I1927" s="10" t="s">
        <v>517</v>
      </c>
      <c r="J1927" s="10" t="str">
        <f>""</f>
        <v/>
      </c>
      <c r="K1927" s="10" t="str">
        <f>"PFES1162631484_0001"</f>
        <v>PFES1162631484_0001</v>
      </c>
      <c r="L1927" s="10">
        <v>1</v>
      </c>
      <c r="M1927" s="10">
        <v>1</v>
      </c>
    </row>
    <row r="1928" spans="1:13">
      <c r="A1928" s="8">
        <v>43276</v>
      </c>
      <c r="B1928" s="9">
        <v>0.68611111111111101</v>
      </c>
      <c r="C1928" s="10" t="str">
        <f>"FES1162631494"</f>
        <v>FES1162631494</v>
      </c>
      <c r="D1928" s="10" t="s">
        <v>19</v>
      </c>
      <c r="E1928" s="10" t="s">
        <v>928</v>
      </c>
      <c r="F1928" s="10" t="str">
        <f>"2170638410 "</f>
        <v xml:space="preserve">2170638410 </v>
      </c>
      <c r="G1928" s="10" t="str">
        <f t="shared" si="56"/>
        <v>ON1</v>
      </c>
      <c r="H1928" s="10" t="s">
        <v>21</v>
      </c>
      <c r="I1928" s="10" t="s">
        <v>265</v>
      </c>
      <c r="J1928" s="10" t="str">
        <f>""</f>
        <v/>
      </c>
      <c r="K1928" s="10" t="str">
        <f>"PFES1162631494_0001"</f>
        <v>PFES1162631494_0001</v>
      </c>
      <c r="L1928" s="10">
        <v>1</v>
      </c>
      <c r="M1928" s="10">
        <v>1</v>
      </c>
    </row>
    <row r="1929" spans="1:13">
      <c r="A1929" s="8">
        <v>43276</v>
      </c>
      <c r="B1929" s="9">
        <v>0.68541666666666667</v>
      </c>
      <c r="C1929" s="10" t="str">
        <f>"FES1162631479"</f>
        <v>FES1162631479</v>
      </c>
      <c r="D1929" s="10" t="s">
        <v>19</v>
      </c>
      <c r="E1929" s="10" t="s">
        <v>33</v>
      </c>
      <c r="F1929" s="10" t="str">
        <f>"2170638391 "</f>
        <v xml:space="preserve">2170638391 </v>
      </c>
      <c r="G1929" s="10" t="str">
        <f t="shared" si="56"/>
        <v>ON1</v>
      </c>
      <c r="H1929" s="10" t="s">
        <v>21</v>
      </c>
      <c r="I1929" s="10" t="s">
        <v>34</v>
      </c>
      <c r="J1929" s="10" t="str">
        <f>""</f>
        <v/>
      </c>
      <c r="K1929" s="10" t="str">
        <f>"PFES1162631479_0001"</f>
        <v>PFES1162631479_0001</v>
      </c>
      <c r="L1929" s="10">
        <v>1</v>
      </c>
      <c r="M1929" s="10">
        <v>1</v>
      </c>
    </row>
    <row r="1930" spans="1:13">
      <c r="A1930" s="8">
        <v>43276</v>
      </c>
      <c r="B1930" s="9">
        <v>0.68472222222222223</v>
      </c>
      <c r="C1930" s="10" t="str">
        <f>"FES1162631481"</f>
        <v>FES1162631481</v>
      </c>
      <c r="D1930" s="10" t="s">
        <v>19</v>
      </c>
      <c r="E1930" s="10" t="s">
        <v>516</v>
      </c>
      <c r="F1930" s="10" t="str">
        <f>"2170638398 "</f>
        <v xml:space="preserve">2170638398 </v>
      </c>
      <c r="G1930" s="10" t="str">
        <f t="shared" si="56"/>
        <v>ON1</v>
      </c>
      <c r="H1930" s="10" t="s">
        <v>21</v>
      </c>
      <c r="I1930" s="10" t="s">
        <v>517</v>
      </c>
      <c r="J1930" s="10" t="str">
        <f>""</f>
        <v/>
      </c>
      <c r="K1930" s="10" t="str">
        <f>"PFES1162631481_0001"</f>
        <v>PFES1162631481_0001</v>
      </c>
      <c r="L1930" s="10">
        <v>1</v>
      </c>
      <c r="M1930" s="10">
        <v>1</v>
      </c>
    </row>
    <row r="1931" spans="1:13">
      <c r="A1931" s="8">
        <v>43276</v>
      </c>
      <c r="B1931" s="9">
        <v>0.68472222222222223</v>
      </c>
      <c r="C1931" s="10" t="str">
        <f>"FES1162631492"</f>
        <v>FES1162631492</v>
      </c>
      <c r="D1931" s="10" t="s">
        <v>19</v>
      </c>
      <c r="E1931" s="10" t="s">
        <v>745</v>
      </c>
      <c r="F1931" s="10" t="str">
        <f>"2170638407 "</f>
        <v xml:space="preserve">2170638407 </v>
      </c>
      <c r="G1931" s="10" t="str">
        <f t="shared" si="56"/>
        <v>ON1</v>
      </c>
      <c r="H1931" s="10" t="s">
        <v>21</v>
      </c>
      <c r="I1931" s="10" t="s">
        <v>85</v>
      </c>
      <c r="J1931" s="10" t="str">
        <f>""</f>
        <v/>
      </c>
      <c r="K1931" s="10" t="str">
        <f>"PFES1162631492_0001"</f>
        <v>PFES1162631492_0001</v>
      </c>
      <c r="L1931" s="10">
        <v>1</v>
      </c>
      <c r="M1931" s="10">
        <v>1</v>
      </c>
    </row>
    <row r="1932" spans="1:13">
      <c r="A1932" s="8">
        <v>43276</v>
      </c>
      <c r="B1932" s="9">
        <v>0.68402777777777779</v>
      </c>
      <c r="C1932" s="10" t="str">
        <f>"FES1162631485"</f>
        <v>FES1162631485</v>
      </c>
      <c r="D1932" s="10" t="s">
        <v>19</v>
      </c>
      <c r="E1932" s="10" t="s">
        <v>74</v>
      </c>
      <c r="F1932" s="10" t="str">
        <f>"2170638402 "</f>
        <v xml:space="preserve">2170638402 </v>
      </c>
      <c r="G1932" s="10" t="str">
        <f t="shared" si="56"/>
        <v>ON1</v>
      </c>
      <c r="H1932" s="10" t="s">
        <v>21</v>
      </c>
      <c r="I1932" s="10" t="s">
        <v>75</v>
      </c>
      <c r="J1932" s="10" t="str">
        <f>""</f>
        <v/>
      </c>
      <c r="K1932" s="10" t="str">
        <f>"PFES1162631485_0001"</f>
        <v>PFES1162631485_0001</v>
      </c>
      <c r="L1932" s="10">
        <v>1</v>
      </c>
      <c r="M1932" s="10">
        <v>1</v>
      </c>
    </row>
    <row r="1933" spans="1:13">
      <c r="A1933" s="8">
        <v>43276</v>
      </c>
      <c r="B1933" s="9">
        <v>0.68402777777777779</v>
      </c>
      <c r="C1933" s="10" t="str">
        <f>"FES1162631493"</f>
        <v>FES1162631493</v>
      </c>
      <c r="D1933" s="10" t="s">
        <v>19</v>
      </c>
      <c r="E1933" s="10" t="s">
        <v>929</v>
      </c>
      <c r="F1933" s="10" t="str">
        <f>"2170638408 "</f>
        <v xml:space="preserve">2170638408 </v>
      </c>
      <c r="G1933" s="10" t="str">
        <f t="shared" si="56"/>
        <v>ON1</v>
      </c>
      <c r="H1933" s="10" t="s">
        <v>21</v>
      </c>
      <c r="I1933" s="10" t="s">
        <v>930</v>
      </c>
      <c r="J1933" s="10" t="str">
        <f>""</f>
        <v/>
      </c>
      <c r="K1933" s="10" t="str">
        <f>"PFES1162631493_0001"</f>
        <v>PFES1162631493_0001</v>
      </c>
      <c r="L1933" s="10">
        <v>1</v>
      </c>
      <c r="M1933" s="10">
        <v>1</v>
      </c>
    </row>
    <row r="1934" spans="1:13">
      <c r="A1934" s="8">
        <v>43276</v>
      </c>
      <c r="B1934" s="9">
        <v>0.68402777777777779</v>
      </c>
      <c r="C1934" s="10" t="str">
        <f>"FES1162631487"</f>
        <v>FES1162631487</v>
      </c>
      <c r="D1934" s="10" t="s">
        <v>19</v>
      </c>
      <c r="E1934" s="10" t="s">
        <v>111</v>
      </c>
      <c r="F1934" s="10" t="str">
        <f>"2170636127 "</f>
        <v xml:space="preserve">2170636127 </v>
      </c>
      <c r="G1934" s="10" t="str">
        <f t="shared" si="56"/>
        <v>ON1</v>
      </c>
      <c r="H1934" s="10" t="s">
        <v>21</v>
      </c>
      <c r="I1934" s="10" t="s">
        <v>112</v>
      </c>
      <c r="J1934" s="10" t="str">
        <f>""</f>
        <v/>
      </c>
      <c r="K1934" s="10" t="str">
        <f>"PFES1162631487_0001"</f>
        <v>PFES1162631487_0001</v>
      </c>
      <c r="L1934" s="10">
        <v>1</v>
      </c>
      <c r="M1934" s="10">
        <v>8</v>
      </c>
    </row>
    <row r="1935" spans="1:13">
      <c r="A1935" s="8">
        <v>43276</v>
      </c>
      <c r="B1935" s="9">
        <v>0.68125000000000002</v>
      </c>
      <c r="C1935" s="10" t="str">
        <f>"FES1162631490"</f>
        <v>FES1162631490</v>
      </c>
      <c r="D1935" s="10" t="s">
        <v>19</v>
      </c>
      <c r="E1935" s="10" t="s">
        <v>931</v>
      </c>
      <c r="F1935" s="10" t="str">
        <f>"2170638395 "</f>
        <v xml:space="preserve">2170638395 </v>
      </c>
      <c r="G1935" s="10" t="str">
        <f t="shared" si="56"/>
        <v>ON1</v>
      </c>
      <c r="H1935" s="10" t="s">
        <v>21</v>
      </c>
      <c r="I1935" s="10" t="s">
        <v>55</v>
      </c>
      <c r="J1935" s="10" t="str">
        <f>""</f>
        <v/>
      </c>
      <c r="K1935" s="10" t="str">
        <f>"PFES1162631490_0001"</f>
        <v>PFES1162631490_0001</v>
      </c>
      <c r="L1935" s="10">
        <v>1</v>
      </c>
      <c r="M1935" s="10">
        <v>4</v>
      </c>
    </row>
    <row r="1936" spans="1:13">
      <c r="A1936" s="8">
        <v>43276</v>
      </c>
      <c r="B1936" s="9">
        <v>0.68055555555555547</v>
      </c>
      <c r="C1936" s="10" t="str">
        <f>"FES1162631445"</f>
        <v>FES1162631445</v>
      </c>
      <c r="D1936" s="10" t="s">
        <v>19</v>
      </c>
      <c r="E1936" s="10" t="s">
        <v>117</v>
      </c>
      <c r="F1936" s="10" t="str">
        <f>"2170626679 "</f>
        <v xml:space="preserve">2170626679 </v>
      </c>
      <c r="G1936" s="10" t="str">
        <f t="shared" si="56"/>
        <v>ON1</v>
      </c>
      <c r="H1936" s="10" t="s">
        <v>21</v>
      </c>
      <c r="I1936" s="10" t="s">
        <v>118</v>
      </c>
      <c r="J1936" s="10" t="str">
        <f>""</f>
        <v/>
      </c>
      <c r="K1936" s="10" t="str">
        <f>"PFES1162631445_0001"</f>
        <v>PFES1162631445_0001</v>
      </c>
      <c r="L1936" s="10">
        <v>1</v>
      </c>
      <c r="M1936" s="10">
        <v>6</v>
      </c>
    </row>
    <row r="1937" spans="1:13">
      <c r="A1937" s="8">
        <v>43276</v>
      </c>
      <c r="B1937" s="9">
        <v>0.6791666666666667</v>
      </c>
      <c r="C1937" s="10" t="str">
        <f>"FES1162631452"</f>
        <v>FES1162631452</v>
      </c>
      <c r="D1937" s="10" t="s">
        <v>19</v>
      </c>
      <c r="E1937" s="10" t="s">
        <v>332</v>
      </c>
      <c r="F1937" s="10" t="str">
        <f>"2170638200 "</f>
        <v xml:space="preserve">2170638200 </v>
      </c>
      <c r="G1937" s="10" t="str">
        <f t="shared" si="56"/>
        <v>ON1</v>
      </c>
      <c r="H1937" s="10" t="s">
        <v>21</v>
      </c>
      <c r="I1937" s="10" t="s">
        <v>333</v>
      </c>
      <c r="J1937" s="10" t="str">
        <f>""</f>
        <v/>
      </c>
      <c r="K1937" s="10" t="str">
        <f>"PFES1162631452_0001"</f>
        <v>PFES1162631452_0001</v>
      </c>
      <c r="L1937" s="10">
        <v>1</v>
      </c>
      <c r="M1937" s="10">
        <v>3</v>
      </c>
    </row>
    <row r="1938" spans="1:13">
      <c r="A1938" s="8">
        <v>43276</v>
      </c>
      <c r="B1938" s="9">
        <v>0.6777777777777777</v>
      </c>
      <c r="C1938" s="10" t="str">
        <f>"FES1162631442"</f>
        <v>FES1162631442</v>
      </c>
      <c r="D1938" s="10" t="s">
        <v>19</v>
      </c>
      <c r="E1938" s="10" t="s">
        <v>84</v>
      </c>
      <c r="F1938" s="10" t="str">
        <f>"2170638364 "</f>
        <v xml:space="preserve">2170638364 </v>
      </c>
      <c r="G1938" s="10" t="str">
        <f t="shared" si="56"/>
        <v>ON1</v>
      </c>
      <c r="H1938" s="10" t="s">
        <v>21</v>
      </c>
      <c r="I1938" s="10" t="s">
        <v>85</v>
      </c>
      <c r="J1938" s="10" t="str">
        <f>""</f>
        <v/>
      </c>
      <c r="K1938" s="10" t="str">
        <f>"PFES1162631442_0001"</f>
        <v>PFES1162631442_0001</v>
      </c>
      <c r="L1938" s="10">
        <v>1</v>
      </c>
      <c r="M1938" s="10">
        <v>2</v>
      </c>
    </row>
    <row r="1939" spans="1:13">
      <c r="A1939" s="8">
        <v>43276</v>
      </c>
      <c r="B1939" s="9">
        <v>0.67708333333333337</v>
      </c>
      <c r="C1939" s="10" t="str">
        <f>"FES1162631475"</f>
        <v>FES1162631475</v>
      </c>
      <c r="D1939" s="10" t="s">
        <v>19</v>
      </c>
      <c r="E1939" s="10" t="s">
        <v>354</v>
      </c>
      <c r="F1939" s="10" t="str">
        <f>"2170625814 "</f>
        <v xml:space="preserve">2170625814 </v>
      </c>
      <c r="G1939" s="10" t="str">
        <f t="shared" si="56"/>
        <v>ON1</v>
      </c>
      <c r="H1939" s="10" t="s">
        <v>21</v>
      </c>
      <c r="I1939" s="10" t="s">
        <v>349</v>
      </c>
      <c r="J1939" s="10" t="str">
        <f>""</f>
        <v/>
      </c>
      <c r="K1939" s="10" t="str">
        <f>"PFES1162631475_0001"</f>
        <v>PFES1162631475_0001</v>
      </c>
      <c r="L1939" s="10">
        <v>1</v>
      </c>
      <c r="M1939" s="10">
        <v>2</v>
      </c>
    </row>
    <row r="1940" spans="1:13">
      <c r="A1940" s="8">
        <v>43276</v>
      </c>
      <c r="B1940" s="9">
        <v>0.67638888888888893</v>
      </c>
      <c r="C1940" s="10" t="str">
        <f>"FES1162631433"</f>
        <v>FES1162631433</v>
      </c>
      <c r="D1940" s="10" t="s">
        <v>19</v>
      </c>
      <c r="E1940" s="10" t="s">
        <v>796</v>
      </c>
      <c r="F1940" s="10" t="str">
        <f>"2170638348 "</f>
        <v xml:space="preserve">2170638348 </v>
      </c>
      <c r="G1940" s="10" t="str">
        <f t="shared" si="56"/>
        <v>ON1</v>
      </c>
      <c r="H1940" s="10" t="s">
        <v>21</v>
      </c>
      <c r="I1940" s="10" t="s">
        <v>797</v>
      </c>
      <c r="J1940" s="10" t="str">
        <f>""</f>
        <v/>
      </c>
      <c r="K1940" s="10" t="str">
        <f>"PFES1162631433_0001"</f>
        <v>PFES1162631433_0001</v>
      </c>
      <c r="L1940" s="10">
        <v>1</v>
      </c>
      <c r="M1940" s="10">
        <v>1</v>
      </c>
    </row>
    <row r="1941" spans="1:13">
      <c r="A1941" s="8">
        <v>43276</v>
      </c>
      <c r="B1941" s="9">
        <v>0.67569444444444438</v>
      </c>
      <c r="C1941" s="10" t="str">
        <f>"FES1162631435"</f>
        <v>FES1162631435</v>
      </c>
      <c r="D1941" s="10" t="s">
        <v>19</v>
      </c>
      <c r="E1941" s="10" t="s">
        <v>137</v>
      </c>
      <c r="F1941" s="10" t="str">
        <f>"2170638353 "</f>
        <v xml:space="preserve">2170638353 </v>
      </c>
      <c r="G1941" s="10" t="str">
        <f t="shared" si="56"/>
        <v>ON1</v>
      </c>
      <c r="H1941" s="10" t="s">
        <v>21</v>
      </c>
      <c r="I1941" s="10" t="s">
        <v>93</v>
      </c>
      <c r="J1941" s="10" t="str">
        <f>""</f>
        <v/>
      </c>
      <c r="K1941" s="10" t="str">
        <f>"PFES1162631435_0001"</f>
        <v>PFES1162631435_0001</v>
      </c>
      <c r="L1941" s="10">
        <v>1</v>
      </c>
      <c r="M1941" s="10">
        <v>1</v>
      </c>
    </row>
    <row r="1942" spans="1:13">
      <c r="A1942" s="8">
        <v>43276</v>
      </c>
      <c r="B1942" s="9">
        <v>0.67569444444444438</v>
      </c>
      <c r="C1942" s="10" t="str">
        <f>"FES1162631463"</f>
        <v>FES1162631463</v>
      </c>
      <c r="D1942" s="10" t="s">
        <v>19</v>
      </c>
      <c r="E1942" s="10" t="s">
        <v>880</v>
      </c>
      <c r="F1942" s="10" t="str">
        <f>"2170638379 "</f>
        <v xml:space="preserve">2170638379 </v>
      </c>
      <c r="G1942" s="10" t="str">
        <f t="shared" si="56"/>
        <v>ON1</v>
      </c>
      <c r="H1942" s="10" t="s">
        <v>21</v>
      </c>
      <c r="I1942" s="10" t="s">
        <v>877</v>
      </c>
      <c r="J1942" s="10" t="str">
        <f>""</f>
        <v/>
      </c>
      <c r="K1942" s="10" t="str">
        <f>"PFES1162631463_0001"</f>
        <v>PFES1162631463_0001</v>
      </c>
      <c r="L1942" s="10">
        <v>1</v>
      </c>
      <c r="M1942" s="10">
        <v>1</v>
      </c>
    </row>
    <row r="1943" spans="1:13">
      <c r="A1943" s="8">
        <v>43276</v>
      </c>
      <c r="B1943" s="9">
        <v>0.67569444444444438</v>
      </c>
      <c r="C1943" s="10" t="str">
        <f>"FES1162631461"</f>
        <v>FES1162631461</v>
      </c>
      <c r="D1943" s="10" t="s">
        <v>19</v>
      </c>
      <c r="E1943" s="10" t="s">
        <v>323</v>
      </c>
      <c r="F1943" s="10" t="str">
        <f>"2170638376 "</f>
        <v xml:space="preserve">2170638376 </v>
      </c>
      <c r="G1943" s="10" t="str">
        <f t="shared" si="56"/>
        <v>ON1</v>
      </c>
      <c r="H1943" s="10" t="s">
        <v>21</v>
      </c>
      <c r="I1943" s="10" t="s">
        <v>324</v>
      </c>
      <c r="J1943" s="10" t="str">
        <f>""</f>
        <v/>
      </c>
      <c r="K1943" s="10" t="str">
        <f>"PFES1162631461_0001"</f>
        <v>PFES1162631461_0001</v>
      </c>
      <c r="L1943" s="10">
        <v>1</v>
      </c>
      <c r="M1943" s="10">
        <v>8</v>
      </c>
    </row>
    <row r="1944" spans="1:13">
      <c r="A1944" s="8">
        <v>43276</v>
      </c>
      <c r="B1944" s="9">
        <v>0.6743055555555556</v>
      </c>
      <c r="C1944" s="10" t="str">
        <f>"FES1162631443"</f>
        <v>FES1162631443</v>
      </c>
      <c r="D1944" s="10" t="s">
        <v>19</v>
      </c>
      <c r="E1944" s="10" t="s">
        <v>74</v>
      </c>
      <c r="F1944" s="10" t="str">
        <f>"2170638365 "</f>
        <v xml:space="preserve">2170638365 </v>
      </c>
      <c r="G1944" s="10" t="str">
        <f t="shared" si="56"/>
        <v>ON1</v>
      </c>
      <c r="H1944" s="10" t="s">
        <v>21</v>
      </c>
      <c r="I1944" s="10" t="s">
        <v>75</v>
      </c>
      <c r="J1944" s="10" t="str">
        <f>""</f>
        <v/>
      </c>
      <c r="K1944" s="10" t="str">
        <f>"PFES1162631443_0001"</f>
        <v>PFES1162631443_0001</v>
      </c>
      <c r="L1944" s="10">
        <v>1</v>
      </c>
      <c r="M1944" s="10">
        <v>1</v>
      </c>
    </row>
    <row r="1945" spans="1:13">
      <c r="A1945" s="8">
        <v>43276</v>
      </c>
      <c r="B1945" s="9">
        <v>0.6743055555555556</v>
      </c>
      <c r="C1945" s="10" t="str">
        <f>"FES1162631459"</f>
        <v>FES1162631459</v>
      </c>
      <c r="D1945" s="10" t="s">
        <v>19</v>
      </c>
      <c r="E1945" s="10" t="s">
        <v>932</v>
      </c>
      <c r="F1945" s="10" t="str">
        <f>"2170638375 "</f>
        <v xml:space="preserve">2170638375 </v>
      </c>
      <c r="G1945" s="10" t="str">
        <f t="shared" si="56"/>
        <v>ON1</v>
      </c>
      <c r="H1945" s="10" t="s">
        <v>21</v>
      </c>
      <c r="I1945" s="10" t="s">
        <v>69</v>
      </c>
      <c r="J1945" s="10" t="str">
        <f>""</f>
        <v/>
      </c>
      <c r="K1945" s="10" t="str">
        <f>"PFES1162631459_0001"</f>
        <v>PFES1162631459_0001</v>
      </c>
      <c r="L1945" s="10">
        <v>1</v>
      </c>
      <c r="M1945" s="10">
        <v>1</v>
      </c>
    </row>
    <row r="1946" spans="1:13">
      <c r="A1946" s="8">
        <v>43276</v>
      </c>
      <c r="B1946" s="9">
        <v>0.67361111111111116</v>
      </c>
      <c r="C1946" s="10" t="str">
        <f>"FES1162631438"</f>
        <v>FES1162631438</v>
      </c>
      <c r="D1946" s="10" t="s">
        <v>19</v>
      </c>
      <c r="E1946" s="10" t="s">
        <v>235</v>
      </c>
      <c r="F1946" s="10" t="str">
        <f>"2170638357 "</f>
        <v xml:space="preserve">2170638357 </v>
      </c>
      <c r="G1946" s="10" t="str">
        <f t="shared" si="56"/>
        <v>ON1</v>
      </c>
      <c r="H1946" s="10" t="s">
        <v>21</v>
      </c>
      <c r="I1946" s="10" t="s">
        <v>174</v>
      </c>
      <c r="J1946" s="10" t="str">
        <f>""</f>
        <v/>
      </c>
      <c r="K1946" s="10" t="str">
        <f>"PFES1162631438_0001"</f>
        <v>PFES1162631438_0001</v>
      </c>
      <c r="L1946" s="10">
        <v>1</v>
      </c>
      <c r="M1946" s="10">
        <v>1</v>
      </c>
    </row>
    <row r="1947" spans="1:13">
      <c r="A1947" s="8">
        <v>43276</v>
      </c>
      <c r="B1947" s="9">
        <v>0.67361111111111116</v>
      </c>
      <c r="C1947" s="10" t="str">
        <f>"FES1162631334"</f>
        <v>FES1162631334</v>
      </c>
      <c r="D1947" s="10" t="s">
        <v>19</v>
      </c>
      <c r="E1947" s="10" t="s">
        <v>490</v>
      </c>
      <c r="F1947" s="10" t="str">
        <f>"2170637841 "</f>
        <v xml:space="preserve">2170637841 </v>
      </c>
      <c r="G1947" s="10" t="str">
        <f>"DBC"</f>
        <v>DBC</v>
      </c>
      <c r="H1947" s="10" t="s">
        <v>21</v>
      </c>
      <c r="I1947" s="10" t="s">
        <v>393</v>
      </c>
      <c r="J1947" s="10" t="str">
        <f>""</f>
        <v/>
      </c>
      <c r="K1947" s="10" t="str">
        <f>"PFES1162631334_0001"</f>
        <v>PFES1162631334_0001</v>
      </c>
      <c r="L1947" s="10">
        <v>1</v>
      </c>
      <c r="M1947" s="10">
        <v>22</v>
      </c>
    </row>
    <row r="1948" spans="1:13">
      <c r="A1948" s="8">
        <v>43276</v>
      </c>
      <c r="B1948" s="9">
        <v>0.67361111111111116</v>
      </c>
      <c r="C1948" s="10" t="str">
        <f>"FES1162631470"</f>
        <v>FES1162631470</v>
      </c>
      <c r="D1948" s="10" t="s">
        <v>19</v>
      </c>
      <c r="E1948" s="10" t="s">
        <v>474</v>
      </c>
      <c r="F1948" s="10" t="str">
        <f>"2170638385 "</f>
        <v xml:space="preserve">2170638385 </v>
      </c>
      <c r="G1948" s="10" t="str">
        <f t="shared" ref="G1948:G1998" si="57">"ON1"</f>
        <v>ON1</v>
      </c>
      <c r="H1948" s="10" t="s">
        <v>21</v>
      </c>
      <c r="I1948" s="10" t="s">
        <v>228</v>
      </c>
      <c r="J1948" s="10" t="str">
        <f>""</f>
        <v/>
      </c>
      <c r="K1948" s="10" t="str">
        <f>"PFES1162631470_0001"</f>
        <v>PFES1162631470_0001</v>
      </c>
      <c r="L1948" s="10">
        <v>1</v>
      </c>
      <c r="M1948" s="10">
        <v>1</v>
      </c>
    </row>
    <row r="1949" spans="1:13">
      <c r="A1949" s="8">
        <v>43276</v>
      </c>
      <c r="B1949" s="9">
        <v>0.67291666666666661</v>
      </c>
      <c r="C1949" s="10" t="str">
        <f>"FES1162631476"</f>
        <v>FES1162631476</v>
      </c>
      <c r="D1949" s="10" t="s">
        <v>19</v>
      </c>
      <c r="E1949" s="10" t="s">
        <v>249</v>
      </c>
      <c r="F1949" s="10" t="str">
        <f>"2170626988 "</f>
        <v xml:space="preserve">2170626988 </v>
      </c>
      <c r="G1949" s="10" t="str">
        <f t="shared" si="57"/>
        <v>ON1</v>
      </c>
      <c r="H1949" s="10" t="s">
        <v>21</v>
      </c>
      <c r="I1949" s="10" t="s">
        <v>59</v>
      </c>
      <c r="J1949" s="10" t="str">
        <f>""</f>
        <v/>
      </c>
      <c r="K1949" s="10" t="str">
        <f>"PFES1162631476_0001"</f>
        <v>PFES1162631476_0001</v>
      </c>
      <c r="L1949" s="10">
        <v>1</v>
      </c>
      <c r="M1949" s="10">
        <v>1</v>
      </c>
    </row>
    <row r="1950" spans="1:13">
      <c r="A1950" s="8">
        <v>43276</v>
      </c>
      <c r="B1950" s="9">
        <v>0.67291666666666661</v>
      </c>
      <c r="C1950" s="10" t="str">
        <f>"FES1162631450"</f>
        <v>FES1162631450</v>
      </c>
      <c r="D1950" s="10" t="s">
        <v>19</v>
      </c>
      <c r="E1950" s="10" t="s">
        <v>117</v>
      </c>
      <c r="F1950" s="10" t="str">
        <f>"2170638044 "</f>
        <v xml:space="preserve">2170638044 </v>
      </c>
      <c r="G1950" s="10" t="str">
        <f t="shared" si="57"/>
        <v>ON1</v>
      </c>
      <c r="H1950" s="10" t="s">
        <v>21</v>
      </c>
      <c r="I1950" s="10" t="s">
        <v>118</v>
      </c>
      <c r="J1950" s="10" t="str">
        <f>""</f>
        <v/>
      </c>
      <c r="K1950" s="10" t="str">
        <f>"PFES1162631450_0001"</f>
        <v>PFES1162631450_0001</v>
      </c>
      <c r="L1950" s="10">
        <v>1</v>
      </c>
      <c r="M1950" s="10">
        <v>1</v>
      </c>
    </row>
    <row r="1951" spans="1:13">
      <c r="A1951" s="8">
        <v>43276</v>
      </c>
      <c r="B1951" s="9">
        <v>0.67291666666666661</v>
      </c>
      <c r="C1951" s="10" t="str">
        <f>"FES1162631466"</f>
        <v>FES1162631466</v>
      </c>
      <c r="D1951" s="10" t="s">
        <v>19</v>
      </c>
      <c r="E1951" s="10" t="s">
        <v>503</v>
      </c>
      <c r="F1951" s="10" t="str">
        <f>"2170638377 "</f>
        <v xml:space="preserve">2170638377 </v>
      </c>
      <c r="G1951" s="10" t="str">
        <f t="shared" si="57"/>
        <v>ON1</v>
      </c>
      <c r="H1951" s="10" t="s">
        <v>21</v>
      </c>
      <c r="I1951" s="10" t="s">
        <v>158</v>
      </c>
      <c r="J1951" s="10" t="str">
        <f>""</f>
        <v/>
      </c>
      <c r="K1951" s="10" t="str">
        <f>"PFES1162631466_0001"</f>
        <v>PFES1162631466_0001</v>
      </c>
      <c r="L1951" s="10">
        <v>1</v>
      </c>
      <c r="M1951" s="10">
        <v>1</v>
      </c>
    </row>
    <row r="1952" spans="1:13">
      <c r="A1952" s="8">
        <v>43276</v>
      </c>
      <c r="B1952" s="9">
        <v>0.67222222222222217</v>
      </c>
      <c r="C1952" s="10" t="str">
        <f>"FES1162631448"</f>
        <v>FES1162631448</v>
      </c>
      <c r="D1952" s="10" t="s">
        <v>19</v>
      </c>
      <c r="E1952" s="10" t="s">
        <v>76</v>
      </c>
      <c r="F1952" s="10" t="str">
        <f>"2170636512 "</f>
        <v xml:space="preserve">2170636512 </v>
      </c>
      <c r="G1952" s="10" t="str">
        <f t="shared" si="57"/>
        <v>ON1</v>
      </c>
      <c r="H1952" s="10" t="s">
        <v>21</v>
      </c>
      <c r="I1952" s="10" t="s">
        <v>77</v>
      </c>
      <c r="J1952" s="10" t="str">
        <f>""</f>
        <v/>
      </c>
      <c r="K1952" s="10" t="str">
        <f>"PFES1162631448_0001"</f>
        <v>PFES1162631448_0001</v>
      </c>
      <c r="L1952" s="10">
        <v>1</v>
      </c>
      <c r="M1952" s="10">
        <v>11</v>
      </c>
    </row>
    <row r="1953" spans="1:13">
      <c r="A1953" s="8">
        <v>43276</v>
      </c>
      <c r="B1953" s="9">
        <v>0.67222222222222217</v>
      </c>
      <c r="C1953" s="10" t="str">
        <f>"FES1162631462"</f>
        <v>FES1162631462</v>
      </c>
      <c r="D1953" s="10" t="s">
        <v>19</v>
      </c>
      <c r="E1953" s="10" t="s">
        <v>933</v>
      </c>
      <c r="F1953" s="10" t="str">
        <f>"2170635578 "</f>
        <v xml:space="preserve">2170635578 </v>
      </c>
      <c r="G1953" s="10" t="str">
        <f t="shared" si="57"/>
        <v>ON1</v>
      </c>
      <c r="H1953" s="10" t="s">
        <v>21</v>
      </c>
      <c r="I1953" s="10" t="s">
        <v>934</v>
      </c>
      <c r="J1953" s="10" t="str">
        <f>""</f>
        <v/>
      </c>
      <c r="K1953" s="10" t="str">
        <f>"PFES1162631462_0001"</f>
        <v>PFES1162631462_0001</v>
      </c>
      <c r="L1953" s="10">
        <v>1</v>
      </c>
      <c r="M1953" s="10">
        <v>1</v>
      </c>
    </row>
    <row r="1954" spans="1:13">
      <c r="A1954" s="8">
        <v>43276</v>
      </c>
      <c r="B1954" s="9">
        <v>0.67222222222222217</v>
      </c>
      <c r="C1954" s="10" t="str">
        <f>"FES1162631474"</f>
        <v>FES1162631474</v>
      </c>
      <c r="D1954" s="10" t="s">
        <v>19</v>
      </c>
      <c r="E1954" s="10" t="s">
        <v>117</v>
      </c>
      <c r="F1954" s="10" t="str">
        <f>"2170623775 "</f>
        <v xml:space="preserve">2170623775 </v>
      </c>
      <c r="G1954" s="10" t="str">
        <f t="shared" si="57"/>
        <v>ON1</v>
      </c>
      <c r="H1954" s="10" t="s">
        <v>21</v>
      </c>
      <c r="I1954" s="10" t="s">
        <v>118</v>
      </c>
      <c r="J1954" s="10" t="str">
        <f>""</f>
        <v/>
      </c>
      <c r="K1954" s="10" t="str">
        <f>"PFES1162631474_0001"</f>
        <v>PFES1162631474_0001</v>
      </c>
      <c r="L1954" s="10">
        <v>1</v>
      </c>
      <c r="M1954" s="10">
        <v>1</v>
      </c>
    </row>
    <row r="1955" spans="1:13">
      <c r="A1955" s="8">
        <v>43276</v>
      </c>
      <c r="B1955" s="9">
        <v>0.67152777777777783</v>
      </c>
      <c r="C1955" s="10" t="str">
        <f>"FES1162631464"</f>
        <v>FES1162631464</v>
      </c>
      <c r="D1955" s="10" t="s">
        <v>19</v>
      </c>
      <c r="E1955" s="10" t="s">
        <v>935</v>
      </c>
      <c r="F1955" s="10" t="str">
        <f>"2170638386 "</f>
        <v xml:space="preserve">2170638386 </v>
      </c>
      <c r="G1955" s="10" t="str">
        <f t="shared" si="57"/>
        <v>ON1</v>
      </c>
      <c r="H1955" s="10" t="s">
        <v>21</v>
      </c>
      <c r="I1955" s="10" t="s">
        <v>810</v>
      </c>
      <c r="J1955" s="10" t="str">
        <f>""</f>
        <v/>
      </c>
      <c r="K1955" s="10" t="str">
        <f>"PFES1162631464_0001"</f>
        <v>PFES1162631464_0001</v>
      </c>
      <c r="L1955" s="10">
        <v>1</v>
      </c>
      <c r="M1955" s="10">
        <v>1</v>
      </c>
    </row>
    <row r="1956" spans="1:13">
      <c r="A1956" s="8">
        <v>43276</v>
      </c>
      <c r="B1956" s="9">
        <v>0.67152777777777783</v>
      </c>
      <c r="C1956" s="10" t="str">
        <f>"FES1162631453"</f>
        <v>FES1162631453</v>
      </c>
      <c r="D1956" s="10" t="s">
        <v>19</v>
      </c>
      <c r="E1956" s="10" t="s">
        <v>270</v>
      </c>
      <c r="F1956" s="10" t="str">
        <f>"2170638366 "</f>
        <v xml:space="preserve">2170638366 </v>
      </c>
      <c r="G1956" s="10" t="str">
        <f t="shared" si="57"/>
        <v>ON1</v>
      </c>
      <c r="H1956" s="10" t="s">
        <v>21</v>
      </c>
      <c r="I1956" s="10" t="s">
        <v>238</v>
      </c>
      <c r="J1956" s="10" t="str">
        <f>""</f>
        <v/>
      </c>
      <c r="K1956" s="10" t="str">
        <f>"PFES1162631453_0001"</f>
        <v>PFES1162631453_0001</v>
      </c>
      <c r="L1956" s="10">
        <v>1</v>
      </c>
      <c r="M1956" s="10">
        <v>1</v>
      </c>
    </row>
    <row r="1957" spans="1:13">
      <c r="A1957" s="8">
        <v>43276</v>
      </c>
      <c r="B1957" s="9">
        <v>0.67083333333333339</v>
      </c>
      <c r="C1957" s="10" t="str">
        <f>"FES1162631472"</f>
        <v>FES1162631472</v>
      </c>
      <c r="D1957" s="10" t="s">
        <v>19</v>
      </c>
      <c r="E1957" s="10" t="s">
        <v>135</v>
      </c>
      <c r="F1957" s="10" t="str">
        <f>"2170637469 "</f>
        <v xml:space="preserve">2170637469 </v>
      </c>
      <c r="G1957" s="10" t="str">
        <f t="shared" si="57"/>
        <v>ON1</v>
      </c>
      <c r="H1957" s="10" t="s">
        <v>21</v>
      </c>
      <c r="I1957" s="10" t="s">
        <v>136</v>
      </c>
      <c r="J1957" s="10" t="str">
        <f>""</f>
        <v/>
      </c>
      <c r="K1957" s="10" t="str">
        <f>"PFES1162631472_0001"</f>
        <v>PFES1162631472_0001</v>
      </c>
      <c r="L1957" s="10">
        <v>1</v>
      </c>
      <c r="M1957" s="10">
        <v>4</v>
      </c>
    </row>
    <row r="1958" spans="1:13">
      <c r="A1958" s="8">
        <v>43276</v>
      </c>
      <c r="B1958" s="9">
        <v>0.66875000000000007</v>
      </c>
      <c r="C1958" s="10" t="str">
        <f>"FES1162631451"</f>
        <v>FES1162631451</v>
      </c>
      <c r="D1958" s="10" t="s">
        <v>19</v>
      </c>
      <c r="E1958" s="10" t="s">
        <v>60</v>
      </c>
      <c r="F1958" s="10" t="str">
        <f>"2170638099 "</f>
        <v xml:space="preserve">2170638099 </v>
      </c>
      <c r="G1958" s="10" t="str">
        <f t="shared" si="57"/>
        <v>ON1</v>
      </c>
      <c r="H1958" s="10" t="s">
        <v>21</v>
      </c>
      <c r="I1958" s="10" t="s">
        <v>61</v>
      </c>
      <c r="J1958" s="10" t="str">
        <f>""</f>
        <v/>
      </c>
      <c r="K1958" s="10" t="str">
        <f>"PFES1162631451_0001"</f>
        <v>PFES1162631451_0001</v>
      </c>
      <c r="L1958" s="10">
        <v>1</v>
      </c>
      <c r="M1958" s="10">
        <v>3</v>
      </c>
    </row>
    <row r="1959" spans="1:13">
      <c r="A1959" s="8">
        <v>43276</v>
      </c>
      <c r="B1959" s="9">
        <v>0.66736111111111107</v>
      </c>
      <c r="C1959" s="10" t="str">
        <f>"FES1162631473"</f>
        <v>FES1162631473</v>
      </c>
      <c r="D1959" s="10" t="s">
        <v>19</v>
      </c>
      <c r="E1959" s="10" t="s">
        <v>87</v>
      </c>
      <c r="F1959" s="10" t="str">
        <f>"2170638098 "</f>
        <v xml:space="preserve">2170638098 </v>
      </c>
      <c r="G1959" s="10" t="str">
        <f t="shared" si="57"/>
        <v>ON1</v>
      </c>
      <c r="H1959" s="10" t="s">
        <v>21</v>
      </c>
      <c r="I1959" s="10" t="s">
        <v>61</v>
      </c>
      <c r="J1959" s="10" t="str">
        <f>""</f>
        <v/>
      </c>
      <c r="K1959" s="10" t="str">
        <f>"PFES1162631473_0001"</f>
        <v>PFES1162631473_0001</v>
      </c>
      <c r="L1959" s="10">
        <v>1</v>
      </c>
      <c r="M1959" s="10">
        <v>2</v>
      </c>
    </row>
    <row r="1960" spans="1:13">
      <c r="A1960" s="8">
        <v>43276</v>
      </c>
      <c r="B1960" s="9">
        <v>0.66597222222222219</v>
      </c>
      <c r="C1960" s="10" t="str">
        <f>"FES1162631478"</f>
        <v>FES1162631478</v>
      </c>
      <c r="D1960" s="10" t="s">
        <v>19</v>
      </c>
      <c r="E1960" s="10" t="s">
        <v>145</v>
      </c>
      <c r="F1960" s="10" t="str">
        <f>"2170637755 "</f>
        <v xml:space="preserve">2170637755 </v>
      </c>
      <c r="G1960" s="10" t="str">
        <f t="shared" si="57"/>
        <v>ON1</v>
      </c>
      <c r="H1960" s="10" t="s">
        <v>21</v>
      </c>
      <c r="I1960" s="10" t="s">
        <v>146</v>
      </c>
      <c r="J1960" s="10" t="str">
        <f>""</f>
        <v/>
      </c>
      <c r="K1960" s="10" t="str">
        <f>"PFES1162631478_0001"</f>
        <v>PFES1162631478_0001</v>
      </c>
      <c r="L1960" s="10">
        <v>1</v>
      </c>
      <c r="M1960" s="10">
        <v>2</v>
      </c>
    </row>
    <row r="1961" spans="1:13">
      <c r="A1961" s="8">
        <v>43276</v>
      </c>
      <c r="B1961" s="9">
        <v>0.6645833333333333</v>
      </c>
      <c r="C1961" s="10" t="str">
        <f>"FES1162631444"</f>
        <v>FES1162631444</v>
      </c>
      <c r="D1961" s="10" t="s">
        <v>19</v>
      </c>
      <c r="E1961" s="10" t="s">
        <v>730</v>
      </c>
      <c r="F1961" s="10" t="str">
        <f>"2170638367 "</f>
        <v xml:space="preserve">2170638367 </v>
      </c>
      <c r="G1961" s="10" t="str">
        <f t="shared" si="57"/>
        <v>ON1</v>
      </c>
      <c r="H1961" s="10" t="s">
        <v>21</v>
      </c>
      <c r="I1961" s="10" t="s">
        <v>96</v>
      </c>
      <c r="J1961" s="10" t="str">
        <f>""</f>
        <v/>
      </c>
      <c r="K1961" s="10" t="str">
        <f>"PFES1162631444_0001"</f>
        <v>PFES1162631444_0001</v>
      </c>
      <c r="L1961" s="10">
        <v>1</v>
      </c>
      <c r="M1961" s="10">
        <v>4</v>
      </c>
    </row>
    <row r="1962" spans="1:13">
      <c r="A1962" s="8">
        <v>43276</v>
      </c>
      <c r="B1962" s="9">
        <v>0.65902777777777777</v>
      </c>
      <c r="C1962" s="10" t="str">
        <f>"FES1162631416"</f>
        <v>FES1162631416</v>
      </c>
      <c r="D1962" s="10" t="s">
        <v>19</v>
      </c>
      <c r="E1962" s="10" t="s">
        <v>465</v>
      </c>
      <c r="F1962" s="10" t="str">
        <f>"2170638322 "</f>
        <v xml:space="preserve">2170638322 </v>
      </c>
      <c r="G1962" s="10" t="str">
        <f t="shared" si="57"/>
        <v>ON1</v>
      </c>
      <c r="H1962" s="10" t="s">
        <v>21</v>
      </c>
      <c r="I1962" s="10" t="s">
        <v>83</v>
      </c>
      <c r="J1962" s="10" t="str">
        <f>""</f>
        <v/>
      </c>
      <c r="K1962" s="10" t="str">
        <f>"PFES1162631416_0001"</f>
        <v>PFES1162631416_0001</v>
      </c>
      <c r="L1962" s="10">
        <v>1</v>
      </c>
      <c r="M1962" s="10">
        <v>1</v>
      </c>
    </row>
    <row r="1963" spans="1:13">
      <c r="A1963" s="8">
        <v>43276</v>
      </c>
      <c r="B1963" s="9">
        <v>0.65833333333333333</v>
      </c>
      <c r="C1963" s="10" t="str">
        <f>"FES1162631440"</f>
        <v>FES1162631440</v>
      </c>
      <c r="D1963" s="10" t="s">
        <v>19</v>
      </c>
      <c r="E1963" s="10" t="s">
        <v>145</v>
      </c>
      <c r="F1963" s="10" t="str">
        <f>"2170638360 "</f>
        <v xml:space="preserve">2170638360 </v>
      </c>
      <c r="G1963" s="10" t="str">
        <f t="shared" si="57"/>
        <v>ON1</v>
      </c>
      <c r="H1963" s="10" t="s">
        <v>21</v>
      </c>
      <c r="I1963" s="10" t="s">
        <v>146</v>
      </c>
      <c r="J1963" s="10" t="str">
        <f>""</f>
        <v/>
      </c>
      <c r="K1963" s="10" t="str">
        <f>"PFES1162631440_0001"</f>
        <v>PFES1162631440_0001</v>
      </c>
      <c r="L1963" s="10">
        <v>1</v>
      </c>
      <c r="M1963" s="10">
        <v>1</v>
      </c>
    </row>
    <row r="1964" spans="1:13">
      <c r="A1964" s="8">
        <v>43276</v>
      </c>
      <c r="B1964" s="9">
        <v>0.65763888888888888</v>
      </c>
      <c r="C1964" s="10" t="str">
        <f>"FES1162631454"</f>
        <v>FES1162631454</v>
      </c>
      <c r="D1964" s="10" t="s">
        <v>19</v>
      </c>
      <c r="E1964" s="10" t="s">
        <v>94</v>
      </c>
      <c r="F1964" s="10" t="str">
        <f>"2170638370 "</f>
        <v xml:space="preserve">2170638370 </v>
      </c>
      <c r="G1964" s="10" t="str">
        <f t="shared" si="57"/>
        <v>ON1</v>
      </c>
      <c r="H1964" s="10" t="s">
        <v>21</v>
      </c>
      <c r="I1964" s="10" t="s">
        <v>55</v>
      </c>
      <c r="J1964" s="10" t="str">
        <f>""</f>
        <v/>
      </c>
      <c r="K1964" s="10" t="str">
        <f>"PFES1162631454_0001"</f>
        <v>PFES1162631454_0001</v>
      </c>
      <c r="L1964" s="10">
        <v>1</v>
      </c>
      <c r="M1964" s="10">
        <v>1</v>
      </c>
    </row>
    <row r="1965" spans="1:13">
      <c r="A1965" s="8">
        <v>43276</v>
      </c>
      <c r="B1965" s="9">
        <v>0.65763888888888888</v>
      </c>
      <c r="C1965" s="10" t="str">
        <f>"FES1162631439"</f>
        <v>FES1162631439</v>
      </c>
      <c r="D1965" s="10" t="s">
        <v>19</v>
      </c>
      <c r="E1965" s="10" t="s">
        <v>54</v>
      </c>
      <c r="F1965" s="10" t="str">
        <f>"2170638359 "</f>
        <v xml:space="preserve">2170638359 </v>
      </c>
      <c r="G1965" s="10" t="str">
        <f t="shared" si="57"/>
        <v>ON1</v>
      </c>
      <c r="H1965" s="10" t="s">
        <v>21</v>
      </c>
      <c r="I1965" s="10" t="s">
        <v>55</v>
      </c>
      <c r="J1965" s="10" t="str">
        <f>""</f>
        <v/>
      </c>
      <c r="K1965" s="10" t="str">
        <f>"PFES1162631439_0001"</f>
        <v>PFES1162631439_0001</v>
      </c>
      <c r="L1965" s="10">
        <v>1</v>
      </c>
      <c r="M1965" s="10">
        <v>1</v>
      </c>
    </row>
    <row r="1966" spans="1:13">
      <c r="A1966" s="8">
        <v>43276</v>
      </c>
      <c r="B1966" s="9">
        <v>0.65694444444444444</v>
      </c>
      <c r="C1966" s="10" t="str">
        <f>"FES1162631455"</f>
        <v>FES1162631455</v>
      </c>
      <c r="D1966" s="10" t="s">
        <v>19</v>
      </c>
      <c r="E1966" s="10" t="s">
        <v>537</v>
      </c>
      <c r="F1966" s="10" t="str">
        <f>"217063871 "</f>
        <v xml:space="preserve">217063871 </v>
      </c>
      <c r="G1966" s="10" t="str">
        <f t="shared" si="57"/>
        <v>ON1</v>
      </c>
      <c r="H1966" s="10" t="s">
        <v>21</v>
      </c>
      <c r="I1966" s="10" t="s">
        <v>303</v>
      </c>
      <c r="J1966" s="10" t="str">
        <f>""</f>
        <v/>
      </c>
      <c r="K1966" s="10" t="str">
        <f>"PFES1162631455_0001"</f>
        <v>PFES1162631455_0001</v>
      </c>
      <c r="L1966" s="10">
        <v>1</v>
      </c>
      <c r="M1966" s="10">
        <v>1</v>
      </c>
    </row>
    <row r="1967" spans="1:13">
      <c r="A1967" s="8">
        <v>43276</v>
      </c>
      <c r="B1967" s="9">
        <v>0.65486111111111112</v>
      </c>
      <c r="C1967" s="10" t="str">
        <f>"FES1162631467"</f>
        <v>FES1162631467</v>
      </c>
      <c r="D1967" s="10" t="s">
        <v>19</v>
      </c>
      <c r="E1967" s="10" t="s">
        <v>936</v>
      </c>
      <c r="F1967" s="10" t="str">
        <f>"2170638380 "</f>
        <v xml:space="preserve">2170638380 </v>
      </c>
      <c r="G1967" s="10" t="str">
        <f t="shared" si="57"/>
        <v>ON1</v>
      </c>
      <c r="H1967" s="10" t="s">
        <v>21</v>
      </c>
      <c r="I1967" s="10" t="s">
        <v>61</v>
      </c>
      <c r="J1967" s="10" t="str">
        <f>""</f>
        <v/>
      </c>
      <c r="K1967" s="10" t="str">
        <f>"PFES1162631467_0001"</f>
        <v>PFES1162631467_0001</v>
      </c>
      <c r="L1967" s="10">
        <v>1</v>
      </c>
      <c r="M1967" s="10">
        <v>1</v>
      </c>
    </row>
    <row r="1968" spans="1:13">
      <c r="A1968" s="8">
        <v>43276</v>
      </c>
      <c r="B1968" s="9">
        <v>0.65</v>
      </c>
      <c r="C1968" s="10" t="str">
        <f>"FES1162631370"</f>
        <v>FES1162631370</v>
      </c>
      <c r="D1968" s="10" t="s">
        <v>19</v>
      </c>
      <c r="E1968" s="10" t="s">
        <v>937</v>
      </c>
      <c r="F1968" s="10" t="str">
        <f>"2170635572 "</f>
        <v xml:space="preserve">2170635572 </v>
      </c>
      <c r="G1968" s="10" t="str">
        <f t="shared" si="57"/>
        <v>ON1</v>
      </c>
      <c r="H1968" s="10" t="s">
        <v>21</v>
      </c>
      <c r="I1968" s="10" t="s">
        <v>83</v>
      </c>
      <c r="J1968" s="10" t="str">
        <f>""</f>
        <v/>
      </c>
      <c r="K1968" s="10" t="str">
        <f>"PFES1162631370_0001"</f>
        <v>PFES1162631370_0001</v>
      </c>
      <c r="L1968" s="10">
        <v>1</v>
      </c>
      <c r="M1968" s="10">
        <v>1</v>
      </c>
    </row>
    <row r="1969" spans="1:13">
      <c r="A1969" s="8">
        <v>43276</v>
      </c>
      <c r="B1969" s="9">
        <v>0.64861111111111114</v>
      </c>
      <c r="C1969" s="10" t="str">
        <f>"FES1162631428"</f>
        <v>FES1162631428</v>
      </c>
      <c r="D1969" s="10" t="s">
        <v>19</v>
      </c>
      <c r="E1969" s="10" t="s">
        <v>119</v>
      </c>
      <c r="F1969" s="10" t="str">
        <f>"2170638346 "</f>
        <v xml:space="preserve">2170638346 </v>
      </c>
      <c r="G1969" s="10" t="str">
        <f t="shared" si="57"/>
        <v>ON1</v>
      </c>
      <c r="H1969" s="10" t="s">
        <v>21</v>
      </c>
      <c r="I1969" s="10" t="s">
        <v>83</v>
      </c>
      <c r="J1969" s="10" t="str">
        <f>""</f>
        <v/>
      </c>
      <c r="K1969" s="10" t="str">
        <f>"PFES1162631428_0001"</f>
        <v>PFES1162631428_0001</v>
      </c>
      <c r="L1969" s="10">
        <v>1</v>
      </c>
      <c r="M1969" s="10">
        <v>7</v>
      </c>
    </row>
    <row r="1970" spans="1:13">
      <c r="A1970" s="8">
        <v>43276</v>
      </c>
      <c r="B1970" s="9">
        <v>0.64861111111111114</v>
      </c>
      <c r="C1970" s="10" t="str">
        <f>"FES1162631426"</f>
        <v>FES1162631426</v>
      </c>
      <c r="D1970" s="10" t="s">
        <v>19</v>
      </c>
      <c r="E1970" s="10" t="s">
        <v>475</v>
      </c>
      <c r="F1970" s="10" t="str">
        <f>"21706383843 "</f>
        <v xml:space="preserve">21706383843 </v>
      </c>
      <c r="G1970" s="10" t="str">
        <f t="shared" si="57"/>
        <v>ON1</v>
      </c>
      <c r="H1970" s="10" t="s">
        <v>21</v>
      </c>
      <c r="I1970" s="10" t="s">
        <v>476</v>
      </c>
      <c r="J1970" s="10" t="str">
        <f>""</f>
        <v/>
      </c>
      <c r="K1970" s="10" t="str">
        <f>"PFES1162631426_0001"</f>
        <v>PFES1162631426_0001</v>
      </c>
      <c r="L1970" s="10">
        <v>1</v>
      </c>
      <c r="M1970" s="10">
        <v>1</v>
      </c>
    </row>
    <row r="1971" spans="1:13">
      <c r="A1971" s="8">
        <v>43276</v>
      </c>
      <c r="B1971" s="9">
        <v>0.64861111111111114</v>
      </c>
      <c r="C1971" s="10" t="str">
        <f>"FES1162631394"</f>
        <v>FES1162631394</v>
      </c>
      <c r="D1971" s="10" t="s">
        <v>19</v>
      </c>
      <c r="E1971" s="10" t="s">
        <v>536</v>
      </c>
      <c r="F1971" s="10" t="str">
        <f>"2170638293 "</f>
        <v xml:space="preserve">2170638293 </v>
      </c>
      <c r="G1971" s="10" t="str">
        <f t="shared" si="57"/>
        <v>ON1</v>
      </c>
      <c r="H1971" s="10" t="s">
        <v>21</v>
      </c>
      <c r="I1971" s="10" t="s">
        <v>487</v>
      </c>
      <c r="J1971" s="10" t="str">
        <f>""</f>
        <v/>
      </c>
      <c r="K1971" s="10" t="str">
        <f>"PFES1162631394_0001"</f>
        <v>PFES1162631394_0001</v>
      </c>
      <c r="L1971" s="10">
        <v>1</v>
      </c>
      <c r="M1971" s="10">
        <v>1</v>
      </c>
    </row>
    <row r="1972" spans="1:13">
      <c r="A1972" s="8">
        <v>43276</v>
      </c>
      <c r="B1972" s="9">
        <v>0.6479166666666667</v>
      </c>
      <c r="C1972" s="10" t="str">
        <f>"FES1162631366"</f>
        <v>FES1162631366</v>
      </c>
      <c r="D1972" s="10" t="s">
        <v>19</v>
      </c>
      <c r="E1972" s="10" t="s">
        <v>938</v>
      </c>
      <c r="F1972" s="10" t="str">
        <f>"2170634139 "</f>
        <v xml:space="preserve">2170634139 </v>
      </c>
      <c r="G1972" s="10" t="str">
        <f t="shared" si="57"/>
        <v>ON1</v>
      </c>
      <c r="H1972" s="10" t="s">
        <v>21</v>
      </c>
      <c r="I1972" s="10" t="s">
        <v>93</v>
      </c>
      <c r="J1972" s="10" t="str">
        <f>""</f>
        <v/>
      </c>
      <c r="K1972" s="10" t="str">
        <f>"PFES1162631366_0001"</f>
        <v>PFES1162631366_0001</v>
      </c>
      <c r="L1972" s="10">
        <v>1</v>
      </c>
      <c r="M1972" s="10">
        <v>1</v>
      </c>
    </row>
    <row r="1973" spans="1:13">
      <c r="A1973" s="8">
        <v>43276</v>
      </c>
      <c r="B1973" s="9">
        <v>0.64722222222222225</v>
      </c>
      <c r="C1973" s="10" t="str">
        <f>"FES1162631468"</f>
        <v>FES1162631468</v>
      </c>
      <c r="D1973" s="10" t="s">
        <v>19</v>
      </c>
      <c r="E1973" s="10" t="s">
        <v>143</v>
      </c>
      <c r="F1973" s="10" t="str">
        <f>"2170638381 "</f>
        <v xml:space="preserve">2170638381 </v>
      </c>
      <c r="G1973" s="10" t="str">
        <f t="shared" si="57"/>
        <v>ON1</v>
      </c>
      <c r="H1973" s="10" t="s">
        <v>21</v>
      </c>
      <c r="I1973" s="10" t="s">
        <v>144</v>
      </c>
      <c r="J1973" s="10" t="str">
        <f>""</f>
        <v/>
      </c>
      <c r="K1973" s="10" t="str">
        <f>"PFES1162631468_0001"</f>
        <v>PFES1162631468_0001</v>
      </c>
      <c r="L1973" s="10">
        <v>1</v>
      </c>
      <c r="M1973" s="10">
        <v>1</v>
      </c>
    </row>
    <row r="1974" spans="1:13">
      <c r="A1974" s="8">
        <v>43276</v>
      </c>
      <c r="B1974" s="9">
        <v>0.64722222222222225</v>
      </c>
      <c r="C1974" s="10" t="str">
        <f>"FES1162631364"</f>
        <v>FES1162631364</v>
      </c>
      <c r="D1974" s="10" t="s">
        <v>19</v>
      </c>
      <c r="E1974" s="10" t="s">
        <v>577</v>
      </c>
      <c r="F1974" s="10" t="str">
        <f>"2170633480 "</f>
        <v xml:space="preserve">2170633480 </v>
      </c>
      <c r="G1974" s="10" t="str">
        <f t="shared" si="57"/>
        <v>ON1</v>
      </c>
      <c r="H1974" s="10" t="s">
        <v>21</v>
      </c>
      <c r="I1974" s="10" t="s">
        <v>578</v>
      </c>
      <c r="J1974" s="10" t="str">
        <f>""</f>
        <v/>
      </c>
      <c r="K1974" s="10" t="str">
        <f>"PFES1162631364_0001"</f>
        <v>PFES1162631364_0001</v>
      </c>
      <c r="L1974" s="10">
        <v>1</v>
      </c>
      <c r="M1974" s="10">
        <v>4</v>
      </c>
    </row>
    <row r="1975" spans="1:13">
      <c r="A1975" s="8">
        <v>43276</v>
      </c>
      <c r="B1975" s="9">
        <v>0.64583333333333337</v>
      </c>
      <c r="C1975" s="10" t="str">
        <f>"FES1162631371"</f>
        <v>FES1162631371</v>
      </c>
      <c r="D1975" s="10" t="s">
        <v>19</v>
      </c>
      <c r="E1975" s="10" t="s">
        <v>312</v>
      </c>
      <c r="F1975" s="10" t="str">
        <f>"2170635859 "</f>
        <v xml:space="preserve">2170635859 </v>
      </c>
      <c r="G1975" s="10" t="str">
        <f t="shared" si="57"/>
        <v>ON1</v>
      </c>
      <c r="H1975" s="10" t="s">
        <v>21</v>
      </c>
      <c r="I1975" s="10" t="s">
        <v>313</v>
      </c>
      <c r="J1975" s="10" t="str">
        <f>""</f>
        <v/>
      </c>
      <c r="K1975" s="10" t="str">
        <f>"PFES1162631371_0001"</f>
        <v>PFES1162631371_0001</v>
      </c>
      <c r="L1975" s="10">
        <v>1</v>
      </c>
      <c r="M1975" s="10">
        <v>7</v>
      </c>
    </row>
    <row r="1976" spans="1:13">
      <c r="A1976" s="8">
        <v>43276</v>
      </c>
      <c r="B1976" s="9">
        <v>0.64444444444444449</v>
      </c>
      <c r="C1976" s="10" t="str">
        <f>"FES1162631405"</f>
        <v>FES1162631405</v>
      </c>
      <c r="D1976" s="10" t="s">
        <v>19</v>
      </c>
      <c r="E1976" s="10" t="s">
        <v>436</v>
      </c>
      <c r="F1976" s="10" t="str">
        <f>"2170638307 "</f>
        <v xml:space="preserve">2170638307 </v>
      </c>
      <c r="G1976" s="10" t="str">
        <f t="shared" si="57"/>
        <v>ON1</v>
      </c>
      <c r="H1976" s="10" t="s">
        <v>21</v>
      </c>
      <c r="I1976" s="10" t="s">
        <v>437</v>
      </c>
      <c r="J1976" s="10" t="str">
        <f>""</f>
        <v/>
      </c>
      <c r="K1976" s="10" t="str">
        <f>"PFES1162631405_0001"</f>
        <v>PFES1162631405_0001</v>
      </c>
      <c r="L1976" s="10">
        <v>1</v>
      </c>
      <c r="M1976" s="10">
        <v>9</v>
      </c>
    </row>
    <row r="1977" spans="1:13">
      <c r="A1977" s="8">
        <v>43276</v>
      </c>
      <c r="B1977" s="9">
        <v>0.62986111111111109</v>
      </c>
      <c r="C1977" s="10" t="str">
        <f>"FES1162631427"</f>
        <v>FES1162631427</v>
      </c>
      <c r="D1977" s="10" t="s">
        <v>19</v>
      </c>
      <c r="E1977" s="10" t="s">
        <v>95</v>
      </c>
      <c r="F1977" s="10" t="str">
        <f>"2170638317 "</f>
        <v xml:space="preserve">2170638317 </v>
      </c>
      <c r="G1977" s="10" t="str">
        <f t="shared" si="57"/>
        <v>ON1</v>
      </c>
      <c r="H1977" s="10" t="s">
        <v>21</v>
      </c>
      <c r="I1977" s="10" t="s">
        <v>96</v>
      </c>
      <c r="J1977" s="10" t="str">
        <f>""</f>
        <v/>
      </c>
      <c r="K1977" s="10" t="str">
        <f>"PFES1162631427_0001"</f>
        <v>PFES1162631427_0001</v>
      </c>
      <c r="L1977" s="10">
        <v>1</v>
      </c>
      <c r="M1977" s="10">
        <v>14</v>
      </c>
    </row>
    <row r="1978" spans="1:13">
      <c r="A1978" s="8">
        <v>43276</v>
      </c>
      <c r="B1978" s="9">
        <v>0.62916666666666665</v>
      </c>
      <c r="C1978" s="10" t="str">
        <f>"FES1162631424"</f>
        <v>FES1162631424</v>
      </c>
      <c r="D1978" s="10" t="s">
        <v>19</v>
      </c>
      <c r="E1978" s="10" t="s">
        <v>143</v>
      </c>
      <c r="F1978" s="10" t="str">
        <f>"2170638336 "</f>
        <v xml:space="preserve">2170638336 </v>
      </c>
      <c r="G1978" s="10" t="str">
        <f t="shared" si="57"/>
        <v>ON1</v>
      </c>
      <c r="H1978" s="10" t="s">
        <v>21</v>
      </c>
      <c r="I1978" s="10" t="s">
        <v>144</v>
      </c>
      <c r="J1978" s="10" t="str">
        <f>""</f>
        <v/>
      </c>
      <c r="K1978" s="10" t="str">
        <f>"PFES1162631424_0001"</f>
        <v>PFES1162631424_0001</v>
      </c>
      <c r="L1978" s="10">
        <v>1</v>
      </c>
      <c r="M1978" s="10">
        <v>2</v>
      </c>
    </row>
    <row r="1979" spans="1:13">
      <c r="A1979" s="8">
        <v>43276</v>
      </c>
      <c r="B1979" s="9">
        <v>0.62847222222222221</v>
      </c>
      <c r="C1979" s="10" t="str">
        <f>"FES1162631333"</f>
        <v>FES1162631333</v>
      </c>
      <c r="D1979" s="10" t="s">
        <v>19</v>
      </c>
      <c r="E1979" s="10" t="s">
        <v>638</v>
      </c>
      <c r="F1979" s="10" t="str">
        <f>"2170637772 "</f>
        <v xml:space="preserve">2170637772 </v>
      </c>
      <c r="G1979" s="10" t="str">
        <f t="shared" si="57"/>
        <v>ON1</v>
      </c>
      <c r="H1979" s="10" t="s">
        <v>21</v>
      </c>
      <c r="I1979" s="10" t="s">
        <v>46</v>
      </c>
      <c r="J1979" s="10" t="str">
        <f>""</f>
        <v/>
      </c>
      <c r="K1979" s="10" t="str">
        <f>"PFES1162631333_0001"</f>
        <v>PFES1162631333_0001</v>
      </c>
      <c r="L1979" s="10">
        <v>1</v>
      </c>
      <c r="M1979" s="10">
        <v>10</v>
      </c>
    </row>
    <row r="1980" spans="1:13">
      <c r="A1980" s="8">
        <v>43276</v>
      </c>
      <c r="B1980" s="9">
        <v>0.62638888888888888</v>
      </c>
      <c r="C1980" s="10" t="str">
        <f>"FES1162630313"</f>
        <v>FES1162630313</v>
      </c>
      <c r="D1980" s="10" t="s">
        <v>19</v>
      </c>
      <c r="E1980" s="10" t="s">
        <v>598</v>
      </c>
      <c r="F1980" s="10" t="str">
        <f>"2170637132 "</f>
        <v xml:space="preserve">2170637132 </v>
      </c>
      <c r="G1980" s="10" t="str">
        <f t="shared" si="57"/>
        <v>ON1</v>
      </c>
      <c r="H1980" s="10" t="s">
        <v>21</v>
      </c>
      <c r="I1980" s="10" t="s">
        <v>260</v>
      </c>
      <c r="J1980" s="10" t="str">
        <f>""</f>
        <v/>
      </c>
      <c r="K1980" s="10" t="str">
        <f>"PFES1162630313_0001"</f>
        <v>PFES1162630313_0001</v>
      </c>
      <c r="L1980" s="10">
        <v>1</v>
      </c>
      <c r="M1980" s="10">
        <v>4</v>
      </c>
    </row>
    <row r="1981" spans="1:13">
      <c r="A1981" s="8">
        <v>43276</v>
      </c>
      <c r="B1981" s="9">
        <v>0.6118055555555556</v>
      </c>
      <c r="C1981" s="10" t="str">
        <f>"FES1162631434"</f>
        <v>FES1162631434</v>
      </c>
      <c r="D1981" s="10" t="s">
        <v>19</v>
      </c>
      <c r="E1981" s="10" t="s">
        <v>939</v>
      </c>
      <c r="F1981" s="10" t="str">
        <f>"2170638350 "</f>
        <v xml:space="preserve">2170638350 </v>
      </c>
      <c r="G1981" s="10" t="str">
        <f t="shared" si="57"/>
        <v>ON1</v>
      </c>
      <c r="H1981" s="10" t="s">
        <v>21</v>
      </c>
      <c r="I1981" s="10" t="s">
        <v>30</v>
      </c>
      <c r="J1981" s="10" t="str">
        <f>""</f>
        <v/>
      </c>
      <c r="K1981" s="10" t="str">
        <f>"PFES1162631434_0001"</f>
        <v>PFES1162631434_0001</v>
      </c>
      <c r="L1981" s="10">
        <v>1</v>
      </c>
      <c r="M1981" s="10">
        <v>1</v>
      </c>
    </row>
    <row r="1982" spans="1:13">
      <c r="A1982" s="8">
        <v>43276</v>
      </c>
      <c r="B1982" s="9">
        <v>0.61111111111111105</v>
      </c>
      <c r="C1982" s="10" t="str">
        <f>"FES1162631423"</f>
        <v>FES1162631423</v>
      </c>
      <c r="D1982" s="10" t="s">
        <v>19</v>
      </c>
      <c r="E1982" s="10" t="s">
        <v>60</v>
      </c>
      <c r="F1982" s="10" t="str">
        <f>"2170638334 "</f>
        <v xml:space="preserve">2170638334 </v>
      </c>
      <c r="G1982" s="10" t="str">
        <f t="shared" si="57"/>
        <v>ON1</v>
      </c>
      <c r="H1982" s="10" t="s">
        <v>21</v>
      </c>
      <c r="I1982" s="10" t="s">
        <v>61</v>
      </c>
      <c r="J1982" s="10" t="str">
        <f>""</f>
        <v/>
      </c>
      <c r="K1982" s="10" t="str">
        <f>"PFES1162631423_0001"</f>
        <v>PFES1162631423_0001</v>
      </c>
      <c r="L1982" s="10">
        <v>1</v>
      </c>
      <c r="M1982" s="10">
        <v>1</v>
      </c>
    </row>
    <row r="1983" spans="1:13">
      <c r="A1983" s="8">
        <v>43276</v>
      </c>
      <c r="B1983" s="9">
        <v>0.61111111111111105</v>
      </c>
      <c r="C1983" s="10" t="str">
        <f>"FES1162631432"</f>
        <v>FES1162631432</v>
      </c>
      <c r="D1983" s="10" t="s">
        <v>19</v>
      </c>
      <c r="E1983" s="10" t="s">
        <v>302</v>
      </c>
      <c r="F1983" s="10" t="str">
        <f>"2170638347 "</f>
        <v xml:space="preserve">2170638347 </v>
      </c>
      <c r="G1983" s="10" t="str">
        <f t="shared" si="57"/>
        <v>ON1</v>
      </c>
      <c r="H1983" s="10" t="s">
        <v>21</v>
      </c>
      <c r="I1983" s="10" t="s">
        <v>303</v>
      </c>
      <c r="J1983" s="10" t="str">
        <f>""</f>
        <v/>
      </c>
      <c r="K1983" s="10" t="str">
        <f>"PFES1162631432_0001"</f>
        <v>PFES1162631432_0001</v>
      </c>
      <c r="L1983" s="10">
        <v>1</v>
      </c>
      <c r="M1983" s="10">
        <v>1</v>
      </c>
    </row>
    <row r="1984" spans="1:13">
      <c r="A1984" s="8">
        <v>43276</v>
      </c>
      <c r="B1984" s="9">
        <v>0.61111111111111105</v>
      </c>
      <c r="C1984" s="10" t="str">
        <f>"FES1162631430"</f>
        <v>FES1162631430</v>
      </c>
      <c r="D1984" s="10" t="s">
        <v>19</v>
      </c>
      <c r="E1984" s="10" t="s">
        <v>302</v>
      </c>
      <c r="F1984" s="10" t="str">
        <f>"2170638342 "</f>
        <v xml:space="preserve">2170638342 </v>
      </c>
      <c r="G1984" s="10" t="str">
        <f t="shared" si="57"/>
        <v>ON1</v>
      </c>
      <c r="H1984" s="10" t="s">
        <v>21</v>
      </c>
      <c r="I1984" s="10" t="s">
        <v>303</v>
      </c>
      <c r="J1984" s="10" t="str">
        <f>""</f>
        <v/>
      </c>
      <c r="K1984" s="10" t="str">
        <f>"PFES1162631430_0001"</f>
        <v>PFES1162631430_0001</v>
      </c>
      <c r="L1984" s="10">
        <v>1</v>
      </c>
      <c r="M1984" s="10">
        <v>1</v>
      </c>
    </row>
    <row r="1985" spans="1:13">
      <c r="A1985" s="8">
        <v>43276</v>
      </c>
      <c r="B1985" s="9">
        <v>0.61041666666666672</v>
      </c>
      <c r="C1985" s="10" t="str">
        <f>"FES1162631431"</f>
        <v>FES1162631431</v>
      </c>
      <c r="D1985" s="10" t="s">
        <v>19</v>
      </c>
      <c r="E1985" s="10" t="s">
        <v>302</v>
      </c>
      <c r="F1985" s="10" t="str">
        <f>"2170638344 "</f>
        <v xml:space="preserve">2170638344 </v>
      </c>
      <c r="G1985" s="10" t="str">
        <f t="shared" si="57"/>
        <v>ON1</v>
      </c>
      <c r="H1985" s="10" t="s">
        <v>21</v>
      </c>
      <c r="I1985" s="10" t="s">
        <v>303</v>
      </c>
      <c r="J1985" s="10" t="str">
        <f>""</f>
        <v/>
      </c>
      <c r="K1985" s="10" t="str">
        <f>"PFES1162631431_0001"</f>
        <v>PFES1162631431_0001</v>
      </c>
      <c r="L1985" s="10">
        <v>1</v>
      </c>
      <c r="M1985" s="10">
        <v>1</v>
      </c>
    </row>
    <row r="1986" spans="1:13">
      <c r="A1986" s="8">
        <v>43276</v>
      </c>
      <c r="B1986" s="9">
        <v>0.61041666666666672</v>
      </c>
      <c r="C1986" s="10" t="str">
        <f>"FES1162631429"</f>
        <v>FES1162631429</v>
      </c>
      <c r="D1986" s="10" t="s">
        <v>19</v>
      </c>
      <c r="E1986" s="10" t="s">
        <v>302</v>
      </c>
      <c r="F1986" s="10" t="str">
        <f>"2170638340 "</f>
        <v xml:space="preserve">2170638340 </v>
      </c>
      <c r="G1986" s="10" t="str">
        <f t="shared" si="57"/>
        <v>ON1</v>
      </c>
      <c r="H1986" s="10" t="s">
        <v>21</v>
      </c>
      <c r="I1986" s="10" t="s">
        <v>303</v>
      </c>
      <c r="J1986" s="10" t="str">
        <f>""</f>
        <v/>
      </c>
      <c r="K1986" s="10" t="str">
        <f>"PFES1162631429_0001"</f>
        <v>PFES1162631429_0001</v>
      </c>
      <c r="L1986" s="10">
        <v>1</v>
      </c>
      <c r="M1986" s="10">
        <v>1</v>
      </c>
    </row>
    <row r="1987" spans="1:13">
      <c r="A1987" s="8">
        <v>43276</v>
      </c>
      <c r="B1987" s="9">
        <v>0.60138888888888886</v>
      </c>
      <c r="C1987" s="10" t="str">
        <f>"FES0000000001"</f>
        <v>FES0000000001</v>
      </c>
      <c r="D1987" s="10" t="s">
        <v>19</v>
      </c>
      <c r="E1987" s="10" t="s">
        <v>940</v>
      </c>
      <c r="F1987" s="10" t="str">
        <f>"TONNY "</f>
        <v xml:space="preserve">TONNY </v>
      </c>
      <c r="G1987" s="10" t="str">
        <f t="shared" si="57"/>
        <v>ON1</v>
      </c>
      <c r="H1987" s="10" t="s">
        <v>21</v>
      </c>
      <c r="I1987" s="10" t="s">
        <v>79</v>
      </c>
      <c r="J1987" s="10" t="str">
        <f>""</f>
        <v/>
      </c>
      <c r="K1987" s="10" t="str">
        <f>"PFES0000000001_0001"</f>
        <v>PFES0000000001_0001</v>
      </c>
      <c r="L1987" s="10">
        <v>1</v>
      </c>
      <c r="M1987" s="10">
        <v>1</v>
      </c>
    </row>
    <row r="1988" spans="1:13">
      <c r="A1988" s="8">
        <v>43276</v>
      </c>
      <c r="B1988" s="9">
        <v>0.6</v>
      </c>
      <c r="C1988" s="10" t="str">
        <f>"FES1162631425"</f>
        <v>FES1162631425</v>
      </c>
      <c r="D1988" s="10" t="s">
        <v>19</v>
      </c>
      <c r="E1988" s="10" t="s">
        <v>941</v>
      </c>
      <c r="F1988" s="10" t="str">
        <f>"2170638335 "</f>
        <v xml:space="preserve">2170638335 </v>
      </c>
      <c r="G1988" s="10" t="str">
        <f t="shared" si="57"/>
        <v>ON1</v>
      </c>
      <c r="H1988" s="10" t="s">
        <v>21</v>
      </c>
      <c r="I1988" s="10" t="s">
        <v>726</v>
      </c>
      <c r="J1988" s="10" t="str">
        <f>""</f>
        <v/>
      </c>
      <c r="K1988" s="10" t="str">
        <f>"PFES1162631425_0001"</f>
        <v>PFES1162631425_0001</v>
      </c>
      <c r="L1988" s="10">
        <v>1</v>
      </c>
      <c r="M1988" s="10">
        <v>1</v>
      </c>
    </row>
    <row r="1989" spans="1:13">
      <c r="A1989" s="8">
        <v>43276</v>
      </c>
      <c r="B1989" s="9">
        <v>0.59722222222222221</v>
      </c>
      <c r="C1989" s="10" t="str">
        <f>"FES1162631420"</f>
        <v>FES1162631420</v>
      </c>
      <c r="D1989" s="10" t="s">
        <v>19</v>
      </c>
      <c r="E1989" s="10" t="s">
        <v>263</v>
      </c>
      <c r="F1989" s="10" t="str">
        <f>"2170638330 "</f>
        <v xml:space="preserve">2170638330 </v>
      </c>
      <c r="G1989" s="10" t="str">
        <f t="shared" si="57"/>
        <v>ON1</v>
      </c>
      <c r="H1989" s="10" t="s">
        <v>21</v>
      </c>
      <c r="I1989" s="10" t="s">
        <v>230</v>
      </c>
      <c r="J1989" s="10" t="str">
        <f>""</f>
        <v/>
      </c>
      <c r="K1989" s="10" t="str">
        <f>"PFES1162631420_0001"</f>
        <v>PFES1162631420_0001</v>
      </c>
      <c r="L1989" s="10">
        <v>1</v>
      </c>
      <c r="M1989" s="10">
        <v>1</v>
      </c>
    </row>
    <row r="1990" spans="1:13">
      <c r="A1990" s="8">
        <v>43276</v>
      </c>
      <c r="B1990" s="9">
        <v>0.59652777777777777</v>
      </c>
      <c r="C1990" s="10" t="str">
        <f>"FES1162631414"</f>
        <v>FES1162631414</v>
      </c>
      <c r="D1990" s="10" t="s">
        <v>19</v>
      </c>
      <c r="E1990" s="10" t="s">
        <v>117</v>
      </c>
      <c r="F1990" s="10" t="str">
        <f>"2170638319 "</f>
        <v xml:space="preserve">2170638319 </v>
      </c>
      <c r="G1990" s="10" t="str">
        <f t="shared" si="57"/>
        <v>ON1</v>
      </c>
      <c r="H1990" s="10" t="s">
        <v>21</v>
      </c>
      <c r="I1990" s="10" t="s">
        <v>118</v>
      </c>
      <c r="J1990" s="10" t="str">
        <f>""</f>
        <v/>
      </c>
      <c r="K1990" s="10" t="str">
        <f>"PFES1162631414_0001"</f>
        <v>PFES1162631414_0001</v>
      </c>
      <c r="L1990" s="10">
        <v>1</v>
      </c>
      <c r="M1990" s="10">
        <v>1</v>
      </c>
    </row>
    <row r="1991" spans="1:13">
      <c r="A1991" s="8">
        <v>43276</v>
      </c>
      <c r="B1991" s="9">
        <v>0.59583333333333333</v>
      </c>
      <c r="C1991" s="10" t="str">
        <f>"FES1162631403"</f>
        <v>FES1162631403</v>
      </c>
      <c r="D1991" s="10" t="s">
        <v>19</v>
      </c>
      <c r="E1991" s="10" t="s">
        <v>117</v>
      </c>
      <c r="F1991" s="10" t="str">
        <f>"2170638303 "</f>
        <v xml:space="preserve">2170638303 </v>
      </c>
      <c r="G1991" s="10" t="str">
        <f t="shared" si="57"/>
        <v>ON1</v>
      </c>
      <c r="H1991" s="10" t="s">
        <v>21</v>
      </c>
      <c r="I1991" s="10" t="s">
        <v>118</v>
      </c>
      <c r="J1991" s="10" t="str">
        <f>""</f>
        <v/>
      </c>
      <c r="K1991" s="10" t="str">
        <f>"PFES1162631403_0001"</f>
        <v>PFES1162631403_0001</v>
      </c>
      <c r="L1991" s="10">
        <v>1</v>
      </c>
      <c r="M1991" s="10">
        <v>1</v>
      </c>
    </row>
    <row r="1992" spans="1:13">
      <c r="A1992" s="8">
        <v>43276</v>
      </c>
      <c r="B1992" s="9">
        <v>0.59444444444444444</v>
      </c>
      <c r="C1992" s="10" t="str">
        <f>"FES1162631422"</f>
        <v>FES1162631422</v>
      </c>
      <c r="D1992" s="10" t="s">
        <v>19</v>
      </c>
      <c r="E1992" s="10" t="s">
        <v>503</v>
      </c>
      <c r="F1992" s="10" t="str">
        <f>"2170638332 "</f>
        <v xml:space="preserve">2170638332 </v>
      </c>
      <c r="G1992" s="10" t="str">
        <f t="shared" si="57"/>
        <v>ON1</v>
      </c>
      <c r="H1992" s="10" t="s">
        <v>21</v>
      </c>
      <c r="I1992" s="10" t="s">
        <v>158</v>
      </c>
      <c r="J1992" s="10" t="str">
        <f>""</f>
        <v/>
      </c>
      <c r="K1992" s="10" t="str">
        <f>"PFES1162631422_0001"</f>
        <v>PFES1162631422_0001</v>
      </c>
      <c r="L1992" s="10">
        <v>1</v>
      </c>
      <c r="M1992" s="10">
        <v>1</v>
      </c>
    </row>
    <row r="1993" spans="1:13">
      <c r="A1993" s="8">
        <v>43276</v>
      </c>
      <c r="B1993" s="9">
        <v>0.59027777777777779</v>
      </c>
      <c r="C1993" s="10" t="str">
        <f>"FES1162631395"</f>
        <v>FES1162631395</v>
      </c>
      <c r="D1993" s="10" t="s">
        <v>19</v>
      </c>
      <c r="E1993" s="10" t="s">
        <v>229</v>
      </c>
      <c r="F1993" s="10" t="str">
        <f>"2170636229 "</f>
        <v xml:space="preserve">2170636229 </v>
      </c>
      <c r="G1993" s="10" t="str">
        <f t="shared" si="57"/>
        <v>ON1</v>
      </c>
      <c r="H1993" s="10" t="s">
        <v>21</v>
      </c>
      <c r="I1993" s="10" t="s">
        <v>230</v>
      </c>
      <c r="J1993" s="10" t="str">
        <f>""</f>
        <v/>
      </c>
      <c r="K1993" s="10" t="str">
        <f>"PFES1162631395_0001"</f>
        <v>PFES1162631395_0001</v>
      </c>
      <c r="L1993" s="10">
        <v>1</v>
      </c>
      <c r="M1993" s="10">
        <v>1</v>
      </c>
    </row>
    <row r="1994" spans="1:13">
      <c r="A1994" s="8">
        <v>43276</v>
      </c>
      <c r="B1994" s="9">
        <v>0.58958333333333335</v>
      </c>
      <c r="C1994" s="10" t="str">
        <f>"FES1162631318"</f>
        <v>FES1162631318</v>
      </c>
      <c r="D1994" s="10" t="s">
        <v>19</v>
      </c>
      <c r="E1994" s="10" t="s">
        <v>126</v>
      </c>
      <c r="F1994" s="10" t="str">
        <f>"2170633744 "</f>
        <v xml:space="preserve">2170633744 </v>
      </c>
      <c r="G1994" s="10" t="str">
        <f t="shared" si="57"/>
        <v>ON1</v>
      </c>
      <c r="H1994" s="10" t="s">
        <v>21</v>
      </c>
      <c r="I1994" s="10" t="s">
        <v>100</v>
      </c>
      <c r="J1994" s="10" t="str">
        <f>""</f>
        <v/>
      </c>
      <c r="K1994" s="10" t="str">
        <f>"PFES1162631318_0001"</f>
        <v>PFES1162631318_0001</v>
      </c>
      <c r="L1994" s="10">
        <v>1</v>
      </c>
      <c r="M1994" s="10">
        <v>3</v>
      </c>
    </row>
    <row r="1995" spans="1:13">
      <c r="A1995" s="8">
        <v>43276</v>
      </c>
      <c r="B1995" s="9">
        <v>0.58750000000000002</v>
      </c>
      <c r="C1995" s="10" t="str">
        <f>"FES1162631312"</f>
        <v>FES1162631312</v>
      </c>
      <c r="D1995" s="10" t="s">
        <v>19</v>
      </c>
      <c r="E1995" s="10" t="s">
        <v>925</v>
      </c>
      <c r="F1995" s="10" t="str">
        <f>"2170638209 "</f>
        <v xml:space="preserve">2170638209 </v>
      </c>
      <c r="G1995" s="10" t="str">
        <f t="shared" si="57"/>
        <v>ON1</v>
      </c>
      <c r="H1995" s="10" t="s">
        <v>21</v>
      </c>
      <c r="I1995" s="10" t="s">
        <v>69</v>
      </c>
      <c r="J1995" s="10" t="str">
        <f>""</f>
        <v/>
      </c>
      <c r="K1995" s="10" t="str">
        <f>"PFES1162631312_0001"</f>
        <v>PFES1162631312_0001</v>
      </c>
      <c r="L1995" s="10">
        <v>1</v>
      </c>
      <c r="M1995" s="10">
        <v>2</v>
      </c>
    </row>
    <row r="1996" spans="1:13">
      <c r="A1996" s="8">
        <v>43276</v>
      </c>
      <c r="B1996" s="9">
        <v>0.58680555555555558</v>
      </c>
      <c r="C1996" s="10" t="str">
        <f>"FES1162631409"</f>
        <v>FES1162631409</v>
      </c>
      <c r="D1996" s="10" t="s">
        <v>19</v>
      </c>
      <c r="E1996" s="10" t="s">
        <v>499</v>
      </c>
      <c r="F1996" s="10" t="str">
        <f>"2170638314 "</f>
        <v xml:space="preserve">2170638314 </v>
      </c>
      <c r="G1996" s="10" t="str">
        <f t="shared" si="57"/>
        <v>ON1</v>
      </c>
      <c r="H1996" s="10" t="s">
        <v>21</v>
      </c>
      <c r="I1996" s="10" t="s">
        <v>158</v>
      </c>
      <c r="J1996" s="10" t="str">
        <f>""</f>
        <v/>
      </c>
      <c r="K1996" s="10" t="str">
        <f>"PFES1162631409_0001"</f>
        <v>PFES1162631409_0001</v>
      </c>
      <c r="L1996" s="10">
        <v>1</v>
      </c>
      <c r="M1996" s="10">
        <v>4</v>
      </c>
    </row>
    <row r="1997" spans="1:13">
      <c r="A1997" s="8">
        <v>43276</v>
      </c>
      <c r="B1997" s="9">
        <v>0.5854166666666667</v>
      </c>
      <c r="C1997" s="10" t="str">
        <f>"FES1162631384"</f>
        <v>FES1162631384</v>
      </c>
      <c r="D1997" s="10" t="s">
        <v>19</v>
      </c>
      <c r="E1997" s="10" t="s">
        <v>191</v>
      </c>
      <c r="F1997" s="10" t="str">
        <f>"2170636728 "</f>
        <v xml:space="preserve">2170636728 </v>
      </c>
      <c r="G1997" s="10" t="str">
        <f t="shared" si="57"/>
        <v>ON1</v>
      </c>
      <c r="H1997" s="10" t="s">
        <v>21</v>
      </c>
      <c r="I1997" s="10" t="s">
        <v>192</v>
      </c>
      <c r="J1997" s="10" t="str">
        <f>""</f>
        <v/>
      </c>
      <c r="K1997" s="10" t="str">
        <f>"PFES1162631384_0001"</f>
        <v>PFES1162631384_0001</v>
      </c>
      <c r="L1997" s="10">
        <v>1</v>
      </c>
      <c r="M1997" s="10">
        <v>5</v>
      </c>
    </row>
    <row r="1998" spans="1:13">
      <c r="A1998" s="8">
        <v>43276</v>
      </c>
      <c r="B1998" s="9">
        <v>0.58472222222222225</v>
      </c>
      <c r="C1998" s="10" t="str">
        <f>"FES1162631361"</f>
        <v>FES1162631361</v>
      </c>
      <c r="D1998" s="10" t="s">
        <v>19</v>
      </c>
      <c r="E1998" s="10" t="s">
        <v>563</v>
      </c>
      <c r="F1998" s="10" t="str">
        <f>"2170632843 "</f>
        <v xml:space="preserve">2170632843 </v>
      </c>
      <c r="G1998" s="10" t="str">
        <f t="shared" si="57"/>
        <v>ON1</v>
      </c>
      <c r="H1998" s="10" t="s">
        <v>21</v>
      </c>
      <c r="I1998" s="10" t="s">
        <v>564</v>
      </c>
      <c r="J1998" s="10" t="str">
        <f>""</f>
        <v/>
      </c>
      <c r="K1998" s="10" t="str">
        <f>"PFES1162631361_0001"</f>
        <v>PFES1162631361_0001</v>
      </c>
      <c r="L1998" s="10">
        <v>1</v>
      </c>
      <c r="M1998" s="10">
        <v>2</v>
      </c>
    </row>
    <row r="1999" spans="1:13">
      <c r="A1999" s="8">
        <v>43276</v>
      </c>
      <c r="B1999" s="9">
        <v>0.58263888888888882</v>
      </c>
      <c r="C1999" s="10" t="str">
        <f>"FES1162631344"</f>
        <v>FES1162631344</v>
      </c>
      <c r="D1999" s="10" t="s">
        <v>19</v>
      </c>
      <c r="E1999" s="10" t="s">
        <v>373</v>
      </c>
      <c r="F1999" s="10" t="str">
        <f>"2170637674 "</f>
        <v xml:space="preserve">2170637674 </v>
      </c>
      <c r="G1999" s="10" t="str">
        <f>"DBC"</f>
        <v>DBC</v>
      </c>
      <c r="H1999" s="10" t="s">
        <v>21</v>
      </c>
      <c r="I1999" s="10" t="s">
        <v>75</v>
      </c>
      <c r="J1999" s="10" t="str">
        <f>""</f>
        <v/>
      </c>
      <c r="K1999" s="10" t="str">
        <f>"PFES1162631344_0001"</f>
        <v>PFES1162631344_0001</v>
      </c>
      <c r="L1999" s="10">
        <v>3</v>
      </c>
      <c r="M1999" s="10">
        <v>30</v>
      </c>
    </row>
    <row r="2000" spans="1:13">
      <c r="A2000" s="8">
        <v>43276</v>
      </c>
      <c r="B2000" s="9">
        <v>0.58263888888888882</v>
      </c>
      <c r="C2000" s="10" t="str">
        <f>"FES1162631410"</f>
        <v>FES1162631410</v>
      </c>
      <c r="D2000" s="10" t="s">
        <v>19</v>
      </c>
      <c r="E2000" s="10" t="s">
        <v>143</v>
      </c>
      <c r="F2000" s="10" t="str">
        <f>"2170638136 "</f>
        <v xml:space="preserve">2170638136 </v>
      </c>
      <c r="G2000" s="10" t="str">
        <f t="shared" ref="G2000:G2063" si="58">"ON1"</f>
        <v>ON1</v>
      </c>
      <c r="H2000" s="10" t="s">
        <v>21</v>
      </c>
      <c r="I2000" s="10" t="s">
        <v>144</v>
      </c>
      <c r="J2000" s="10" t="str">
        <f>""</f>
        <v/>
      </c>
      <c r="K2000" s="10" t="str">
        <f>"PFES1162631410_0001"</f>
        <v>PFES1162631410_0001</v>
      </c>
      <c r="L2000" s="10">
        <v>1</v>
      </c>
      <c r="M2000" s="10">
        <v>1</v>
      </c>
    </row>
    <row r="2001" spans="1:13">
      <c r="A2001" s="8">
        <v>43276</v>
      </c>
      <c r="B2001" s="9">
        <v>0.58194444444444449</v>
      </c>
      <c r="C2001" s="10" t="str">
        <f>"FES1162631352"</f>
        <v>FES1162631352</v>
      </c>
      <c r="D2001" s="10" t="s">
        <v>19</v>
      </c>
      <c r="E2001" s="10" t="s">
        <v>74</v>
      </c>
      <c r="F2001" s="10" t="str">
        <f>"2170638271 "</f>
        <v xml:space="preserve">2170638271 </v>
      </c>
      <c r="G2001" s="10" t="str">
        <f t="shared" si="58"/>
        <v>ON1</v>
      </c>
      <c r="H2001" s="10" t="s">
        <v>21</v>
      </c>
      <c r="I2001" s="10" t="s">
        <v>75</v>
      </c>
      <c r="J2001" s="10" t="str">
        <f>""</f>
        <v/>
      </c>
      <c r="K2001" s="10" t="str">
        <f>"PFES1162631352_0001"</f>
        <v>PFES1162631352_0001</v>
      </c>
      <c r="L2001" s="10">
        <v>1</v>
      </c>
      <c r="M2001" s="10">
        <v>1</v>
      </c>
    </row>
    <row r="2002" spans="1:13">
      <c r="A2002" s="8">
        <v>43276</v>
      </c>
      <c r="B2002" s="9">
        <v>0.58194444444444449</v>
      </c>
      <c r="C2002" s="10" t="str">
        <f>"FES1162631341"</f>
        <v>FES1162631341</v>
      </c>
      <c r="D2002" s="10" t="s">
        <v>19</v>
      </c>
      <c r="E2002" s="10" t="s">
        <v>942</v>
      </c>
      <c r="F2002" s="10" t="str">
        <f>"2170638252 "</f>
        <v xml:space="preserve">2170638252 </v>
      </c>
      <c r="G2002" s="10" t="str">
        <f t="shared" si="58"/>
        <v>ON1</v>
      </c>
      <c r="H2002" s="10" t="s">
        <v>21</v>
      </c>
      <c r="I2002" s="10" t="s">
        <v>93</v>
      </c>
      <c r="J2002" s="10" t="str">
        <f>""</f>
        <v/>
      </c>
      <c r="K2002" s="10" t="str">
        <f>"PFES1162631341_0001"</f>
        <v>PFES1162631341_0001</v>
      </c>
      <c r="L2002" s="10">
        <v>1</v>
      </c>
      <c r="M2002" s="10">
        <v>1</v>
      </c>
    </row>
    <row r="2003" spans="1:13">
      <c r="A2003" s="8">
        <v>43276</v>
      </c>
      <c r="B2003" s="9">
        <v>0.58194444444444449</v>
      </c>
      <c r="C2003" s="10" t="str">
        <f>"FES1162617775"</f>
        <v>FES1162617775</v>
      </c>
      <c r="D2003" s="10" t="s">
        <v>19</v>
      </c>
      <c r="E2003" s="10" t="s">
        <v>943</v>
      </c>
      <c r="F2003" s="10" t="str">
        <f>"2170624856 "</f>
        <v xml:space="preserve">2170624856 </v>
      </c>
      <c r="G2003" s="10" t="str">
        <f t="shared" si="58"/>
        <v>ON1</v>
      </c>
      <c r="H2003" s="10" t="s">
        <v>21</v>
      </c>
      <c r="I2003" s="10" t="s">
        <v>174</v>
      </c>
      <c r="J2003" s="10" t="str">
        <f>""</f>
        <v/>
      </c>
      <c r="K2003" s="10" t="str">
        <f>"PFES1162617775_0001"</f>
        <v>PFES1162617775_0001</v>
      </c>
      <c r="L2003" s="10">
        <v>1</v>
      </c>
      <c r="M2003" s="10">
        <v>3</v>
      </c>
    </row>
    <row r="2004" spans="1:13">
      <c r="A2004" s="8">
        <v>43276</v>
      </c>
      <c r="B2004" s="9">
        <v>0.58124999999999993</v>
      </c>
      <c r="C2004" s="10" t="str">
        <f>"FES1162631404"</f>
        <v>FES1162631404</v>
      </c>
      <c r="D2004" s="10" t="s">
        <v>19</v>
      </c>
      <c r="E2004" s="10" t="s">
        <v>612</v>
      </c>
      <c r="F2004" s="10" t="str">
        <f>"2170638304 "</f>
        <v xml:space="preserve">2170638304 </v>
      </c>
      <c r="G2004" s="10" t="str">
        <f t="shared" si="58"/>
        <v>ON1</v>
      </c>
      <c r="H2004" s="10" t="s">
        <v>21</v>
      </c>
      <c r="I2004" s="10" t="s">
        <v>112</v>
      </c>
      <c r="J2004" s="10" t="str">
        <f>""</f>
        <v/>
      </c>
      <c r="K2004" s="10" t="str">
        <f>"PFES1162631404_0001"</f>
        <v>PFES1162631404_0001</v>
      </c>
      <c r="L2004" s="10">
        <v>1</v>
      </c>
      <c r="M2004" s="10">
        <v>1</v>
      </c>
    </row>
    <row r="2005" spans="1:13">
      <c r="A2005" s="8">
        <v>43276</v>
      </c>
      <c r="B2005" s="9">
        <v>0.5805555555555556</v>
      </c>
      <c r="C2005" s="10" t="str">
        <f>"FES1162631406"</f>
        <v>FES1162631406</v>
      </c>
      <c r="D2005" s="10" t="s">
        <v>19</v>
      </c>
      <c r="E2005" s="10" t="s">
        <v>944</v>
      </c>
      <c r="F2005" s="10" t="str">
        <f>"2170638308 "</f>
        <v xml:space="preserve">2170638308 </v>
      </c>
      <c r="G2005" s="10" t="str">
        <f t="shared" si="58"/>
        <v>ON1</v>
      </c>
      <c r="H2005" s="10" t="s">
        <v>21</v>
      </c>
      <c r="I2005" s="10" t="s">
        <v>51</v>
      </c>
      <c r="J2005" s="10" t="str">
        <f>""</f>
        <v/>
      </c>
      <c r="K2005" s="10" t="str">
        <f>"PFES1162631406_0001"</f>
        <v>PFES1162631406_0001</v>
      </c>
      <c r="L2005" s="10">
        <v>1</v>
      </c>
      <c r="M2005" s="10">
        <v>1</v>
      </c>
    </row>
    <row r="2006" spans="1:13">
      <c r="A2006" s="8">
        <v>43276</v>
      </c>
      <c r="B2006" s="9">
        <v>0.5805555555555556</v>
      </c>
      <c r="C2006" s="10" t="str">
        <f>"FES1162631397"</f>
        <v>FES1162631397</v>
      </c>
      <c r="D2006" s="10" t="s">
        <v>19</v>
      </c>
      <c r="E2006" s="10" t="s">
        <v>945</v>
      </c>
      <c r="F2006" s="10" t="str">
        <f>"21706328929 "</f>
        <v xml:space="preserve">21706328929 </v>
      </c>
      <c r="G2006" s="10" t="str">
        <f t="shared" si="58"/>
        <v>ON1</v>
      </c>
      <c r="H2006" s="10" t="s">
        <v>21</v>
      </c>
      <c r="I2006" s="10" t="s">
        <v>267</v>
      </c>
      <c r="J2006" s="10" t="str">
        <f>""</f>
        <v/>
      </c>
      <c r="K2006" s="10" t="str">
        <f>"PFES1162631397_0001"</f>
        <v>PFES1162631397_0001</v>
      </c>
      <c r="L2006" s="10">
        <v>1</v>
      </c>
      <c r="M2006" s="10">
        <v>1</v>
      </c>
    </row>
    <row r="2007" spans="1:13">
      <c r="A2007" s="8">
        <v>43276</v>
      </c>
      <c r="B2007" s="9">
        <v>0.57986111111111105</v>
      </c>
      <c r="C2007" s="10" t="str">
        <f>"FES1162619248"</f>
        <v>FES1162619248</v>
      </c>
      <c r="D2007" s="10" t="s">
        <v>19</v>
      </c>
      <c r="E2007" s="10" t="s">
        <v>943</v>
      </c>
      <c r="F2007" s="10" t="str">
        <f>"2170624856 "</f>
        <v xml:space="preserve">2170624856 </v>
      </c>
      <c r="G2007" s="10" t="str">
        <f t="shared" si="58"/>
        <v>ON1</v>
      </c>
      <c r="H2007" s="10" t="s">
        <v>21</v>
      </c>
      <c r="I2007" s="10" t="s">
        <v>174</v>
      </c>
      <c r="J2007" s="10" t="str">
        <f>""</f>
        <v/>
      </c>
      <c r="K2007" s="10" t="str">
        <f>"PFES1162619248_0001"</f>
        <v>PFES1162619248_0001</v>
      </c>
      <c r="L2007" s="10">
        <v>1</v>
      </c>
      <c r="M2007" s="10">
        <v>2</v>
      </c>
    </row>
    <row r="2008" spans="1:13">
      <c r="A2008" s="8">
        <v>43276</v>
      </c>
      <c r="B2008" s="9">
        <v>0.57916666666666672</v>
      </c>
      <c r="C2008" s="10" t="str">
        <f>"FES1162631321"</f>
        <v>FES1162631321</v>
      </c>
      <c r="D2008" s="10" t="s">
        <v>19</v>
      </c>
      <c r="E2008" s="10" t="s">
        <v>946</v>
      </c>
      <c r="F2008" s="10" t="str">
        <f>"2170638222 "</f>
        <v xml:space="preserve">2170638222 </v>
      </c>
      <c r="G2008" s="10" t="str">
        <f t="shared" si="58"/>
        <v>ON1</v>
      </c>
      <c r="H2008" s="10" t="s">
        <v>21</v>
      </c>
      <c r="I2008" s="10" t="s">
        <v>860</v>
      </c>
      <c r="J2008" s="10" t="str">
        <f>""</f>
        <v/>
      </c>
      <c r="K2008" s="10" t="str">
        <f>"PFES1162631321_0001"</f>
        <v>PFES1162631321_0001</v>
      </c>
      <c r="L2008" s="10">
        <v>1</v>
      </c>
      <c r="M2008" s="10">
        <v>1</v>
      </c>
    </row>
    <row r="2009" spans="1:13">
      <c r="A2009" s="8">
        <v>43276</v>
      </c>
      <c r="B2009" s="9">
        <v>0.54097222222222219</v>
      </c>
      <c r="C2009" s="10" t="str">
        <f>"FES1162631383"</f>
        <v>FES1162631383</v>
      </c>
      <c r="D2009" s="10" t="s">
        <v>19</v>
      </c>
      <c r="E2009" s="10" t="s">
        <v>463</v>
      </c>
      <c r="F2009" s="10" t="str">
        <f>"2170634352 "</f>
        <v xml:space="preserve">2170634352 </v>
      </c>
      <c r="G2009" s="10" t="str">
        <f t="shared" si="58"/>
        <v>ON1</v>
      </c>
      <c r="H2009" s="10" t="s">
        <v>21</v>
      </c>
      <c r="I2009" s="10" t="s">
        <v>32</v>
      </c>
      <c r="J2009" s="10" t="str">
        <f>""</f>
        <v/>
      </c>
      <c r="K2009" s="10" t="str">
        <f>"PFES1162631383_0001"</f>
        <v>PFES1162631383_0001</v>
      </c>
      <c r="L2009" s="10">
        <v>2</v>
      </c>
      <c r="M2009" s="10">
        <v>7</v>
      </c>
    </row>
    <row r="2010" spans="1:13">
      <c r="A2010" s="8">
        <v>43276</v>
      </c>
      <c r="B2010" s="9">
        <v>0.53680555555555554</v>
      </c>
      <c r="C2010" s="10" t="str">
        <f>"FES1162631386"</f>
        <v>FES1162631386</v>
      </c>
      <c r="D2010" s="10" t="s">
        <v>19</v>
      </c>
      <c r="E2010" s="10" t="s">
        <v>565</v>
      </c>
      <c r="F2010" s="10" t="str">
        <f>"2170635667 "</f>
        <v xml:space="preserve">2170635667 </v>
      </c>
      <c r="G2010" s="10" t="str">
        <f t="shared" si="58"/>
        <v>ON1</v>
      </c>
      <c r="H2010" s="10" t="s">
        <v>21</v>
      </c>
      <c r="I2010" s="10" t="s">
        <v>26</v>
      </c>
      <c r="J2010" s="10" t="str">
        <f>""</f>
        <v/>
      </c>
      <c r="K2010" s="10" t="str">
        <f>"PFES1162631386_0001"</f>
        <v>PFES1162631386_0001</v>
      </c>
      <c r="L2010" s="10">
        <v>1</v>
      </c>
      <c r="M2010" s="10">
        <v>12</v>
      </c>
    </row>
    <row r="2011" spans="1:13">
      <c r="A2011" s="8">
        <v>43276</v>
      </c>
      <c r="B2011" s="9">
        <v>0.53402777777777777</v>
      </c>
      <c r="C2011" s="10" t="str">
        <f>"FES1162631369"</f>
        <v>FES1162631369</v>
      </c>
      <c r="D2011" s="10" t="s">
        <v>19</v>
      </c>
      <c r="E2011" s="10" t="s">
        <v>67</v>
      </c>
      <c r="F2011" s="10" t="str">
        <f>"2170635360 "</f>
        <v xml:space="preserve">2170635360 </v>
      </c>
      <c r="G2011" s="10" t="str">
        <f t="shared" si="58"/>
        <v>ON1</v>
      </c>
      <c r="H2011" s="10" t="s">
        <v>21</v>
      </c>
      <c r="I2011" s="10" t="s">
        <v>32</v>
      </c>
      <c r="J2011" s="10" t="str">
        <f>""</f>
        <v/>
      </c>
      <c r="K2011" s="10" t="str">
        <f>"PFES1162631369_0001"</f>
        <v>PFES1162631369_0001</v>
      </c>
      <c r="L2011" s="10">
        <v>1</v>
      </c>
      <c r="M2011" s="10">
        <v>3</v>
      </c>
    </row>
    <row r="2012" spans="1:13">
      <c r="A2012" s="8">
        <v>43276</v>
      </c>
      <c r="B2012" s="9">
        <v>0.53263888888888888</v>
      </c>
      <c r="C2012" s="10" t="str">
        <f>"FES1162631399"</f>
        <v>FES1162631399</v>
      </c>
      <c r="D2012" s="10" t="s">
        <v>19</v>
      </c>
      <c r="E2012" s="10" t="s">
        <v>509</v>
      </c>
      <c r="F2012" s="10" t="str">
        <f>"2170638297 "</f>
        <v xml:space="preserve">2170638297 </v>
      </c>
      <c r="G2012" s="10" t="str">
        <f t="shared" si="58"/>
        <v>ON1</v>
      </c>
      <c r="H2012" s="10" t="s">
        <v>21</v>
      </c>
      <c r="I2012" s="10" t="s">
        <v>53</v>
      </c>
      <c r="J2012" s="10" t="str">
        <f>""</f>
        <v/>
      </c>
      <c r="K2012" s="10" t="str">
        <f>"PFES1162631399_0001"</f>
        <v>PFES1162631399_0001</v>
      </c>
      <c r="L2012" s="10">
        <v>1</v>
      </c>
      <c r="M2012" s="10">
        <v>3</v>
      </c>
    </row>
    <row r="2013" spans="1:13">
      <c r="A2013" s="8">
        <v>43276</v>
      </c>
      <c r="B2013" s="9">
        <v>0.53125</v>
      </c>
      <c r="C2013" s="10" t="str">
        <f>"FES1162631402"</f>
        <v>FES1162631402</v>
      </c>
      <c r="D2013" s="10" t="s">
        <v>19</v>
      </c>
      <c r="E2013" s="10" t="s">
        <v>931</v>
      </c>
      <c r="F2013" s="10" t="str">
        <f>"2170638300 "</f>
        <v xml:space="preserve">2170638300 </v>
      </c>
      <c r="G2013" s="10" t="str">
        <f t="shared" si="58"/>
        <v>ON1</v>
      </c>
      <c r="H2013" s="10" t="s">
        <v>21</v>
      </c>
      <c r="I2013" s="10" t="s">
        <v>55</v>
      </c>
      <c r="J2013" s="10" t="str">
        <f>""</f>
        <v/>
      </c>
      <c r="K2013" s="10" t="str">
        <f>"PFES1162631402_0001"</f>
        <v>PFES1162631402_0001</v>
      </c>
      <c r="L2013" s="10">
        <v>1</v>
      </c>
      <c r="M2013" s="10">
        <v>4</v>
      </c>
    </row>
    <row r="2014" spans="1:13">
      <c r="A2014" s="8">
        <v>43276</v>
      </c>
      <c r="B2014" s="9">
        <v>0.52986111111111112</v>
      </c>
      <c r="C2014" s="10" t="str">
        <f>"FES1162631326"</f>
        <v>FES1162631326</v>
      </c>
      <c r="D2014" s="10" t="s">
        <v>19</v>
      </c>
      <c r="E2014" s="10" t="s">
        <v>947</v>
      </c>
      <c r="F2014" s="10" t="str">
        <f>"2170638234 "</f>
        <v xml:space="preserve">2170638234 </v>
      </c>
      <c r="G2014" s="10" t="str">
        <f t="shared" si="58"/>
        <v>ON1</v>
      </c>
      <c r="H2014" s="10" t="s">
        <v>21</v>
      </c>
      <c r="I2014" s="10" t="s">
        <v>948</v>
      </c>
      <c r="J2014" s="10" t="str">
        <f>""</f>
        <v/>
      </c>
      <c r="K2014" s="10" t="str">
        <f>"PFES1162631326_0001"</f>
        <v>PFES1162631326_0001</v>
      </c>
      <c r="L2014" s="10">
        <v>1</v>
      </c>
      <c r="M2014" s="10">
        <v>3</v>
      </c>
    </row>
    <row r="2015" spans="1:13">
      <c r="A2015" s="8">
        <v>43276</v>
      </c>
      <c r="B2015" s="9">
        <v>0.52847222222222223</v>
      </c>
      <c r="C2015" s="10" t="str">
        <f>"FES1162631374"</f>
        <v>FES1162631374</v>
      </c>
      <c r="D2015" s="10" t="s">
        <v>19</v>
      </c>
      <c r="E2015" s="10" t="s">
        <v>499</v>
      </c>
      <c r="F2015" s="10" t="str">
        <f>"2170636371 "</f>
        <v xml:space="preserve">2170636371 </v>
      </c>
      <c r="G2015" s="10" t="str">
        <f t="shared" si="58"/>
        <v>ON1</v>
      </c>
      <c r="H2015" s="10" t="s">
        <v>21</v>
      </c>
      <c r="I2015" s="10" t="s">
        <v>158</v>
      </c>
      <c r="J2015" s="10" t="str">
        <f>""</f>
        <v/>
      </c>
      <c r="K2015" s="10" t="str">
        <f>"PFES1162631374_0001"</f>
        <v>PFES1162631374_0001</v>
      </c>
      <c r="L2015" s="10">
        <v>1</v>
      </c>
      <c r="M2015" s="10">
        <v>3</v>
      </c>
    </row>
    <row r="2016" spans="1:13">
      <c r="A2016" s="8">
        <v>43276</v>
      </c>
      <c r="B2016" s="9">
        <v>0.52708333333333335</v>
      </c>
      <c r="C2016" s="10" t="str">
        <f>"FES1162631291"</f>
        <v>FES1162631291</v>
      </c>
      <c r="D2016" s="10" t="s">
        <v>19</v>
      </c>
      <c r="E2016" s="10" t="s">
        <v>660</v>
      </c>
      <c r="F2016" s="10" t="str">
        <f>"2170638171 "</f>
        <v xml:space="preserve">2170638171 </v>
      </c>
      <c r="G2016" s="10" t="str">
        <f t="shared" si="58"/>
        <v>ON1</v>
      </c>
      <c r="H2016" s="10" t="s">
        <v>21</v>
      </c>
      <c r="I2016" s="10" t="s">
        <v>93</v>
      </c>
      <c r="J2016" s="10" t="str">
        <f>""</f>
        <v/>
      </c>
      <c r="K2016" s="10" t="str">
        <f>"PFES1162631291_0001"</f>
        <v>PFES1162631291_0001</v>
      </c>
      <c r="L2016" s="10">
        <v>1</v>
      </c>
      <c r="M2016" s="10">
        <v>1</v>
      </c>
    </row>
    <row r="2017" spans="1:13">
      <c r="A2017" s="8">
        <v>43276</v>
      </c>
      <c r="B2017" s="9">
        <v>0.52708333333333335</v>
      </c>
      <c r="C2017" s="10" t="str">
        <f>"FES1162631379"</f>
        <v>FES1162631379</v>
      </c>
      <c r="D2017" s="10" t="s">
        <v>19</v>
      </c>
      <c r="E2017" s="10" t="s">
        <v>130</v>
      </c>
      <c r="F2017" s="10" t="str">
        <f>"2170638280 "</f>
        <v xml:space="preserve">2170638280 </v>
      </c>
      <c r="G2017" s="10" t="str">
        <f t="shared" si="58"/>
        <v>ON1</v>
      </c>
      <c r="H2017" s="10" t="s">
        <v>21</v>
      </c>
      <c r="I2017" s="10" t="s">
        <v>75</v>
      </c>
      <c r="J2017" s="10" t="str">
        <f>""</f>
        <v/>
      </c>
      <c r="K2017" s="10" t="str">
        <f>"PFES1162631379_0001"</f>
        <v>PFES1162631379_0001</v>
      </c>
      <c r="L2017" s="10">
        <v>1</v>
      </c>
      <c r="M2017" s="10">
        <v>3</v>
      </c>
    </row>
    <row r="2018" spans="1:13">
      <c r="A2018" s="8">
        <v>43276</v>
      </c>
      <c r="B2018" s="9">
        <v>0.52708333333333335</v>
      </c>
      <c r="C2018" s="10" t="str">
        <f>"FES1162631279"</f>
        <v>FES1162631279</v>
      </c>
      <c r="D2018" s="10" t="s">
        <v>19</v>
      </c>
      <c r="E2018" s="10" t="s">
        <v>72</v>
      </c>
      <c r="F2018" s="10" t="str">
        <f>"2170638154 "</f>
        <v xml:space="preserve">2170638154 </v>
      </c>
      <c r="G2018" s="10" t="str">
        <f t="shared" si="58"/>
        <v>ON1</v>
      </c>
      <c r="H2018" s="10" t="s">
        <v>21</v>
      </c>
      <c r="I2018" s="10" t="s">
        <v>73</v>
      </c>
      <c r="J2018" s="10" t="str">
        <f>""</f>
        <v/>
      </c>
      <c r="K2018" s="10" t="str">
        <f>"PFES1162631279_0001"</f>
        <v>PFES1162631279_0001</v>
      </c>
      <c r="L2018" s="10">
        <v>1</v>
      </c>
      <c r="M2018" s="10">
        <v>1</v>
      </c>
    </row>
    <row r="2019" spans="1:13">
      <c r="A2019" s="8">
        <v>43276</v>
      </c>
      <c r="B2019" s="9">
        <v>0.52638888888888891</v>
      </c>
      <c r="C2019" s="10" t="str">
        <f>"FES1162631282"</f>
        <v>FES1162631282</v>
      </c>
      <c r="D2019" s="10" t="s">
        <v>19</v>
      </c>
      <c r="E2019" s="10" t="s">
        <v>101</v>
      </c>
      <c r="F2019" s="10" t="str">
        <f>"2170638158 "</f>
        <v xml:space="preserve">2170638158 </v>
      </c>
      <c r="G2019" s="10" t="str">
        <f t="shared" si="58"/>
        <v>ON1</v>
      </c>
      <c r="H2019" s="10" t="s">
        <v>21</v>
      </c>
      <c r="I2019" s="10" t="s">
        <v>102</v>
      </c>
      <c r="J2019" s="10" t="str">
        <f>""</f>
        <v/>
      </c>
      <c r="K2019" s="10" t="str">
        <f>"PFES1162631282_0001"</f>
        <v>PFES1162631282_0001</v>
      </c>
      <c r="L2019" s="10">
        <v>1</v>
      </c>
      <c r="M2019" s="10">
        <v>1</v>
      </c>
    </row>
    <row r="2020" spans="1:13">
      <c r="A2020" s="8">
        <v>43276</v>
      </c>
      <c r="B2020" s="9">
        <v>0.52638888888888891</v>
      </c>
      <c r="C2020" s="10" t="str">
        <f>"FES1162631263"</f>
        <v>FES1162631263</v>
      </c>
      <c r="D2020" s="10" t="s">
        <v>19</v>
      </c>
      <c r="E2020" s="10" t="s">
        <v>489</v>
      </c>
      <c r="F2020" s="10" t="str">
        <f>"2170637788 "</f>
        <v xml:space="preserve">2170637788 </v>
      </c>
      <c r="G2020" s="10" t="str">
        <f t="shared" si="58"/>
        <v>ON1</v>
      </c>
      <c r="H2020" s="10" t="s">
        <v>21</v>
      </c>
      <c r="I2020" s="10" t="s">
        <v>487</v>
      </c>
      <c r="J2020" s="10" t="str">
        <f>""</f>
        <v/>
      </c>
      <c r="K2020" s="10" t="str">
        <f>"PFES1162631263_0001"</f>
        <v>PFES1162631263_0001</v>
      </c>
      <c r="L2020" s="10">
        <v>1</v>
      </c>
      <c r="M2020" s="10">
        <v>1</v>
      </c>
    </row>
    <row r="2021" spans="1:13">
      <c r="A2021" s="8">
        <v>43276</v>
      </c>
      <c r="B2021" s="9">
        <v>0.52569444444444446</v>
      </c>
      <c r="C2021" s="10" t="str">
        <f>"FES1162631295"</f>
        <v>FES1162631295</v>
      </c>
      <c r="D2021" s="10" t="s">
        <v>19</v>
      </c>
      <c r="E2021" s="10" t="s">
        <v>312</v>
      </c>
      <c r="F2021" s="10" t="str">
        <f>"2170638182 "</f>
        <v xml:space="preserve">2170638182 </v>
      </c>
      <c r="G2021" s="10" t="str">
        <f t="shared" si="58"/>
        <v>ON1</v>
      </c>
      <c r="H2021" s="10" t="s">
        <v>21</v>
      </c>
      <c r="I2021" s="10" t="s">
        <v>313</v>
      </c>
      <c r="J2021" s="10" t="str">
        <f>""</f>
        <v/>
      </c>
      <c r="K2021" s="10" t="str">
        <f>"PFES1162631295_0001"</f>
        <v>PFES1162631295_0001</v>
      </c>
      <c r="L2021" s="10">
        <v>1</v>
      </c>
      <c r="M2021" s="10">
        <v>1</v>
      </c>
    </row>
    <row r="2022" spans="1:13">
      <c r="A2022" s="8">
        <v>43276</v>
      </c>
      <c r="B2022" s="9">
        <v>0.52569444444444446</v>
      </c>
      <c r="C2022" s="10" t="str">
        <f>"FES1162631269"</f>
        <v>FES1162631269</v>
      </c>
      <c r="D2022" s="10" t="s">
        <v>19</v>
      </c>
      <c r="E2022" s="10" t="s">
        <v>67</v>
      </c>
      <c r="F2022" s="10" t="str">
        <f>"2170638015 "</f>
        <v xml:space="preserve">2170638015 </v>
      </c>
      <c r="G2022" s="10" t="str">
        <f t="shared" si="58"/>
        <v>ON1</v>
      </c>
      <c r="H2022" s="10" t="s">
        <v>21</v>
      </c>
      <c r="I2022" s="10" t="s">
        <v>397</v>
      </c>
      <c r="J2022" s="10" t="str">
        <f>""</f>
        <v/>
      </c>
      <c r="K2022" s="10" t="str">
        <f>"PFES1162631269_0001"</f>
        <v>PFES1162631269_0001</v>
      </c>
      <c r="L2022" s="10">
        <v>1</v>
      </c>
      <c r="M2022" s="10">
        <v>1</v>
      </c>
    </row>
    <row r="2023" spans="1:13">
      <c r="A2023" s="8">
        <v>43276</v>
      </c>
      <c r="B2023" s="9">
        <v>0.52569444444444446</v>
      </c>
      <c r="C2023" s="10" t="str">
        <f>"FES1162631368"</f>
        <v>FES1162631368</v>
      </c>
      <c r="D2023" s="10" t="s">
        <v>19</v>
      </c>
      <c r="E2023" s="10" t="s">
        <v>33</v>
      </c>
      <c r="F2023" s="10" t="str">
        <f>"2170634964 "</f>
        <v xml:space="preserve">2170634964 </v>
      </c>
      <c r="G2023" s="10" t="str">
        <f t="shared" si="58"/>
        <v>ON1</v>
      </c>
      <c r="H2023" s="10" t="s">
        <v>21</v>
      </c>
      <c r="I2023" s="10" t="s">
        <v>34</v>
      </c>
      <c r="J2023" s="10" t="str">
        <f>""</f>
        <v/>
      </c>
      <c r="K2023" s="10" t="str">
        <f>"PFES1162631368_0001"</f>
        <v>PFES1162631368_0001</v>
      </c>
      <c r="L2023" s="10">
        <v>1</v>
      </c>
      <c r="M2023" s="10">
        <v>4</v>
      </c>
    </row>
    <row r="2024" spans="1:13">
      <c r="A2024" s="8">
        <v>43276</v>
      </c>
      <c r="B2024" s="9">
        <v>0.52500000000000002</v>
      </c>
      <c r="C2024" s="10" t="str">
        <f>"FES1162631283"</f>
        <v>FES1162631283</v>
      </c>
      <c r="D2024" s="10" t="s">
        <v>19</v>
      </c>
      <c r="E2024" s="10" t="s">
        <v>101</v>
      </c>
      <c r="F2024" s="10" t="str">
        <f>"2170638159 "</f>
        <v xml:space="preserve">2170638159 </v>
      </c>
      <c r="G2024" s="10" t="str">
        <f t="shared" si="58"/>
        <v>ON1</v>
      </c>
      <c r="H2024" s="10" t="s">
        <v>21</v>
      </c>
      <c r="I2024" s="10" t="s">
        <v>102</v>
      </c>
      <c r="J2024" s="10" t="str">
        <f>""</f>
        <v/>
      </c>
      <c r="K2024" s="10" t="str">
        <f>"PFES1162631283_0001"</f>
        <v>PFES1162631283_0001</v>
      </c>
      <c r="L2024" s="10">
        <v>1</v>
      </c>
      <c r="M2024" s="10">
        <v>1</v>
      </c>
    </row>
    <row r="2025" spans="1:13">
      <c r="A2025" s="8">
        <v>43276</v>
      </c>
      <c r="B2025" s="9">
        <v>0.52500000000000002</v>
      </c>
      <c r="C2025" s="10" t="str">
        <f>"FES1162631296"</f>
        <v>FES1162631296</v>
      </c>
      <c r="D2025" s="10" t="s">
        <v>19</v>
      </c>
      <c r="E2025" s="10" t="s">
        <v>312</v>
      </c>
      <c r="F2025" s="10" t="str">
        <f>"2170638183 "</f>
        <v xml:space="preserve">2170638183 </v>
      </c>
      <c r="G2025" s="10" t="str">
        <f t="shared" si="58"/>
        <v>ON1</v>
      </c>
      <c r="H2025" s="10" t="s">
        <v>21</v>
      </c>
      <c r="I2025" s="10" t="s">
        <v>313</v>
      </c>
      <c r="J2025" s="10" t="str">
        <f>""</f>
        <v/>
      </c>
      <c r="K2025" s="10" t="str">
        <f>"PFES1162631296_0001"</f>
        <v>PFES1162631296_0001</v>
      </c>
      <c r="L2025" s="10">
        <v>1</v>
      </c>
      <c r="M2025" s="10">
        <v>1</v>
      </c>
    </row>
    <row r="2026" spans="1:13">
      <c r="A2026" s="8">
        <v>43276</v>
      </c>
      <c r="B2026" s="9">
        <v>0.52430555555555558</v>
      </c>
      <c r="C2026" s="10" t="str">
        <f>"FES1162631339"</f>
        <v>FES1162631339</v>
      </c>
      <c r="D2026" s="10" t="s">
        <v>19</v>
      </c>
      <c r="E2026" s="10" t="s">
        <v>62</v>
      </c>
      <c r="F2026" s="10" t="str">
        <f>"2170638249 "</f>
        <v xml:space="preserve">2170638249 </v>
      </c>
      <c r="G2026" s="10" t="str">
        <f t="shared" si="58"/>
        <v>ON1</v>
      </c>
      <c r="H2026" s="10" t="s">
        <v>21</v>
      </c>
      <c r="I2026" s="10" t="s">
        <v>63</v>
      </c>
      <c r="J2026" s="10" t="str">
        <f>""</f>
        <v/>
      </c>
      <c r="K2026" s="10" t="str">
        <f>"PFES1162631339_0001"</f>
        <v>PFES1162631339_0001</v>
      </c>
      <c r="L2026" s="10">
        <v>1</v>
      </c>
      <c r="M2026" s="10">
        <v>1</v>
      </c>
    </row>
    <row r="2027" spans="1:13">
      <c r="A2027" s="8">
        <v>43276</v>
      </c>
      <c r="B2027" s="9">
        <v>0.52430555555555558</v>
      </c>
      <c r="C2027" s="10" t="str">
        <f>"FES1162631338"</f>
        <v>FES1162631338</v>
      </c>
      <c r="D2027" s="10" t="s">
        <v>19</v>
      </c>
      <c r="E2027" s="10" t="s">
        <v>894</v>
      </c>
      <c r="F2027" s="10" t="str">
        <f>"217063827 "</f>
        <v xml:space="preserve">217063827 </v>
      </c>
      <c r="G2027" s="10" t="str">
        <f t="shared" si="58"/>
        <v>ON1</v>
      </c>
      <c r="H2027" s="10" t="s">
        <v>21</v>
      </c>
      <c r="I2027" s="10" t="s">
        <v>683</v>
      </c>
      <c r="J2027" s="10" t="str">
        <f>""</f>
        <v/>
      </c>
      <c r="K2027" s="10" t="str">
        <f>"PFES1162631338_0001"</f>
        <v>PFES1162631338_0001</v>
      </c>
      <c r="L2027" s="10">
        <v>1</v>
      </c>
      <c r="M2027" s="10">
        <v>1</v>
      </c>
    </row>
    <row r="2028" spans="1:13">
      <c r="A2028" s="8">
        <v>43276</v>
      </c>
      <c r="B2028" s="9">
        <v>0.52430555555555558</v>
      </c>
      <c r="C2028" s="10" t="str">
        <f>"FES1162631356"</f>
        <v>FES1162631356</v>
      </c>
      <c r="D2028" s="10" t="s">
        <v>19</v>
      </c>
      <c r="E2028" s="10" t="s">
        <v>938</v>
      </c>
      <c r="F2028" s="10" t="str">
        <f>"2170634353 "</f>
        <v xml:space="preserve">2170634353 </v>
      </c>
      <c r="G2028" s="10" t="str">
        <f t="shared" si="58"/>
        <v>ON1</v>
      </c>
      <c r="H2028" s="10" t="s">
        <v>21</v>
      </c>
      <c r="I2028" s="10" t="s">
        <v>93</v>
      </c>
      <c r="J2028" s="10" t="str">
        <f>""</f>
        <v/>
      </c>
      <c r="K2028" s="10" t="str">
        <f>"PFES1162631356_0001"</f>
        <v>PFES1162631356_0001</v>
      </c>
      <c r="L2028" s="10">
        <v>1</v>
      </c>
      <c r="M2028" s="10">
        <v>4</v>
      </c>
    </row>
    <row r="2029" spans="1:13">
      <c r="A2029" s="8">
        <v>43276</v>
      </c>
      <c r="B2029" s="9">
        <v>0.52361111111111114</v>
      </c>
      <c r="C2029" s="10" t="str">
        <f>"FES1162631343"</f>
        <v>FES1162631343</v>
      </c>
      <c r="D2029" s="10" t="s">
        <v>19</v>
      </c>
      <c r="E2029" s="10" t="s">
        <v>263</v>
      </c>
      <c r="F2029" s="10" t="str">
        <f>"2170638254 "</f>
        <v xml:space="preserve">2170638254 </v>
      </c>
      <c r="G2029" s="10" t="str">
        <f t="shared" si="58"/>
        <v>ON1</v>
      </c>
      <c r="H2029" s="10" t="s">
        <v>21</v>
      </c>
      <c r="I2029" s="10" t="s">
        <v>230</v>
      </c>
      <c r="J2029" s="10" t="str">
        <f>""</f>
        <v/>
      </c>
      <c r="K2029" s="10" t="str">
        <f>"PFES1162631343_0001"</f>
        <v>PFES1162631343_0001</v>
      </c>
      <c r="L2029" s="10">
        <v>1</v>
      </c>
      <c r="M2029" s="10">
        <v>1</v>
      </c>
    </row>
    <row r="2030" spans="1:13">
      <c r="A2030" s="8">
        <v>43276</v>
      </c>
      <c r="B2030" s="9">
        <v>0.5229166666666667</v>
      </c>
      <c r="C2030" s="10" t="str">
        <f>"FES1162631387"</f>
        <v>FES1162631387</v>
      </c>
      <c r="D2030" s="10" t="s">
        <v>19</v>
      </c>
      <c r="E2030" s="10" t="s">
        <v>152</v>
      </c>
      <c r="F2030" s="10" t="str">
        <f>"2170638284 "</f>
        <v xml:space="preserve">2170638284 </v>
      </c>
      <c r="G2030" s="10" t="str">
        <f t="shared" si="58"/>
        <v>ON1</v>
      </c>
      <c r="H2030" s="10" t="s">
        <v>21</v>
      </c>
      <c r="I2030" s="10" t="s">
        <v>106</v>
      </c>
      <c r="J2030" s="10" t="str">
        <f>""</f>
        <v/>
      </c>
      <c r="K2030" s="10" t="str">
        <f>"PFES1162631387_0001"</f>
        <v>PFES1162631387_0001</v>
      </c>
      <c r="L2030" s="10">
        <v>1</v>
      </c>
      <c r="M2030" s="10">
        <v>3</v>
      </c>
    </row>
    <row r="2031" spans="1:13">
      <c r="A2031" s="8">
        <v>43276</v>
      </c>
      <c r="B2031" s="9">
        <v>0.52152777777777781</v>
      </c>
      <c r="C2031" s="10" t="str">
        <f>"FES1162631373"</f>
        <v>FES1162631373</v>
      </c>
      <c r="D2031" s="10" t="s">
        <v>19</v>
      </c>
      <c r="E2031" s="10" t="s">
        <v>949</v>
      </c>
      <c r="F2031" s="10" t="str">
        <f>"2170636293 "</f>
        <v xml:space="preserve">2170636293 </v>
      </c>
      <c r="G2031" s="10" t="str">
        <f t="shared" si="58"/>
        <v>ON1</v>
      </c>
      <c r="H2031" s="10" t="s">
        <v>21</v>
      </c>
      <c r="I2031" s="10" t="s">
        <v>200</v>
      </c>
      <c r="J2031" s="10" t="str">
        <f>""</f>
        <v/>
      </c>
      <c r="K2031" s="10" t="str">
        <f>"PFES1162631373_0001"</f>
        <v>PFES1162631373_0001</v>
      </c>
      <c r="L2031" s="10">
        <v>2</v>
      </c>
      <c r="M2031" s="10">
        <v>4</v>
      </c>
    </row>
    <row r="2032" spans="1:13">
      <c r="A2032" s="8">
        <v>43276</v>
      </c>
      <c r="B2032" s="9">
        <v>0.52152777777777781</v>
      </c>
      <c r="C2032" s="10" t="str">
        <f>"FES1162631332"</f>
        <v>FES1162631332</v>
      </c>
      <c r="D2032" s="10" t="s">
        <v>19</v>
      </c>
      <c r="E2032" s="10" t="s">
        <v>120</v>
      </c>
      <c r="F2032" s="10" t="str">
        <f>"2170638242 "</f>
        <v xml:space="preserve">2170638242 </v>
      </c>
      <c r="G2032" s="10" t="str">
        <f t="shared" si="58"/>
        <v>ON1</v>
      </c>
      <c r="H2032" s="10" t="s">
        <v>21</v>
      </c>
      <c r="I2032" s="10" t="s">
        <v>38</v>
      </c>
      <c r="J2032" s="10" t="str">
        <f>""</f>
        <v/>
      </c>
      <c r="K2032" s="10" t="str">
        <f>"PFES1162631332_0001"</f>
        <v>PFES1162631332_0001</v>
      </c>
      <c r="L2032" s="10">
        <v>1</v>
      </c>
      <c r="M2032" s="10">
        <v>1</v>
      </c>
    </row>
    <row r="2033" spans="1:13">
      <c r="A2033" s="8">
        <v>43276</v>
      </c>
      <c r="B2033" s="9">
        <v>0.52152777777777781</v>
      </c>
      <c r="C2033" s="10" t="str">
        <f>"FES1162631313"</f>
        <v>FES1162631313</v>
      </c>
      <c r="D2033" s="10" t="s">
        <v>19</v>
      </c>
      <c r="E2033" s="10" t="s">
        <v>58</v>
      </c>
      <c r="F2033" s="10" t="str">
        <f>"217063215 "</f>
        <v xml:space="preserve">217063215 </v>
      </c>
      <c r="G2033" s="10" t="str">
        <f t="shared" si="58"/>
        <v>ON1</v>
      </c>
      <c r="H2033" s="10" t="s">
        <v>21</v>
      </c>
      <c r="I2033" s="10" t="s">
        <v>59</v>
      </c>
      <c r="J2033" s="10" t="str">
        <f>""</f>
        <v/>
      </c>
      <c r="K2033" s="10" t="str">
        <f>"PFES1162631313_0001"</f>
        <v>PFES1162631313_0001</v>
      </c>
      <c r="L2033" s="10">
        <v>1</v>
      </c>
      <c r="M2033" s="10">
        <v>1</v>
      </c>
    </row>
    <row r="2034" spans="1:13">
      <c r="A2034" s="8">
        <v>43276</v>
      </c>
      <c r="B2034" s="9">
        <v>0.52083333333333337</v>
      </c>
      <c r="C2034" s="10" t="str">
        <f>"FES1162631337"</f>
        <v>FES1162631337</v>
      </c>
      <c r="D2034" s="10" t="s">
        <v>19</v>
      </c>
      <c r="E2034" s="10" t="s">
        <v>117</v>
      </c>
      <c r="F2034" s="10" t="str">
        <f>"2170638246 "</f>
        <v xml:space="preserve">2170638246 </v>
      </c>
      <c r="G2034" s="10" t="str">
        <f t="shared" si="58"/>
        <v>ON1</v>
      </c>
      <c r="H2034" s="10" t="s">
        <v>21</v>
      </c>
      <c r="I2034" s="10" t="s">
        <v>118</v>
      </c>
      <c r="J2034" s="10" t="str">
        <f>""</f>
        <v/>
      </c>
      <c r="K2034" s="10" t="str">
        <f>"PFES1162631337_0001"</f>
        <v>PFES1162631337_0001</v>
      </c>
      <c r="L2034" s="10">
        <v>1</v>
      </c>
      <c r="M2034" s="10">
        <v>1</v>
      </c>
    </row>
    <row r="2035" spans="1:13">
      <c r="A2035" s="8">
        <v>43276</v>
      </c>
      <c r="B2035" s="9">
        <v>0.52083333333333337</v>
      </c>
      <c r="C2035" s="10" t="str">
        <f>"FES1162631346"</f>
        <v>FES1162631346</v>
      </c>
      <c r="D2035" s="10" t="s">
        <v>19</v>
      </c>
      <c r="E2035" s="10" t="s">
        <v>145</v>
      </c>
      <c r="F2035" s="10" t="str">
        <f>"2170637735 "</f>
        <v xml:space="preserve">2170637735 </v>
      </c>
      <c r="G2035" s="10" t="str">
        <f t="shared" si="58"/>
        <v>ON1</v>
      </c>
      <c r="H2035" s="10" t="s">
        <v>21</v>
      </c>
      <c r="I2035" s="10" t="s">
        <v>146</v>
      </c>
      <c r="J2035" s="10" t="str">
        <f>""</f>
        <v/>
      </c>
      <c r="K2035" s="10" t="str">
        <f>"PFES1162631346_0001"</f>
        <v>PFES1162631346_0001</v>
      </c>
      <c r="L2035" s="10">
        <v>1</v>
      </c>
      <c r="M2035" s="10">
        <v>12</v>
      </c>
    </row>
    <row r="2036" spans="1:13">
      <c r="A2036" s="8">
        <v>43276</v>
      </c>
      <c r="B2036" s="9">
        <v>0.52013888888888882</v>
      </c>
      <c r="C2036" s="10" t="str">
        <f>"FES1162631355"</f>
        <v>FES1162631355</v>
      </c>
      <c r="D2036" s="10" t="s">
        <v>19</v>
      </c>
      <c r="E2036" s="10" t="s">
        <v>757</v>
      </c>
      <c r="F2036" s="10" t="str">
        <f>"2170632874 "</f>
        <v xml:space="preserve">2170632874 </v>
      </c>
      <c r="G2036" s="10" t="str">
        <f t="shared" si="58"/>
        <v>ON1</v>
      </c>
      <c r="H2036" s="10" t="s">
        <v>21</v>
      </c>
      <c r="I2036" s="10" t="s">
        <v>569</v>
      </c>
      <c r="J2036" s="10" t="str">
        <f>""</f>
        <v/>
      </c>
      <c r="K2036" s="10" t="str">
        <f>"PFES1162631355_0001"</f>
        <v>PFES1162631355_0001</v>
      </c>
      <c r="L2036" s="10">
        <v>1</v>
      </c>
      <c r="M2036" s="10">
        <v>1</v>
      </c>
    </row>
    <row r="2037" spans="1:13">
      <c r="A2037" s="8">
        <v>43276</v>
      </c>
      <c r="B2037" s="9">
        <v>0.52013888888888882</v>
      </c>
      <c r="C2037" s="10" t="str">
        <f>"FES1162631390"</f>
        <v>FES1162631390</v>
      </c>
      <c r="D2037" s="10" t="s">
        <v>19</v>
      </c>
      <c r="E2037" s="10" t="s">
        <v>540</v>
      </c>
      <c r="F2037" s="10" t="str">
        <f>"2170638287 "</f>
        <v xml:space="preserve">2170638287 </v>
      </c>
      <c r="G2037" s="10" t="str">
        <f t="shared" si="58"/>
        <v>ON1</v>
      </c>
      <c r="H2037" s="10" t="s">
        <v>21</v>
      </c>
      <c r="I2037" s="10" t="s">
        <v>55</v>
      </c>
      <c r="J2037" s="10" t="str">
        <f>""</f>
        <v/>
      </c>
      <c r="K2037" s="10" t="str">
        <f>"PFES1162631390_0001"</f>
        <v>PFES1162631390_0001</v>
      </c>
      <c r="L2037" s="10">
        <v>1</v>
      </c>
      <c r="M2037" s="10">
        <v>1</v>
      </c>
    </row>
    <row r="2038" spans="1:13">
      <c r="A2038" s="8">
        <v>43276</v>
      </c>
      <c r="B2038" s="9">
        <v>0.51944444444444449</v>
      </c>
      <c r="C2038" s="10" t="str">
        <f>"FES1162631391"</f>
        <v>FES1162631391</v>
      </c>
      <c r="D2038" s="10" t="s">
        <v>19</v>
      </c>
      <c r="E2038" s="10" t="s">
        <v>540</v>
      </c>
      <c r="F2038" s="10" t="str">
        <f>"2170638288 "</f>
        <v xml:space="preserve">2170638288 </v>
      </c>
      <c r="G2038" s="10" t="str">
        <f t="shared" si="58"/>
        <v>ON1</v>
      </c>
      <c r="H2038" s="10" t="s">
        <v>21</v>
      </c>
      <c r="I2038" s="10" t="s">
        <v>55</v>
      </c>
      <c r="J2038" s="10" t="str">
        <f>""</f>
        <v/>
      </c>
      <c r="K2038" s="10" t="str">
        <f>"PFES1162631391_0001"</f>
        <v>PFES1162631391_0001</v>
      </c>
      <c r="L2038" s="10">
        <v>1</v>
      </c>
      <c r="M2038" s="10">
        <v>1</v>
      </c>
    </row>
    <row r="2039" spans="1:13">
      <c r="A2039" s="8">
        <v>43276</v>
      </c>
      <c r="B2039" s="9">
        <v>0.51944444444444449</v>
      </c>
      <c r="C2039" s="10" t="str">
        <f>"FES1162631360"</f>
        <v>FES1162631360</v>
      </c>
      <c r="D2039" s="10" t="s">
        <v>19</v>
      </c>
      <c r="E2039" s="10" t="s">
        <v>535</v>
      </c>
      <c r="F2039" s="10" t="str">
        <f>"2170631234 "</f>
        <v xml:space="preserve">2170631234 </v>
      </c>
      <c r="G2039" s="10" t="str">
        <f t="shared" si="58"/>
        <v>ON1</v>
      </c>
      <c r="H2039" s="10" t="s">
        <v>21</v>
      </c>
      <c r="I2039" s="10" t="s">
        <v>146</v>
      </c>
      <c r="J2039" s="10" t="str">
        <f>""</f>
        <v/>
      </c>
      <c r="K2039" s="10" t="str">
        <f>"PFES1162631360_0001"</f>
        <v>PFES1162631360_0001</v>
      </c>
      <c r="L2039" s="10">
        <v>1</v>
      </c>
      <c r="M2039" s="10">
        <v>7</v>
      </c>
    </row>
    <row r="2040" spans="1:13">
      <c r="A2040" s="8">
        <v>43276</v>
      </c>
      <c r="B2040" s="9">
        <v>0.51874999999999993</v>
      </c>
      <c r="C2040" s="10" t="str">
        <f>"FES1162631380"</f>
        <v>FES1162631380</v>
      </c>
      <c r="D2040" s="10" t="s">
        <v>19</v>
      </c>
      <c r="E2040" s="10" t="s">
        <v>58</v>
      </c>
      <c r="F2040" s="10" t="str">
        <f>"21706328281 "</f>
        <v xml:space="preserve">21706328281 </v>
      </c>
      <c r="G2040" s="10" t="str">
        <f t="shared" si="58"/>
        <v>ON1</v>
      </c>
      <c r="H2040" s="10" t="s">
        <v>21</v>
      </c>
      <c r="I2040" s="10" t="s">
        <v>59</v>
      </c>
      <c r="J2040" s="10" t="str">
        <f>""</f>
        <v/>
      </c>
      <c r="K2040" s="10" t="str">
        <f>"PFES1162631380_0001"</f>
        <v>PFES1162631380_0001</v>
      </c>
      <c r="L2040" s="10">
        <v>1</v>
      </c>
      <c r="M2040" s="10">
        <v>1</v>
      </c>
    </row>
    <row r="2041" spans="1:13">
      <c r="A2041" s="8">
        <v>43276</v>
      </c>
      <c r="B2041" s="9">
        <v>0.5180555555555556</v>
      </c>
      <c r="C2041" s="10" t="str">
        <f>"FES1162631378"</f>
        <v>FES1162631378</v>
      </c>
      <c r="D2041" s="10" t="s">
        <v>19</v>
      </c>
      <c r="E2041" s="10" t="s">
        <v>289</v>
      </c>
      <c r="F2041" s="10" t="str">
        <f>"2170638277 "</f>
        <v xml:space="preserve">2170638277 </v>
      </c>
      <c r="G2041" s="10" t="str">
        <f t="shared" si="58"/>
        <v>ON1</v>
      </c>
      <c r="H2041" s="10" t="s">
        <v>21</v>
      </c>
      <c r="I2041" s="10" t="s">
        <v>290</v>
      </c>
      <c r="J2041" s="10" t="str">
        <f>""</f>
        <v/>
      </c>
      <c r="K2041" s="10" t="str">
        <f>"PFES1162631378_0001"</f>
        <v>PFES1162631378_0001</v>
      </c>
      <c r="L2041" s="10">
        <v>1</v>
      </c>
      <c r="M2041" s="10">
        <v>1</v>
      </c>
    </row>
    <row r="2042" spans="1:13">
      <c r="A2042" s="8">
        <v>43276</v>
      </c>
      <c r="B2042" s="9">
        <v>0.5180555555555556</v>
      </c>
      <c r="C2042" s="10" t="str">
        <f>"FES1162631389"</f>
        <v>FES1162631389</v>
      </c>
      <c r="D2042" s="10" t="s">
        <v>19</v>
      </c>
      <c r="E2042" s="10" t="s">
        <v>29</v>
      </c>
      <c r="F2042" s="10" t="str">
        <f>"2170638286 "</f>
        <v xml:space="preserve">2170638286 </v>
      </c>
      <c r="G2042" s="10" t="str">
        <f t="shared" si="58"/>
        <v>ON1</v>
      </c>
      <c r="H2042" s="10" t="s">
        <v>21</v>
      </c>
      <c r="I2042" s="10" t="s">
        <v>30</v>
      </c>
      <c r="J2042" s="10" t="str">
        <f>""</f>
        <v/>
      </c>
      <c r="K2042" s="10" t="str">
        <f>"PFES1162631389_0001"</f>
        <v>PFES1162631389_0001</v>
      </c>
      <c r="L2042" s="10">
        <v>1</v>
      </c>
      <c r="M2042" s="10">
        <v>6</v>
      </c>
    </row>
    <row r="2043" spans="1:13">
      <c r="A2043" s="8">
        <v>43276</v>
      </c>
      <c r="B2043" s="9">
        <v>0.51736111111111105</v>
      </c>
      <c r="C2043" s="10" t="str">
        <f>"FES1162631340"</f>
        <v>FES1162631340</v>
      </c>
      <c r="D2043" s="10" t="s">
        <v>19</v>
      </c>
      <c r="E2043" s="10" t="s">
        <v>950</v>
      </c>
      <c r="F2043" s="10" t="str">
        <f>"2170638250 "</f>
        <v xml:space="preserve">2170638250 </v>
      </c>
      <c r="G2043" s="10" t="str">
        <f t="shared" si="58"/>
        <v>ON1</v>
      </c>
      <c r="H2043" s="10" t="s">
        <v>21</v>
      </c>
      <c r="I2043" s="10" t="s">
        <v>69</v>
      </c>
      <c r="J2043" s="10" t="str">
        <f>""</f>
        <v/>
      </c>
      <c r="K2043" s="10" t="str">
        <f>"PFES1162631340_0001"</f>
        <v>PFES1162631340_0001</v>
      </c>
      <c r="L2043" s="10">
        <v>1</v>
      </c>
      <c r="M2043" s="10">
        <v>1</v>
      </c>
    </row>
    <row r="2044" spans="1:13">
      <c r="A2044" s="8">
        <v>43276</v>
      </c>
      <c r="B2044" s="9">
        <v>0.51736111111111105</v>
      </c>
      <c r="C2044" s="10" t="str">
        <f>"FES1162631358"</f>
        <v>FES1162631358</v>
      </c>
      <c r="D2044" s="10" t="s">
        <v>19</v>
      </c>
      <c r="E2044" s="10" t="s">
        <v>202</v>
      </c>
      <c r="F2044" s="10" t="str">
        <f>"2170630212 "</f>
        <v xml:space="preserve">2170630212 </v>
      </c>
      <c r="G2044" s="10" t="str">
        <f t="shared" si="58"/>
        <v>ON1</v>
      </c>
      <c r="H2044" s="10" t="s">
        <v>21</v>
      </c>
      <c r="I2044" s="10" t="s">
        <v>203</v>
      </c>
      <c r="J2044" s="10" t="str">
        <f>""</f>
        <v/>
      </c>
      <c r="K2044" s="10" t="str">
        <f>"PFES1162631358_0001"</f>
        <v>PFES1162631358_0001</v>
      </c>
      <c r="L2044" s="10">
        <v>1</v>
      </c>
      <c r="M2044" s="10">
        <v>1</v>
      </c>
    </row>
    <row r="2045" spans="1:13">
      <c r="A2045" s="8">
        <v>43276</v>
      </c>
      <c r="B2045" s="9">
        <v>0.51666666666666672</v>
      </c>
      <c r="C2045" s="10" t="str">
        <f>"FES1162631401"</f>
        <v>FES1162631401</v>
      </c>
      <c r="D2045" s="10" t="s">
        <v>19</v>
      </c>
      <c r="E2045" s="10" t="s">
        <v>318</v>
      </c>
      <c r="F2045" s="10" t="str">
        <f>"2170636061 "</f>
        <v xml:space="preserve">2170636061 </v>
      </c>
      <c r="G2045" s="10" t="str">
        <f t="shared" si="58"/>
        <v>ON1</v>
      </c>
      <c r="H2045" s="10" t="s">
        <v>21</v>
      </c>
      <c r="I2045" s="10" t="s">
        <v>61</v>
      </c>
      <c r="J2045" s="10" t="str">
        <f>""</f>
        <v/>
      </c>
      <c r="K2045" s="10" t="str">
        <f>"PFES1162631401_0001"</f>
        <v>PFES1162631401_0001</v>
      </c>
      <c r="L2045" s="10">
        <v>1</v>
      </c>
      <c r="M2045" s="10">
        <v>1</v>
      </c>
    </row>
    <row r="2046" spans="1:13">
      <c r="A2046" s="8">
        <v>43276</v>
      </c>
      <c r="B2046" s="9">
        <v>0.51666666666666672</v>
      </c>
      <c r="C2046" s="10" t="str">
        <f>"FES1162631293"</f>
        <v>FES1162631293</v>
      </c>
      <c r="D2046" s="10" t="s">
        <v>19</v>
      </c>
      <c r="E2046" s="10" t="s">
        <v>179</v>
      </c>
      <c r="F2046" s="10" t="str">
        <f>"21706538176 "</f>
        <v xml:space="preserve">21706538176 </v>
      </c>
      <c r="G2046" s="10" t="str">
        <f t="shared" si="58"/>
        <v>ON1</v>
      </c>
      <c r="H2046" s="10" t="s">
        <v>21</v>
      </c>
      <c r="I2046" s="10" t="s">
        <v>180</v>
      </c>
      <c r="J2046" s="10" t="str">
        <f>""</f>
        <v/>
      </c>
      <c r="K2046" s="10" t="str">
        <f>"PFES1162631293_0001"</f>
        <v>PFES1162631293_0001</v>
      </c>
      <c r="L2046" s="10">
        <v>1</v>
      </c>
      <c r="M2046" s="10">
        <v>1</v>
      </c>
    </row>
    <row r="2047" spans="1:13">
      <c r="A2047" s="8">
        <v>43276</v>
      </c>
      <c r="B2047" s="9">
        <v>0.51597222222222217</v>
      </c>
      <c r="C2047" s="10" t="str">
        <f>"FES1162631388"</f>
        <v>FES1162631388</v>
      </c>
      <c r="D2047" s="10" t="s">
        <v>19</v>
      </c>
      <c r="E2047" s="10" t="s">
        <v>951</v>
      </c>
      <c r="F2047" s="10" t="str">
        <f>"2170638285 "</f>
        <v xml:space="preserve">2170638285 </v>
      </c>
      <c r="G2047" s="10" t="str">
        <f t="shared" si="58"/>
        <v>ON1</v>
      </c>
      <c r="H2047" s="10" t="s">
        <v>21</v>
      </c>
      <c r="I2047" s="10" t="s">
        <v>952</v>
      </c>
      <c r="J2047" s="10" t="str">
        <f>""</f>
        <v/>
      </c>
      <c r="K2047" s="10" t="str">
        <f>"PFES1162631388_0001"</f>
        <v>PFES1162631388_0001</v>
      </c>
      <c r="L2047" s="10">
        <v>1</v>
      </c>
      <c r="M2047" s="10">
        <v>1</v>
      </c>
    </row>
    <row r="2048" spans="1:13">
      <c r="A2048" s="8">
        <v>43276</v>
      </c>
      <c r="B2048" s="9">
        <v>0.51527777777777783</v>
      </c>
      <c r="C2048" s="10" t="str">
        <f>"FES1162631353"</f>
        <v>FES1162631353</v>
      </c>
      <c r="D2048" s="10" t="s">
        <v>19</v>
      </c>
      <c r="E2048" s="10" t="s">
        <v>550</v>
      </c>
      <c r="F2048" s="10" t="str">
        <f>"2170638272 "</f>
        <v xml:space="preserve">2170638272 </v>
      </c>
      <c r="G2048" s="10" t="str">
        <f t="shared" si="58"/>
        <v>ON1</v>
      </c>
      <c r="H2048" s="10" t="s">
        <v>21</v>
      </c>
      <c r="I2048" s="10" t="s">
        <v>439</v>
      </c>
      <c r="J2048" s="10" t="str">
        <f>""</f>
        <v/>
      </c>
      <c r="K2048" s="10" t="str">
        <f>"PFES1162631353_0001"</f>
        <v>PFES1162631353_0001</v>
      </c>
      <c r="L2048" s="10">
        <v>1</v>
      </c>
      <c r="M2048" s="10">
        <v>3</v>
      </c>
    </row>
    <row r="2049" spans="1:13">
      <c r="A2049" s="8">
        <v>43276</v>
      </c>
      <c r="B2049" s="9">
        <v>0.51388888888888895</v>
      </c>
      <c r="C2049" s="10" t="str">
        <f>"FES1162631292"</f>
        <v>FES1162631292</v>
      </c>
      <c r="D2049" s="10" t="s">
        <v>19</v>
      </c>
      <c r="E2049" s="10" t="s">
        <v>197</v>
      </c>
      <c r="F2049" s="10" t="str">
        <f>"2170638175 "</f>
        <v xml:space="preserve">2170638175 </v>
      </c>
      <c r="G2049" s="10" t="str">
        <f t="shared" si="58"/>
        <v>ON1</v>
      </c>
      <c r="H2049" s="10" t="s">
        <v>21</v>
      </c>
      <c r="I2049" s="10" t="s">
        <v>131</v>
      </c>
      <c r="J2049" s="10" t="str">
        <f>""</f>
        <v/>
      </c>
      <c r="K2049" s="10" t="str">
        <f>"PFES1162631292_0001"</f>
        <v>PFES1162631292_0001</v>
      </c>
      <c r="L2049" s="10">
        <v>1</v>
      </c>
      <c r="M2049" s="10">
        <v>3</v>
      </c>
    </row>
    <row r="2050" spans="1:13">
      <c r="A2050" s="8">
        <v>43276</v>
      </c>
      <c r="B2050" s="9">
        <v>0.51180555555555551</v>
      </c>
      <c r="C2050" s="10" t="str">
        <f>"FES1162631285"</f>
        <v>FES1162631285</v>
      </c>
      <c r="D2050" s="10" t="s">
        <v>19</v>
      </c>
      <c r="E2050" s="10" t="s">
        <v>72</v>
      </c>
      <c r="F2050" s="10" t="str">
        <f>"2170638163 "</f>
        <v xml:space="preserve">2170638163 </v>
      </c>
      <c r="G2050" s="10" t="str">
        <f t="shared" si="58"/>
        <v>ON1</v>
      </c>
      <c r="H2050" s="10" t="s">
        <v>21</v>
      </c>
      <c r="I2050" s="10" t="s">
        <v>73</v>
      </c>
      <c r="J2050" s="10" t="str">
        <f>""</f>
        <v/>
      </c>
      <c r="K2050" s="10" t="str">
        <f>"PFES1162631285_0001"</f>
        <v>PFES1162631285_0001</v>
      </c>
      <c r="L2050" s="10">
        <v>1</v>
      </c>
      <c r="M2050" s="10">
        <v>9</v>
      </c>
    </row>
    <row r="2051" spans="1:13">
      <c r="A2051" s="8">
        <v>43276</v>
      </c>
      <c r="B2051" s="9">
        <v>0.51180555555555551</v>
      </c>
      <c r="C2051" s="10" t="str">
        <f>"FES1162631398"</f>
        <v>FES1162631398</v>
      </c>
      <c r="D2051" s="10" t="s">
        <v>19</v>
      </c>
      <c r="E2051" s="10" t="s">
        <v>953</v>
      </c>
      <c r="F2051" s="10" t="str">
        <f>"2170638259 "</f>
        <v xml:space="preserve">2170638259 </v>
      </c>
      <c r="G2051" s="10" t="str">
        <f t="shared" si="58"/>
        <v>ON1</v>
      </c>
      <c r="H2051" s="10" t="s">
        <v>21</v>
      </c>
      <c r="I2051" s="10" t="s">
        <v>331</v>
      </c>
      <c r="J2051" s="10" t="str">
        <f>""</f>
        <v/>
      </c>
      <c r="K2051" s="10" t="str">
        <f>"PFES1162631398_0001"</f>
        <v>PFES1162631398_0001</v>
      </c>
      <c r="L2051" s="10">
        <v>1</v>
      </c>
      <c r="M2051" s="10">
        <v>1</v>
      </c>
    </row>
    <row r="2052" spans="1:13">
      <c r="A2052" s="8">
        <v>43276</v>
      </c>
      <c r="B2052" s="9">
        <v>0.51111111111111118</v>
      </c>
      <c r="C2052" s="10" t="str">
        <f>"FES1162631284"</f>
        <v>FES1162631284</v>
      </c>
      <c r="D2052" s="10" t="s">
        <v>19</v>
      </c>
      <c r="E2052" s="10" t="s">
        <v>72</v>
      </c>
      <c r="F2052" s="10" t="str">
        <f>"2170638160 "</f>
        <v xml:space="preserve">2170638160 </v>
      </c>
      <c r="G2052" s="10" t="str">
        <f t="shared" si="58"/>
        <v>ON1</v>
      </c>
      <c r="H2052" s="10" t="s">
        <v>21</v>
      </c>
      <c r="I2052" s="10" t="s">
        <v>73</v>
      </c>
      <c r="J2052" s="10" t="str">
        <f>""</f>
        <v/>
      </c>
      <c r="K2052" s="10" t="str">
        <f>"PFES1162631284_0001"</f>
        <v>PFES1162631284_0001</v>
      </c>
      <c r="L2052" s="10">
        <v>1</v>
      </c>
      <c r="M2052" s="10">
        <v>4</v>
      </c>
    </row>
    <row r="2053" spans="1:13">
      <c r="A2053" s="8">
        <v>43276</v>
      </c>
      <c r="B2053" s="9">
        <v>0.51111111111111118</v>
      </c>
      <c r="C2053" s="10" t="str">
        <f>"FES1162631382"</f>
        <v>FES1162631382</v>
      </c>
      <c r="D2053" s="10" t="s">
        <v>19</v>
      </c>
      <c r="E2053" s="10" t="s">
        <v>33</v>
      </c>
      <c r="F2053" s="10" t="str">
        <f>"2170638283 "</f>
        <v xml:space="preserve">2170638283 </v>
      </c>
      <c r="G2053" s="10" t="str">
        <f t="shared" si="58"/>
        <v>ON1</v>
      </c>
      <c r="H2053" s="10" t="s">
        <v>21</v>
      </c>
      <c r="I2053" s="10" t="s">
        <v>34</v>
      </c>
      <c r="J2053" s="10" t="str">
        <f>""</f>
        <v/>
      </c>
      <c r="K2053" s="10" t="str">
        <f>"PFES1162631382_0001"</f>
        <v>PFES1162631382_0001</v>
      </c>
      <c r="L2053" s="10">
        <v>1</v>
      </c>
      <c r="M2053" s="10">
        <v>1</v>
      </c>
    </row>
    <row r="2054" spans="1:13">
      <c r="A2054" s="8">
        <v>43276</v>
      </c>
      <c r="B2054" s="9">
        <v>0.50972222222222219</v>
      </c>
      <c r="C2054" s="10" t="str">
        <f>"FES1162631336"</f>
        <v>FES1162631336</v>
      </c>
      <c r="D2054" s="10" t="s">
        <v>19</v>
      </c>
      <c r="E2054" s="10" t="s">
        <v>117</v>
      </c>
      <c r="F2054" s="10" t="str">
        <f>"2170638245 "</f>
        <v xml:space="preserve">2170638245 </v>
      </c>
      <c r="G2054" s="10" t="str">
        <f t="shared" si="58"/>
        <v>ON1</v>
      </c>
      <c r="H2054" s="10" t="s">
        <v>21</v>
      </c>
      <c r="I2054" s="10" t="s">
        <v>118</v>
      </c>
      <c r="J2054" s="10" t="str">
        <f>""</f>
        <v/>
      </c>
      <c r="K2054" s="10" t="str">
        <f>"PFES1162631336_0001"</f>
        <v>PFES1162631336_0001</v>
      </c>
      <c r="L2054" s="10">
        <v>1</v>
      </c>
      <c r="M2054" s="10">
        <v>2</v>
      </c>
    </row>
    <row r="2055" spans="1:13">
      <c r="A2055" s="8">
        <v>43276</v>
      </c>
      <c r="B2055" s="9">
        <v>0.50347222222222221</v>
      </c>
      <c r="C2055" s="10" t="str">
        <f>"FES1162631248"</f>
        <v>FES1162631248</v>
      </c>
      <c r="D2055" s="10" t="s">
        <v>19</v>
      </c>
      <c r="E2055" s="10" t="s">
        <v>193</v>
      </c>
      <c r="F2055" s="10" t="str">
        <f>"2170636540 "</f>
        <v xml:space="preserve">2170636540 </v>
      </c>
      <c r="G2055" s="10" t="str">
        <f t="shared" si="58"/>
        <v>ON1</v>
      </c>
      <c r="H2055" s="10" t="s">
        <v>21</v>
      </c>
      <c r="I2055" s="10" t="s">
        <v>30</v>
      </c>
      <c r="J2055" s="10" t="str">
        <f>""</f>
        <v/>
      </c>
      <c r="K2055" s="10" t="str">
        <f>"PFES1162631248_0001"</f>
        <v>PFES1162631248_0001</v>
      </c>
      <c r="L2055" s="10">
        <v>1</v>
      </c>
      <c r="M2055" s="10">
        <v>4</v>
      </c>
    </row>
    <row r="2056" spans="1:13">
      <c r="A2056" s="8">
        <v>43276</v>
      </c>
      <c r="B2056" s="9">
        <v>0.50208333333333333</v>
      </c>
      <c r="C2056" s="10" t="str">
        <f>"FES1162631240"</f>
        <v>FES1162631240</v>
      </c>
      <c r="D2056" s="10" t="s">
        <v>19</v>
      </c>
      <c r="E2056" s="10" t="s">
        <v>532</v>
      </c>
      <c r="F2056" s="10" t="str">
        <f>"2170633568 "</f>
        <v xml:space="preserve">2170633568 </v>
      </c>
      <c r="G2056" s="10" t="str">
        <f t="shared" si="58"/>
        <v>ON1</v>
      </c>
      <c r="H2056" s="10" t="s">
        <v>21</v>
      </c>
      <c r="I2056" s="10" t="s">
        <v>483</v>
      </c>
      <c r="J2056" s="10" t="str">
        <f>""</f>
        <v/>
      </c>
      <c r="K2056" s="10" t="str">
        <f>"PFES1162631240_0001"</f>
        <v>PFES1162631240_0001</v>
      </c>
      <c r="L2056" s="10">
        <v>1</v>
      </c>
      <c r="M2056" s="10">
        <v>2</v>
      </c>
    </row>
    <row r="2057" spans="1:13">
      <c r="A2057" s="8">
        <v>43276</v>
      </c>
      <c r="B2057" s="9">
        <v>0.49861111111111112</v>
      </c>
      <c r="C2057" s="10" t="str">
        <f>"FES1162631286"</f>
        <v>FES1162631286</v>
      </c>
      <c r="D2057" s="10" t="s">
        <v>19</v>
      </c>
      <c r="E2057" s="10" t="s">
        <v>72</v>
      </c>
      <c r="F2057" s="10" t="str">
        <f>"2170638164 "</f>
        <v xml:space="preserve">2170638164 </v>
      </c>
      <c r="G2057" s="10" t="str">
        <f t="shared" si="58"/>
        <v>ON1</v>
      </c>
      <c r="H2057" s="10" t="s">
        <v>21</v>
      </c>
      <c r="I2057" s="10" t="s">
        <v>73</v>
      </c>
      <c r="J2057" s="10" t="str">
        <f>""</f>
        <v/>
      </c>
      <c r="K2057" s="10" t="str">
        <f>"PFES1162631286_0001"</f>
        <v>PFES1162631286_0001</v>
      </c>
      <c r="L2057" s="10">
        <v>1</v>
      </c>
      <c r="M2057" s="10">
        <v>18</v>
      </c>
    </row>
    <row r="2058" spans="1:13">
      <c r="A2058" s="8">
        <v>43276</v>
      </c>
      <c r="B2058" s="9">
        <v>0.49722222222222223</v>
      </c>
      <c r="C2058" s="10" t="str">
        <f>"FES1162631261"</f>
        <v>FES1162631261</v>
      </c>
      <c r="D2058" s="10" t="s">
        <v>19</v>
      </c>
      <c r="E2058" s="10" t="s">
        <v>779</v>
      </c>
      <c r="F2058" s="10" t="str">
        <f>"2170637752 "</f>
        <v xml:space="preserve">2170637752 </v>
      </c>
      <c r="G2058" s="10" t="str">
        <f t="shared" si="58"/>
        <v>ON1</v>
      </c>
      <c r="H2058" s="10" t="s">
        <v>21</v>
      </c>
      <c r="I2058" s="10" t="s">
        <v>112</v>
      </c>
      <c r="J2058" s="10" t="str">
        <f>""</f>
        <v/>
      </c>
      <c r="K2058" s="10" t="str">
        <f>"PFES1162631261_0001"</f>
        <v>PFES1162631261_0001</v>
      </c>
      <c r="L2058" s="10">
        <v>1</v>
      </c>
      <c r="M2058" s="10">
        <v>7</v>
      </c>
    </row>
    <row r="2059" spans="1:13">
      <c r="A2059" s="8">
        <v>43276</v>
      </c>
      <c r="B2059" s="9">
        <v>0.49444444444444446</v>
      </c>
      <c r="C2059" s="10" t="str">
        <f>"FES1162631319"</f>
        <v>FES1162631319</v>
      </c>
      <c r="D2059" s="10" t="s">
        <v>19</v>
      </c>
      <c r="E2059" s="10" t="s">
        <v>947</v>
      </c>
      <c r="F2059" s="10" t="str">
        <f>"2170638187 "</f>
        <v xml:space="preserve">2170638187 </v>
      </c>
      <c r="G2059" s="10" t="str">
        <f t="shared" si="58"/>
        <v>ON1</v>
      </c>
      <c r="H2059" s="10" t="s">
        <v>21</v>
      </c>
      <c r="I2059" s="10" t="s">
        <v>948</v>
      </c>
      <c r="J2059" s="10" t="str">
        <f>""</f>
        <v/>
      </c>
      <c r="K2059" s="10" t="str">
        <f>"PFES1162631319_0001"</f>
        <v>PFES1162631319_0001</v>
      </c>
      <c r="L2059" s="10">
        <v>1</v>
      </c>
      <c r="M2059" s="10">
        <v>13</v>
      </c>
    </row>
    <row r="2060" spans="1:13">
      <c r="A2060" s="8">
        <v>43276</v>
      </c>
      <c r="B2060" s="9">
        <v>0.49305555555555558</v>
      </c>
      <c r="C2060" s="10" t="str">
        <f>"FES1162631385"</f>
        <v>FES1162631385</v>
      </c>
      <c r="D2060" s="10" t="s">
        <v>19</v>
      </c>
      <c r="E2060" s="10" t="s">
        <v>171</v>
      </c>
      <c r="F2060" s="10" t="str">
        <f>"2170633222 "</f>
        <v xml:space="preserve">2170633222 </v>
      </c>
      <c r="G2060" s="10" t="str">
        <f t="shared" si="58"/>
        <v>ON1</v>
      </c>
      <c r="H2060" s="10" t="s">
        <v>21</v>
      </c>
      <c r="I2060" s="10" t="s">
        <v>172</v>
      </c>
      <c r="J2060" s="10" t="str">
        <f>""</f>
        <v/>
      </c>
      <c r="K2060" s="10" t="str">
        <f>"PFES1162631385_0001"</f>
        <v>PFES1162631385_0001</v>
      </c>
      <c r="L2060" s="10">
        <v>2</v>
      </c>
      <c r="M2060" s="10">
        <v>8</v>
      </c>
    </row>
    <row r="2061" spans="1:13">
      <c r="A2061" s="8">
        <v>43276</v>
      </c>
      <c r="B2061" s="9">
        <v>0.48749999999999999</v>
      </c>
      <c r="C2061" s="10" t="str">
        <f>"FES1162631274"</f>
        <v>FES1162631274</v>
      </c>
      <c r="D2061" s="10" t="s">
        <v>19</v>
      </c>
      <c r="E2061" s="10" t="s">
        <v>343</v>
      </c>
      <c r="F2061" s="10" t="str">
        <f>"2170638147 "</f>
        <v xml:space="preserve">2170638147 </v>
      </c>
      <c r="G2061" s="10" t="str">
        <f t="shared" si="58"/>
        <v>ON1</v>
      </c>
      <c r="H2061" s="10" t="s">
        <v>21</v>
      </c>
      <c r="I2061" s="10" t="s">
        <v>213</v>
      </c>
      <c r="J2061" s="10" t="str">
        <f>""</f>
        <v/>
      </c>
      <c r="K2061" s="10" t="str">
        <f>"PFES1162631274_0001"</f>
        <v>PFES1162631274_0001</v>
      </c>
      <c r="L2061" s="10">
        <v>1</v>
      </c>
      <c r="M2061" s="10">
        <v>2</v>
      </c>
    </row>
    <row r="2062" spans="1:13">
      <c r="A2062" s="8">
        <v>43276</v>
      </c>
      <c r="B2062" s="9">
        <v>0.46458333333333335</v>
      </c>
      <c r="C2062" s="10" t="str">
        <f>"FES1162631287"</f>
        <v>FES1162631287</v>
      </c>
      <c r="D2062" s="10" t="s">
        <v>19</v>
      </c>
      <c r="E2062" s="10" t="s">
        <v>540</v>
      </c>
      <c r="F2062" s="10" t="str">
        <f>"21706381645 "</f>
        <v xml:space="preserve">21706381645 </v>
      </c>
      <c r="G2062" s="10" t="str">
        <f t="shared" si="58"/>
        <v>ON1</v>
      </c>
      <c r="H2062" s="10" t="s">
        <v>21</v>
      </c>
      <c r="I2062" s="10" t="s">
        <v>55</v>
      </c>
      <c r="J2062" s="10" t="str">
        <f>""</f>
        <v/>
      </c>
      <c r="K2062" s="10" t="str">
        <f>"PFES1162631287_0001"</f>
        <v>PFES1162631287_0001</v>
      </c>
      <c r="L2062" s="10">
        <v>1</v>
      </c>
      <c r="M2062" s="10">
        <v>1</v>
      </c>
    </row>
    <row r="2063" spans="1:13">
      <c r="A2063" s="8">
        <v>43276</v>
      </c>
      <c r="B2063" s="9">
        <v>0.46388888888888885</v>
      </c>
      <c r="C2063" s="10" t="str">
        <f>"FES1162631254"</f>
        <v>FES1162631254</v>
      </c>
      <c r="D2063" s="10" t="s">
        <v>19</v>
      </c>
      <c r="E2063" s="10" t="s">
        <v>635</v>
      </c>
      <c r="F2063" s="10" t="str">
        <f>"21706365956 "</f>
        <v xml:space="preserve">21706365956 </v>
      </c>
      <c r="G2063" s="10" t="str">
        <f t="shared" si="58"/>
        <v>ON1</v>
      </c>
      <c r="H2063" s="10" t="s">
        <v>21</v>
      </c>
      <c r="I2063" s="10" t="s">
        <v>636</v>
      </c>
      <c r="J2063" s="10" t="str">
        <f>""</f>
        <v/>
      </c>
      <c r="K2063" s="10" t="str">
        <f>"PFES1162631254_0001"</f>
        <v>PFES1162631254_0001</v>
      </c>
      <c r="L2063" s="10">
        <v>1</v>
      </c>
      <c r="M2063" s="10">
        <v>1</v>
      </c>
    </row>
    <row r="2064" spans="1:13">
      <c r="A2064" s="8">
        <v>43276</v>
      </c>
      <c r="B2064" s="9">
        <v>0.46388888888888885</v>
      </c>
      <c r="C2064" s="10" t="str">
        <f>"FES1162631273"</f>
        <v>FES1162631273</v>
      </c>
      <c r="D2064" s="10" t="s">
        <v>19</v>
      </c>
      <c r="E2064" s="10" t="s">
        <v>145</v>
      </c>
      <c r="F2064" s="10" t="str">
        <f>"21706381451 "</f>
        <v xml:space="preserve">21706381451 </v>
      </c>
      <c r="G2064" s="10" t="str">
        <f t="shared" ref="G2064:G2105" si="59">"ON1"</f>
        <v>ON1</v>
      </c>
      <c r="H2064" s="10" t="s">
        <v>21</v>
      </c>
      <c r="I2064" s="10" t="s">
        <v>146</v>
      </c>
      <c r="J2064" s="10" t="str">
        <f>""</f>
        <v/>
      </c>
      <c r="K2064" s="10" t="str">
        <f>"PFES1162631273_0001"</f>
        <v>PFES1162631273_0001</v>
      </c>
      <c r="L2064" s="10">
        <v>1</v>
      </c>
      <c r="M2064" s="10">
        <v>1</v>
      </c>
    </row>
    <row r="2065" spans="1:13">
      <c r="A2065" s="8">
        <v>43276</v>
      </c>
      <c r="B2065" s="9">
        <v>0.46319444444444446</v>
      </c>
      <c r="C2065" s="10" t="str">
        <f>"FES1162631244"</f>
        <v>FES1162631244</v>
      </c>
      <c r="D2065" s="10" t="s">
        <v>19</v>
      </c>
      <c r="E2065" s="10" t="s">
        <v>95</v>
      </c>
      <c r="F2065" s="10" t="str">
        <f>"21706357957 "</f>
        <v xml:space="preserve">21706357957 </v>
      </c>
      <c r="G2065" s="10" t="str">
        <f t="shared" si="59"/>
        <v>ON1</v>
      </c>
      <c r="H2065" s="10" t="s">
        <v>21</v>
      </c>
      <c r="I2065" s="10" t="s">
        <v>96</v>
      </c>
      <c r="J2065" s="10" t="str">
        <f>""</f>
        <v/>
      </c>
      <c r="K2065" s="10" t="str">
        <f>"PFES1162631244_0001"</f>
        <v>PFES1162631244_0001</v>
      </c>
      <c r="L2065" s="10">
        <v>1</v>
      </c>
      <c r="M2065" s="10">
        <v>1</v>
      </c>
    </row>
    <row r="2066" spans="1:13">
      <c r="A2066" s="8">
        <v>43276</v>
      </c>
      <c r="B2066" s="9">
        <v>0.46319444444444446</v>
      </c>
      <c r="C2066" s="10" t="str">
        <f>"FES1162631276"</f>
        <v>FES1162631276</v>
      </c>
      <c r="D2066" s="10" t="s">
        <v>19</v>
      </c>
      <c r="E2066" s="10" t="s">
        <v>95</v>
      </c>
      <c r="F2066" s="10" t="str">
        <f>"2170638149 "</f>
        <v xml:space="preserve">2170638149 </v>
      </c>
      <c r="G2066" s="10" t="str">
        <f t="shared" si="59"/>
        <v>ON1</v>
      </c>
      <c r="H2066" s="10" t="s">
        <v>21</v>
      </c>
      <c r="I2066" s="10" t="s">
        <v>96</v>
      </c>
      <c r="J2066" s="10" t="str">
        <f>""</f>
        <v/>
      </c>
      <c r="K2066" s="10" t="str">
        <f>"PFES1162631276_0001"</f>
        <v>PFES1162631276_0001</v>
      </c>
      <c r="L2066" s="10">
        <v>1</v>
      </c>
      <c r="M2066" s="10">
        <v>1</v>
      </c>
    </row>
    <row r="2067" spans="1:13">
      <c r="A2067" s="8">
        <v>43276</v>
      </c>
      <c r="B2067" s="9">
        <v>0.46319444444444446</v>
      </c>
      <c r="C2067" s="10" t="str">
        <f>"FES1162631253"</f>
        <v>FES1162631253</v>
      </c>
      <c r="D2067" s="10" t="s">
        <v>19</v>
      </c>
      <c r="E2067" s="10" t="s">
        <v>64</v>
      </c>
      <c r="F2067" s="10" t="str">
        <f>"2170637866 "</f>
        <v xml:space="preserve">2170637866 </v>
      </c>
      <c r="G2067" s="10" t="str">
        <f t="shared" si="59"/>
        <v>ON1</v>
      </c>
      <c r="H2067" s="10" t="s">
        <v>21</v>
      </c>
      <c r="I2067" s="10" t="s">
        <v>40</v>
      </c>
      <c r="J2067" s="10" t="str">
        <f>""</f>
        <v/>
      </c>
      <c r="K2067" s="10" t="str">
        <f>"PFES1162631253_0001"</f>
        <v>PFES1162631253_0001</v>
      </c>
      <c r="L2067" s="10">
        <v>1</v>
      </c>
      <c r="M2067" s="10">
        <v>1</v>
      </c>
    </row>
    <row r="2068" spans="1:13">
      <c r="A2068" s="8">
        <v>43276</v>
      </c>
      <c r="B2068" s="9">
        <v>0.46249999999999997</v>
      </c>
      <c r="C2068" s="10" t="str">
        <f>"FES1162631324"</f>
        <v>FES1162631324</v>
      </c>
      <c r="D2068" s="10" t="s">
        <v>19</v>
      </c>
      <c r="E2068" s="10" t="s">
        <v>302</v>
      </c>
      <c r="F2068" s="10" t="str">
        <f>"2170638225 "</f>
        <v xml:space="preserve">2170638225 </v>
      </c>
      <c r="G2068" s="10" t="str">
        <f t="shared" si="59"/>
        <v>ON1</v>
      </c>
      <c r="H2068" s="10" t="s">
        <v>21</v>
      </c>
      <c r="I2068" s="10" t="s">
        <v>303</v>
      </c>
      <c r="J2068" s="10" t="str">
        <f>""</f>
        <v/>
      </c>
      <c r="K2068" s="10" t="str">
        <f>"PFES1162631324_0001"</f>
        <v>PFES1162631324_0001</v>
      </c>
      <c r="L2068" s="10">
        <v>1</v>
      </c>
      <c r="M2068" s="10">
        <v>1</v>
      </c>
    </row>
    <row r="2069" spans="1:13">
      <c r="A2069" s="8">
        <v>43276</v>
      </c>
      <c r="B2069" s="9">
        <v>0.46249999999999997</v>
      </c>
      <c r="C2069" s="10" t="str">
        <f>"FES1162631255"</f>
        <v>FES1162631255</v>
      </c>
      <c r="D2069" s="10" t="s">
        <v>19</v>
      </c>
      <c r="E2069" s="10" t="s">
        <v>29</v>
      </c>
      <c r="F2069" s="10" t="str">
        <f>"2170637015 "</f>
        <v xml:space="preserve">2170637015 </v>
      </c>
      <c r="G2069" s="10" t="str">
        <f t="shared" si="59"/>
        <v>ON1</v>
      </c>
      <c r="H2069" s="10" t="s">
        <v>21</v>
      </c>
      <c r="I2069" s="10" t="s">
        <v>30</v>
      </c>
      <c r="J2069" s="10" t="str">
        <f>""</f>
        <v/>
      </c>
      <c r="K2069" s="10" t="str">
        <f>"PFES1162631255_0001"</f>
        <v>PFES1162631255_0001</v>
      </c>
      <c r="L2069" s="10">
        <v>1</v>
      </c>
      <c r="M2069" s="10">
        <v>1</v>
      </c>
    </row>
    <row r="2070" spans="1:13">
      <c r="A2070" s="8">
        <v>43276</v>
      </c>
      <c r="B2070" s="9">
        <v>0.46180555555555558</v>
      </c>
      <c r="C2070" s="10" t="str">
        <f>"FES1162631316"</f>
        <v>FES1162631316</v>
      </c>
      <c r="D2070" s="10" t="s">
        <v>19</v>
      </c>
      <c r="E2070" s="10" t="s">
        <v>62</v>
      </c>
      <c r="F2070" s="10" t="str">
        <f>"2170638219 "</f>
        <v xml:space="preserve">2170638219 </v>
      </c>
      <c r="G2070" s="10" t="str">
        <f t="shared" si="59"/>
        <v>ON1</v>
      </c>
      <c r="H2070" s="10" t="s">
        <v>21</v>
      </c>
      <c r="I2070" s="10" t="s">
        <v>63</v>
      </c>
      <c r="J2070" s="10" t="str">
        <f>""</f>
        <v/>
      </c>
      <c r="K2070" s="10" t="str">
        <f>"PFES1162631316_0001"</f>
        <v>PFES1162631316_0001</v>
      </c>
      <c r="L2070" s="10">
        <v>1</v>
      </c>
      <c r="M2070" s="10">
        <v>1</v>
      </c>
    </row>
    <row r="2071" spans="1:13">
      <c r="A2071" s="8">
        <v>43276</v>
      </c>
      <c r="B2071" s="9">
        <v>0.46180555555555558</v>
      </c>
      <c r="C2071" s="10" t="str">
        <f>"FES1162631266"</f>
        <v>FES1162631266</v>
      </c>
      <c r="D2071" s="10" t="s">
        <v>19</v>
      </c>
      <c r="E2071" s="10" t="s">
        <v>402</v>
      </c>
      <c r="F2071" s="10" t="str">
        <f>"2170637941 "</f>
        <v xml:space="preserve">2170637941 </v>
      </c>
      <c r="G2071" s="10" t="str">
        <f t="shared" si="59"/>
        <v>ON1</v>
      </c>
      <c r="H2071" s="10" t="s">
        <v>21</v>
      </c>
      <c r="I2071" s="10" t="s">
        <v>389</v>
      </c>
      <c r="J2071" s="10" t="str">
        <f>""</f>
        <v/>
      </c>
      <c r="K2071" s="10" t="str">
        <f>"PFES1162631266_0001"</f>
        <v>PFES1162631266_0001</v>
      </c>
      <c r="L2071" s="10">
        <v>1</v>
      </c>
      <c r="M2071" s="10">
        <v>1</v>
      </c>
    </row>
    <row r="2072" spans="1:13">
      <c r="A2072" s="8">
        <v>43276</v>
      </c>
      <c r="B2072" s="9">
        <v>0.45208333333333334</v>
      </c>
      <c r="C2072" s="10" t="str">
        <f>"FES1162631294"</f>
        <v>FES1162631294</v>
      </c>
      <c r="D2072" s="10" t="s">
        <v>19</v>
      </c>
      <c r="E2072" s="10" t="s">
        <v>443</v>
      </c>
      <c r="F2072" s="10" t="str">
        <f>"2170638177 "</f>
        <v xml:space="preserve">2170638177 </v>
      </c>
      <c r="G2072" s="10" t="str">
        <f t="shared" si="59"/>
        <v>ON1</v>
      </c>
      <c r="H2072" s="10" t="s">
        <v>21</v>
      </c>
      <c r="I2072" s="10" t="s">
        <v>389</v>
      </c>
      <c r="J2072" s="10" t="str">
        <f>""</f>
        <v/>
      </c>
      <c r="K2072" s="10" t="str">
        <f>"PFES1162631294_0001"</f>
        <v>PFES1162631294_0001</v>
      </c>
      <c r="L2072" s="10">
        <v>1</v>
      </c>
      <c r="M2072" s="10">
        <v>1</v>
      </c>
    </row>
    <row r="2073" spans="1:13">
      <c r="A2073" s="8">
        <v>43276</v>
      </c>
      <c r="B2073" s="9">
        <v>0.45208333333333334</v>
      </c>
      <c r="C2073" s="10" t="str">
        <f>"FES1162631314"</f>
        <v>FES1162631314</v>
      </c>
      <c r="D2073" s="10" t="s">
        <v>19</v>
      </c>
      <c r="E2073" s="10" t="s">
        <v>268</v>
      </c>
      <c r="F2073" s="10" t="str">
        <f>"2170638217 "</f>
        <v xml:space="preserve">2170638217 </v>
      </c>
      <c r="G2073" s="10" t="str">
        <f t="shared" si="59"/>
        <v>ON1</v>
      </c>
      <c r="H2073" s="10" t="s">
        <v>21</v>
      </c>
      <c r="I2073" s="10" t="s">
        <v>269</v>
      </c>
      <c r="J2073" s="10" t="str">
        <f>""</f>
        <v/>
      </c>
      <c r="K2073" s="10" t="str">
        <f>"PFES1162631314_0001"</f>
        <v>PFES1162631314_0001</v>
      </c>
      <c r="L2073" s="10">
        <v>1</v>
      </c>
      <c r="M2073" s="10">
        <v>1</v>
      </c>
    </row>
    <row r="2074" spans="1:13">
      <c r="A2074" s="8">
        <v>43276</v>
      </c>
      <c r="B2074" s="9">
        <v>0.4513888888888889</v>
      </c>
      <c r="C2074" s="10" t="str">
        <f>"FES1162631288"</f>
        <v>FES1162631288</v>
      </c>
      <c r="D2074" s="10" t="s">
        <v>19</v>
      </c>
      <c r="E2074" s="10" t="s">
        <v>256</v>
      </c>
      <c r="F2074" s="10" t="str">
        <f>"2170638167 "</f>
        <v xml:space="preserve">2170638167 </v>
      </c>
      <c r="G2074" s="10" t="str">
        <f t="shared" si="59"/>
        <v>ON1</v>
      </c>
      <c r="H2074" s="10" t="s">
        <v>21</v>
      </c>
      <c r="I2074" s="10" t="s">
        <v>230</v>
      </c>
      <c r="J2074" s="10" t="str">
        <f>""</f>
        <v/>
      </c>
      <c r="K2074" s="10" t="str">
        <f>"PFES1162631288_0001"</f>
        <v>PFES1162631288_0001</v>
      </c>
      <c r="L2074" s="10">
        <v>1</v>
      </c>
      <c r="M2074" s="10">
        <v>1</v>
      </c>
    </row>
    <row r="2075" spans="1:13">
      <c r="A2075" s="8">
        <v>43276</v>
      </c>
      <c r="B2075" s="9">
        <v>0.4513888888888889</v>
      </c>
      <c r="C2075" s="10" t="str">
        <f>"FES1162631264"</f>
        <v>FES1162631264</v>
      </c>
      <c r="D2075" s="10" t="s">
        <v>19</v>
      </c>
      <c r="E2075" s="10" t="s">
        <v>263</v>
      </c>
      <c r="F2075" s="10" t="str">
        <f>"2170637877 "</f>
        <v xml:space="preserve">2170637877 </v>
      </c>
      <c r="G2075" s="10" t="str">
        <f t="shared" si="59"/>
        <v>ON1</v>
      </c>
      <c r="H2075" s="10" t="s">
        <v>21</v>
      </c>
      <c r="I2075" s="10" t="s">
        <v>230</v>
      </c>
      <c r="J2075" s="10" t="str">
        <f>""</f>
        <v/>
      </c>
      <c r="K2075" s="10" t="str">
        <f>"PFES1162631264_0001"</f>
        <v>PFES1162631264_0001</v>
      </c>
      <c r="L2075" s="10">
        <v>1</v>
      </c>
      <c r="M2075" s="10">
        <v>1</v>
      </c>
    </row>
    <row r="2076" spans="1:13">
      <c r="A2076" s="8">
        <v>43276</v>
      </c>
      <c r="B2076" s="9">
        <v>0.4513888888888889</v>
      </c>
      <c r="C2076" s="10" t="str">
        <f>"FES1162631303"</f>
        <v>FES1162631303</v>
      </c>
      <c r="D2076" s="10" t="s">
        <v>19</v>
      </c>
      <c r="E2076" s="10" t="s">
        <v>954</v>
      </c>
      <c r="F2076" s="10" t="str">
        <f>"2170638124 "</f>
        <v xml:space="preserve">2170638124 </v>
      </c>
      <c r="G2076" s="10" t="str">
        <f t="shared" si="59"/>
        <v>ON1</v>
      </c>
      <c r="H2076" s="10" t="s">
        <v>21</v>
      </c>
      <c r="I2076" s="10" t="s">
        <v>955</v>
      </c>
      <c r="J2076" s="10" t="str">
        <f>""</f>
        <v/>
      </c>
      <c r="K2076" s="10" t="str">
        <f>"PFES1162631303_0001"</f>
        <v>PFES1162631303_0001</v>
      </c>
      <c r="L2076" s="10">
        <v>1</v>
      </c>
      <c r="M2076" s="10">
        <v>1</v>
      </c>
    </row>
    <row r="2077" spans="1:13">
      <c r="A2077" s="8">
        <v>43276</v>
      </c>
      <c r="B2077" s="9">
        <v>0.44861111111111113</v>
      </c>
      <c r="C2077" s="10" t="str">
        <f>"FES1162631280"</f>
        <v>FES1162631280</v>
      </c>
      <c r="D2077" s="10" t="s">
        <v>19</v>
      </c>
      <c r="E2077" s="10" t="s">
        <v>300</v>
      </c>
      <c r="F2077" s="10" t="str">
        <f>"2170638155 "</f>
        <v xml:space="preserve">2170638155 </v>
      </c>
      <c r="G2077" s="10" t="str">
        <f t="shared" si="59"/>
        <v>ON1</v>
      </c>
      <c r="H2077" s="10" t="s">
        <v>21</v>
      </c>
      <c r="I2077" s="10" t="s">
        <v>301</v>
      </c>
      <c r="J2077" s="10" t="str">
        <f>""</f>
        <v/>
      </c>
      <c r="K2077" s="10" t="str">
        <f>"PFES1162631280_0001"</f>
        <v>PFES1162631280_0001</v>
      </c>
      <c r="L2077" s="10">
        <v>1</v>
      </c>
      <c r="M2077" s="10">
        <v>1</v>
      </c>
    </row>
    <row r="2078" spans="1:13">
      <c r="A2078" s="8">
        <v>43276</v>
      </c>
      <c r="B2078" s="9">
        <v>0.44861111111111113</v>
      </c>
      <c r="C2078" s="10" t="str">
        <f>"FES1162631290"</f>
        <v>FES1162631290</v>
      </c>
      <c r="D2078" s="10" t="s">
        <v>19</v>
      </c>
      <c r="E2078" s="10" t="s">
        <v>67</v>
      </c>
      <c r="F2078" s="10" t="str">
        <f>"2170638169 "</f>
        <v xml:space="preserve">2170638169 </v>
      </c>
      <c r="G2078" s="10" t="str">
        <f t="shared" si="59"/>
        <v>ON1</v>
      </c>
      <c r="H2078" s="10" t="s">
        <v>21</v>
      </c>
      <c r="I2078" s="10" t="s">
        <v>46</v>
      </c>
      <c r="J2078" s="10" t="str">
        <f>""</f>
        <v/>
      </c>
      <c r="K2078" s="10" t="str">
        <f>"PFES1162631290_0001"</f>
        <v>PFES1162631290_0001</v>
      </c>
      <c r="L2078" s="10">
        <v>1</v>
      </c>
      <c r="M2078" s="10">
        <v>1</v>
      </c>
    </row>
    <row r="2079" spans="1:13">
      <c r="A2079" s="8">
        <v>43276</v>
      </c>
      <c r="B2079" s="9">
        <v>0.4381944444444445</v>
      </c>
      <c r="C2079" s="10" t="str">
        <f>"FES1162631315"</f>
        <v>FES1162631315</v>
      </c>
      <c r="D2079" s="10" t="s">
        <v>19</v>
      </c>
      <c r="E2079" s="10" t="s">
        <v>649</v>
      </c>
      <c r="F2079" s="10" t="str">
        <f>"2170638218 "</f>
        <v xml:space="preserve">2170638218 </v>
      </c>
      <c r="G2079" s="10" t="str">
        <f t="shared" si="59"/>
        <v>ON1</v>
      </c>
      <c r="H2079" s="10" t="s">
        <v>21</v>
      </c>
      <c r="I2079" s="10" t="s">
        <v>26</v>
      </c>
      <c r="J2079" s="10" t="str">
        <f>""</f>
        <v/>
      </c>
      <c r="K2079" s="10" t="str">
        <f>"PFES1162631315_0001"</f>
        <v>PFES1162631315_0001</v>
      </c>
      <c r="L2079" s="10">
        <v>1</v>
      </c>
      <c r="M2079" s="10">
        <v>1</v>
      </c>
    </row>
    <row r="2080" spans="1:13">
      <c r="A2080" s="8">
        <v>43276</v>
      </c>
      <c r="B2080" s="9">
        <v>0.4381944444444445</v>
      </c>
      <c r="C2080" s="10" t="str">
        <f>"FES1162631256"</f>
        <v>FES1162631256</v>
      </c>
      <c r="D2080" s="10" t="s">
        <v>19</v>
      </c>
      <c r="E2080" s="10" t="s">
        <v>300</v>
      </c>
      <c r="F2080" s="10" t="str">
        <f>"2170637529 "</f>
        <v xml:space="preserve">2170637529 </v>
      </c>
      <c r="G2080" s="10" t="str">
        <f t="shared" si="59"/>
        <v>ON1</v>
      </c>
      <c r="H2080" s="10" t="s">
        <v>21</v>
      </c>
      <c r="I2080" s="10" t="s">
        <v>301</v>
      </c>
      <c r="J2080" s="10" t="str">
        <f>""</f>
        <v/>
      </c>
      <c r="K2080" s="10" t="str">
        <f>"PFES1162631256_0001"</f>
        <v>PFES1162631256_0001</v>
      </c>
      <c r="L2080" s="10">
        <v>1</v>
      </c>
      <c r="M2080" s="10">
        <v>1</v>
      </c>
    </row>
    <row r="2081" spans="1:13">
      <c r="A2081" s="8">
        <v>43276</v>
      </c>
      <c r="B2081" s="9">
        <v>0.4375</v>
      </c>
      <c r="C2081" s="10" t="str">
        <f>"FES1162631246"</f>
        <v>FES1162631246</v>
      </c>
      <c r="D2081" s="10" t="s">
        <v>19</v>
      </c>
      <c r="E2081" s="10" t="s">
        <v>169</v>
      </c>
      <c r="F2081" s="10" t="str">
        <f>"2170636399 "</f>
        <v xml:space="preserve">2170636399 </v>
      </c>
      <c r="G2081" s="10" t="str">
        <f t="shared" si="59"/>
        <v>ON1</v>
      </c>
      <c r="H2081" s="10" t="s">
        <v>21</v>
      </c>
      <c r="I2081" s="10" t="s">
        <v>170</v>
      </c>
      <c r="J2081" s="10" t="str">
        <f>""</f>
        <v/>
      </c>
      <c r="K2081" s="10" t="str">
        <f>"PFES1162631246_0001"</f>
        <v>PFES1162631246_0001</v>
      </c>
      <c r="L2081" s="10">
        <v>1</v>
      </c>
      <c r="M2081" s="10">
        <v>1</v>
      </c>
    </row>
    <row r="2082" spans="1:13">
      <c r="A2082" s="8">
        <v>43276</v>
      </c>
      <c r="B2082" s="9">
        <v>0.4375</v>
      </c>
      <c r="C2082" s="10" t="str">
        <f>"FES1162631242"</f>
        <v>FES1162631242</v>
      </c>
      <c r="D2082" s="10" t="s">
        <v>19</v>
      </c>
      <c r="E2082" s="10" t="s">
        <v>249</v>
      </c>
      <c r="F2082" s="10" t="str">
        <f>"2170634485 "</f>
        <v xml:space="preserve">2170634485 </v>
      </c>
      <c r="G2082" s="10" t="str">
        <f t="shared" si="59"/>
        <v>ON1</v>
      </c>
      <c r="H2082" s="10" t="s">
        <v>21</v>
      </c>
      <c r="I2082" s="10" t="s">
        <v>59</v>
      </c>
      <c r="J2082" s="10" t="str">
        <f>""</f>
        <v/>
      </c>
      <c r="K2082" s="10" t="str">
        <f>"PFES1162631242_0001"</f>
        <v>PFES1162631242_0001</v>
      </c>
      <c r="L2082" s="10">
        <v>1</v>
      </c>
      <c r="M2082" s="10">
        <v>1</v>
      </c>
    </row>
    <row r="2083" spans="1:13">
      <c r="A2083" s="8">
        <v>43276</v>
      </c>
      <c r="B2083" s="9">
        <v>0.4368055555555555</v>
      </c>
      <c r="C2083" s="10" t="str">
        <f>"FES1162631272"</f>
        <v>FES1162631272</v>
      </c>
      <c r="D2083" s="10" t="s">
        <v>19</v>
      </c>
      <c r="E2083" s="10" t="s">
        <v>602</v>
      </c>
      <c r="F2083" s="10" t="str">
        <f>"2170638143 "</f>
        <v xml:space="preserve">2170638143 </v>
      </c>
      <c r="G2083" s="10" t="str">
        <f t="shared" si="59"/>
        <v>ON1</v>
      </c>
      <c r="H2083" s="10" t="s">
        <v>21</v>
      </c>
      <c r="I2083" s="10" t="s">
        <v>108</v>
      </c>
      <c r="J2083" s="10" t="str">
        <f>""</f>
        <v/>
      </c>
      <c r="K2083" s="10" t="str">
        <f>"PFES1162631272_0001"</f>
        <v>PFES1162631272_0001</v>
      </c>
      <c r="L2083" s="10">
        <v>1</v>
      </c>
      <c r="M2083" s="10">
        <v>1</v>
      </c>
    </row>
    <row r="2084" spans="1:13">
      <c r="A2084" s="8">
        <v>43276</v>
      </c>
      <c r="B2084" s="9">
        <v>0.4368055555555555</v>
      </c>
      <c r="C2084" s="10" t="str">
        <f>"FES1162631281"</f>
        <v>FES1162631281</v>
      </c>
      <c r="D2084" s="10" t="s">
        <v>19</v>
      </c>
      <c r="E2084" s="10" t="s">
        <v>307</v>
      </c>
      <c r="F2084" s="10" t="str">
        <f>"2170638157 "</f>
        <v xml:space="preserve">2170638157 </v>
      </c>
      <c r="G2084" s="10" t="str">
        <f t="shared" si="59"/>
        <v>ON1</v>
      </c>
      <c r="H2084" s="10" t="s">
        <v>21</v>
      </c>
      <c r="I2084" s="10" t="s">
        <v>305</v>
      </c>
      <c r="J2084" s="10" t="str">
        <f>""</f>
        <v/>
      </c>
      <c r="K2084" s="10" t="str">
        <f>"PFES1162631281_0001"</f>
        <v>PFES1162631281_0001</v>
      </c>
      <c r="L2084" s="10">
        <v>1</v>
      </c>
      <c r="M2084" s="10">
        <v>1</v>
      </c>
    </row>
    <row r="2085" spans="1:13">
      <c r="A2085" s="8">
        <v>43276</v>
      </c>
      <c r="B2085" s="9">
        <v>0.43472222222222223</v>
      </c>
      <c r="C2085" s="10" t="str">
        <f>"FES1162631241"</f>
        <v>FES1162631241</v>
      </c>
      <c r="D2085" s="10" t="s">
        <v>19</v>
      </c>
      <c r="E2085" s="10" t="s">
        <v>597</v>
      </c>
      <c r="F2085" s="10" t="str">
        <f>"210633696 "</f>
        <v xml:space="preserve">210633696 </v>
      </c>
      <c r="G2085" s="10" t="str">
        <f t="shared" si="59"/>
        <v>ON1</v>
      </c>
      <c r="H2085" s="10" t="s">
        <v>21</v>
      </c>
      <c r="I2085" s="10" t="s">
        <v>290</v>
      </c>
      <c r="J2085" s="10" t="str">
        <f>""</f>
        <v/>
      </c>
      <c r="K2085" s="10" t="str">
        <f>"PFES1162631241_0001"</f>
        <v>PFES1162631241_0001</v>
      </c>
      <c r="L2085" s="10">
        <v>1</v>
      </c>
      <c r="M2085" s="10">
        <v>1</v>
      </c>
    </row>
    <row r="2086" spans="1:13">
      <c r="A2086" s="8">
        <v>43276</v>
      </c>
      <c r="B2086" s="9">
        <v>0.43402777777777773</v>
      </c>
      <c r="C2086" s="10" t="str">
        <f>"FES1162631259"</f>
        <v>FES1162631259</v>
      </c>
      <c r="D2086" s="10" t="s">
        <v>19</v>
      </c>
      <c r="E2086" s="10" t="s">
        <v>67</v>
      </c>
      <c r="F2086" s="10" t="str">
        <f>"2170637571 "</f>
        <v xml:space="preserve">2170637571 </v>
      </c>
      <c r="G2086" s="10" t="str">
        <f t="shared" si="59"/>
        <v>ON1</v>
      </c>
      <c r="H2086" s="10" t="s">
        <v>21</v>
      </c>
      <c r="I2086" s="10" t="s">
        <v>32</v>
      </c>
      <c r="J2086" s="10" t="str">
        <f>""</f>
        <v/>
      </c>
      <c r="K2086" s="10" t="str">
        <f>"PFES1162631259_0001"</f>
        <v>PFES1162631259_0001</v>
      </c>
      <c r="L2086" s="10">
        <v>1</v>
      </c>
      <c r="M2086" s="10">
        <v>1</v>
      </c>
    </row>
    <row r="2087" spans="1:13">
      <c r="A2087" s="8">
        <v>43276</v>
      </c>
      <c r="B2087" s="9">
        <v>0.43402777777777773</v>
      </c>
      <c r="C2087" s="10" t="str">
        <f>"FES1162631270"</f>
        <v>FES1162631270</v>
      </c>
      <c r="D2087" s="10" t="s">
        <v>19</v>
      </c>
      <c r="E2087" s="10" t="s">
        <v>408</v>
      </c>
      <c r="F2087" s="10" t="str">
        <f>"2170638141 "</f>
        <v xml:space="preserve">2170638141 </v>
      </c>
      <c r="G2087" s="10" t="str">
        <f t="shared" si="59"/>
        <v>ON1</v>
      </c>
      <c r="H2087" s="10" t="s">
        <v>21</v>
      </c>
      <c r="I2087" s="10" t="s">
        <v>297</v>
      </c>
      <c r="J2087" s="10" t="str">
        <f>""</f>
        <v/>
      </c>
      <c r="K2087" s="10" t="str">
        <f>"PFES1162631270_0001"</f>
        <v>PFES1162631270_0001</v>
      </c>
      <c r="L2087" s="10">
        <v>1</v>
      </c>
      <c r="M2087" s="10">
        <v>1</v>
      </c>
    </row>
    <row r="2088" spans="1:13">
      <c r="A2088" s="8">
        <v>43276</v>
      </c>
      <c r="B2088" s="9">
        <v>0.43333333333333335</v>
      </c>
      <c r="C2088" s="10" t="str">
        <f>"FES1162631260"</f>
        <v>FES1162631260</v>
      </c>
      <c r="D2088" s="10" t="s">
        <v>19</v>
      </c>
      <c r="E2088" s="10" t="s">
        <v>67</v>
      </c>
      <c r="F2088" s="10" t="str">
        <f>"217637573 "</f>
        <v xml:space="preserve">217637573 </v>
      </c>
      <c r="G2088" s="10" t="str">
        <f t="shared" si="59"/>
        <v>ON1</v>
      </c>
      <c r="H2088" s="10" t="s">
        <v>21</v>
      </c>
      <c r="I2088" s="10" t="s">
        <v>32</v>
      </c>
      <c r="J2088" s="10" t="str">
        <f>""</f>
        <v/>
      </c>
      <c r="K2088" s="10" t="str">
        <f>"PFES1162631260_0001"</f>
        <v>PFES1162631260_0001</v>
      </c>
      <c r="L2088" s="10">
        <v>1</v>
      </c>
      <c r="M2088" s="10">
        <v>1</v>
      </c>
    </row>
    <row r="2089" spans="1:13">
      <c r="A2089" s="8">
        <v>43276</v>
      </c>
      <c r="B2089" s="9">
        <v>0.43333333333333335</v>
      </c>
      <c r="C2089" s="10" t="str">
        <f>"FES1162631301"</f>
        <v>FES1162631301</v>
      </c>
      <c r="D2089" s="10" t="s">
        <v>19</v>
      </c>
      <c r="E2089" s="10" t="s">
        <v>31</v>
      </c>
      <c r="F2089" s="10" t="str">
        <f>"2170638197 "</f>
        <v xml:space="preserve">2170638197 </v>
      </c>
      <c r="G2089" s="10" t="str">
        <f t="shared" si="59"/>
        <v>ON1</v>
      </c>
      <c r="H2089" s="10" t="s">
        <v>21</v>
      </c>
      <c r="I2089" s="10" t="s">
        <v>32</v>
      </c>
      <c r="J2089" s="10" t="str">
        <f>""</f>
        <v/>
      </c>
      <c r="K2089" s="10" t="str">
        <f>"PFES1162631301_0001"</f>
        <v>PFES1162631301_0001</v>
      </c>
      <c r="L2089" s="10">
        <v>1</v>
      </c>
      <c r="M2089" s="10">
        <v>1</v>
      </c>
    </row>
    <row r="2090" spans="1:13">
      <c r="A2090" s="8">
        <v>43276</v>
      </c>
      <c r="B2090" s="9">
        <v>0.43263888888888885</v>
      </c>
      <c r="C2090" s="10" t="str">
        <f>"FES1162631265"</f>
        <v>FES1162631265</v>
      </c>
      <c r="D2090" s="10" t="s">
        <v>19</v>
      </c>
      <c r="E2090" s="10" t="s">
        <v>956</v>
      </c>
      <c r="F2090" s="10" t="str">
        <f>"2170637880 "</f>
        <v xml:space="preserve">2170637880 </v>
      </c>
      <c r="G2090" s="10" t="str">
        <f t="shared" si="59"/>
        <v>ON1</v>
      </c>
      <c r="H2090" s="10" t="s">
        <v>21</v>
      </c>
      <c r="I2090" s="10" t="s">
        <v>957</v>
      </c>
      <c r="J2090" s="10" t="str">
        <f>""</f>
        <v/>
      </c>
      <c r="K2090" s="10" t="str">
        <f>"PFES1162631265_0001"</f>
        <v>PFES1162631265_0001</v>
      </c>
      <c r="L2090" s="10">
        <v>1</v>
      </c>
      <c r="M2090" s="10">
        <v>1</v>
      </c>
    </row>
    <row r="2091" spans="1:13">
      <c r="A2091" s="8">
        <v>43276</v>
      </c>
      <c r="B2091" s="9">
        <v>0.43263888888888885</v>
      </c>
      <c r="C2091" s="10" t="str">
        <f>"FES1162631238"</f>
        <v>FES1162631238</v>
      </c>
      <c r="D2091" s="10" t="s">
        <v>19</v>
      </c>
      <c r="E2091" s="10" t="s">
        <v>307</v>
      </c>
      <c r="F2091" s="10" t="str">
        <f>"2170633028 "</f>
        <v xml:space="preserve">2170633028 </v>
      </c>
      <c r="G2091" s="10" t="str">
        <f t="shared" si="59"/>
        <v>ON1</v>
      </c>
      <c r="H2091" s="10" t="s">
        <v>21</v>
      </c>
      <c r="I2091" s="10" t="s">
        <v>305</v>
      </c>
      <c r="J2091" s="10" t="str">
        <f>""</f>
        <v/>
      </c>
      <c r="K2091" s="10" t="str">
        <f>"PFES1162631238_0001"</f>
        <v>PFES1162631238_0001</v>
      </c>
      <c r="L2091" s="10">
        <v>1</v>
      </c>
      <c r="M2091" s="10">
        <v>1</v>
      </c>
    </row>
    <row r="2092" spans="1:13">
      <c r="A2092" s="8">
        <v>43276</v>
      </c>
      <c r="B2092" s="9">
        <v>0.42986111111111108</v>
      </c>
      <c r="C2092" s="10" t="str">
        <f>"FES1162631277"</f>
        <v>FES1162631277</v>
      </c>
      <c r="D2092" s="10" t="s">
        <v>19</v>
      </c>
      <c r="E2092" s="10" t="s">
        <v>958</v>
      </c>
      <c r="F2092" s="10" t="str">
        <f>"2170638151 "</f>
        <v xml:space="preserve">2170638151 </v>
      </c>
      <c r="G2092" s="10" t="str">
        <f t="shared" si="59"/>
        <v>ON1</v>
      </c>
      <c r="H2092" s="10" t="s">
        <v>21</v>
      </c>
      <c r="I2092" s="10" t="s">
        <v>702</v>
      </c>
      <c r="J2092" s="10" t="str">
        <f>""</f>
        <v/>
      </c>
      <c r="K2092" s="10" t="str">
        <f>"PFES1162631277_0001"</f>
        <v>PFES1162631277_0001</v>
      </c>
      <c r="L2092" s="10">
        <v>1</v>
      </c>
      <c r="M2092" s="10">
        <v>1</v>
      </c>
    </row>
    <row r="2093" spans="1:13">
      <c r="A2093" s="8">
        <v>43276</v>
      </c>
      <c r="B2093" s="9">
        <v>0.4291666666666667</v>
      </c>
      <c r="C2093" s="10" t="str">
        <f>"FES1162631320"</f>
        <v>FES1162631320</v>
      </c>
      <c r="D2093" s="10" t="s">
        <v>19</v>
      </c>
      <c r="E2093" s="10" t="s">
        <v>959</v>
      </c>
      <c r="F2093" s="10" t="str">
        <f>"2170638220 "</f>
        <v xml:space="preserve">2170638220 </v>
      </c>
      <c r="G2093" s="10" t="str">
        <f t="shared" si="59"/>
        <v>ON1</v>
      </c>
      <c r="H2093" s="10" t="s">
        <v>21</v>
      </c>
      <c r="I2093" s="10" t="s">
        <v>960</v>
      </c>
      <c r="J2093" s="10" t="str">
        <f>""</f>
        <v/>
      </c>
      <c r="K2093" s="10" t="str">
        <f>"PFES1162631320_0001"</f>
        <v>PFES1162631320_0001</v>
      </c>
      <c r="L2093" s="10">
        <v>1</v>
      </c>
      <c r="M2093" s="10">
        <v>1</v>
      </c>
    </row>
    <row r="2094" spans="1:13">
      <c r="A2094" s="8">
        <v>43276</v>
      </c>
      <c r="B2094" s="9">
        <v>0.4291666666666667</v>
      </c>
      <c r="C2094" s="10" t="str">
        <f>"FES1162631239"</f>
        <v>FES1162631239</v>
      </c>
      <c r="D2094" s="10" t="s">
        <v>19</v>
      </c>
      <c r="E2094" s="10" t="s">
        <v>261</v>
      </c>
      <c r="F2094" s="10" t="str">
        <f>"2170633195 "</f>
        <v xml:space="preserve">2170633195 </v>
      </c>
      <c r="G2094" s="10" t="str">
        <f t="shared" si="59"/>
        <v>ON1</v>
      </c>
      <c r="H2094" s="10" t="s">
        <v>21</v>
      </c>
      <c r="I2094" s="10" t="s">
        <v>423</v>
      </c>
      <c r="J2094" s="10" t="str">
        <f>""</f>
        <v/>
      </c>
      <c r="K2094" s="10" t="str">
        <f>"PFES1162631239_0001"</f>
        <v>PFES1162631239_0001</v>
      </c>
      <c r="L2094" s="10">
        <v>1</v>
      </c>
      <c r="M2094" s="10">
        <v>1</v>
      </c>
    </row>
    <row r="2095" spans="1:13">
      <c r="A2095" s="8">
        <v>43276</v>
      </c>
      <c r="B2095" s="9">
        <v>0.4291666666666667</v>
      </c>
      <c r="C2095" s="10" t="str">
        <f>"FES1162631278"</f>
        <v>FES1162631278</v>
      </c>
      <c r="D2095" s="10" t="s">
        <v>19</v>
      </c>
      <c r="E2095" s="10" t="s">
        <v>145</v>
      </c>
      <c r="F2095" s="10" t="str">
        <f>"2170638152 "</f>
        <v xml:space="preserve">2170638152 </v>
      </c>
      <c r="G2095" s="10" t="str">
        <f t="shared" si="59"/>
        <v>ON1</v>
      </c>
      <c r="H2095" s="10" t="s">
        <v>21</v>
      </c>
      <c r="I2095" s="10" t="s">
        <v>146</v>
      </c>
      <c r="J2095" s="10" t="str">
        <f>""</f>
        <v/>
      </c>
      <c r="K2095" s="10" t="str">
        <f>"PFES1162631278_0001"</f>
        <v>PFES1162631278_0001</v>
      </c>
      <c r="L2095" s="10">
        <v>1</v>
      </c>
      <c r="M2095" s="10">
        <v>3</v>
      </c>
    </row>
    <row r="2096" spans="1:13">
      <c r="A2096" s="8">
        <v>43276</v>
      </c>
      <c r="B2096" s="9">
        <v>0.4291666666666667</v>
      </c>
      <c r="C2096" s="10" t="str">
        <f>"FES1162631308"</f>
        <v>FES1162631308</v>
      </c>
      <c r="D2096" s="10" t="s">
        <v>19</v>
      </c>
      <c r="E2096" s="10" t="s">
        <v>961</v>
      </c>
      <c r="F2096" s="10" t="str">
        <f>"217063212 "</f>
        <v xml:space="preserve">217063212 </v>
      </c>
      <c r="G2096" s="10" t="str">
        <f t="shared" si="59"/>
        <v>ON1</v>
      </c>
      <c r="H2096" s="10" t="s">
        <v>21</v>
      </c>
      <c r="I2096" s="10" t="s">
        <v>156</v>
      </c>
      <c r="J2096" s="10" t="str">
        <f>""</f>
        <v/>
      </c>
      <c r="K2096" s="10" t="str">
        <f>"PFES1162631308_0001"</f>
        <v>PFES1162631308_0001</v>
      </c>
      <c r="L2096" s="10">
        <v>1</v>
      </c>
      <c r="M2096" s="10">
        <v>1</v>
      </c>
    </row>
    <row r="2097" spans="1:13">
      <c r="A2097" s="8">
        <v>43276</v>
      </c>
      <c r="B2097" s="9">
        <v>0.42777777777777781</v>
      </c>
      <c r="C2097" s="10" t="str">
        <f>"FES1162631250"</f>
        <v>FES1162631250</v>
      </c>
      <c r="D2097" s="10" t="s">
        <v>19</v>
      </c>
      <c r="E2097" s="10" t="s">
        <v>117</v>
      </c>
      <c r="F2097" s="10" t="str">
        <f>"2170636607 "</f>
        <v xml:space="preserve">2170636607 </v>
      </c>
      <c r="G2097" s="10" t="str">
        <f t="shared" si="59"/>
        <v>ON1</v>
      </c>
      <c r="H2097" s="10" t="s">
        <v>21</v>
      </c>
      <c r="I2097" s="10" t="s">
        <v>118</v>
      </c>
      <c r="J2097" s="10" t="str">
        <f>""</f>
        <v/>
      </c>
      <c r="K2097" s="10" t="str">
        <f>"PFES1162631250_0001"</f>
        <v>PFES1162631250_0001</v>
      </c>
      <c r="L2097" s="10">
        <v>1</v>
      </c>
      <c r="M2097" s="10">
        <v>1</v>
      </c>
    </row>
    <row r="2098" spans="1:13">
      <c r="A2098" s="8">
        <v>43276</v>
      </c>
      <c r="B2098" s="9">
        <v>0.42777777777777781</v>
      </c>
      <c r="C2098" s="10" t="str">
        <f>"FES1162631262"</f>
        <v>FES1162631262</v>
      </c>
      <c r="D2098" s="10" t="s">
        <v>19</v>
      </c>
      <c r="E2098" s="10" t="s">
        <v>302</v>
      </c>
      <c r="F2098" s="10" t="str">
        <f>"2170637777 "</f>
        <v xml:space="preserve">2170637777 </v>
      </c>
      <c r="G2098" s="10" t="str">
        <f t="shared" si="59"/>
        <v>ON1</v>
      </c>
      <c r="H2098" s="10" t="s">
        <v>21</v>
      </c>
      <c r="I2098" s="10" t="s">
        <v>303</v>
      </c>
      <c r="J2098" s="10" t="str">
        <f>""</f>
        <v/>
      </c>
      <c r="K2098" s="10" t="str">
        <f>"PFES1162631262_0001"</f>
        <v>PFES1162631262_0001</v>
      </c>
      <c r="L2098" s="10">
        <v>1</v>
      </c>
      <c r="M2098" s="10">
        <v>2</v>
      </c>
    </row>
    <row r="2099" spans="1:13">
      <c r="A2099" s="8">
        <v>43276</v>
      </c>
      <c r="B2099" s="9">
        <v>0.42777777777777781</v>
      </c>
      <c r="C2099" s="10" t="str">
        <f>"FES1162631305"</f>
        <v>FES1162631305</v>
      </c>
      <c r="D2099" s="10" t="s">
        <v>19</v>
      </c>
      <c r="E2099" s="10" t="s">
        <v>67</v>
      </c>
      <c r="F2099" s="10" t="str">
        <f>"2170638207 "</f>
        <v xml:space="preserve">2170638207 </v>
      </c>
      <c r="G2099" s="10" t="str">
        <f t="shared" si="59"/>
        <v>ON1</v>
      </c>
      <c r="H2099" s="10" t="s">
        <v>21</v>
      </c>
      <c r="I2099" s="10" t="s">
        <v>46</v>
      </c>
      <c r="J2099" s="10" t="str">
        <f>""</f>
        <v/>
      </c>
      <c r="K2099" s="10" t="str">
        <f>"PFES1162631305_0001"</f>
        <v>PFES1162631305_0001</v>
      </c>
      <c r="L2099" s="10">
        <v>1</v>
      </c>
      <c r="M2099" s="10">
        <v>1</v>
      </c>
    </row>
    <row r="2100" spans="1:13">
      <c r="A2100" s="8">
        <v>43276</v>
      </c>
      <c r="B2100" s="9">
        <v>0.42708333333333331</v>
      </c>
      <c r="C2100" s="10" t="str">
        <f>"FES1162631258"</f>
        <v>FES1162631258</v>
      </c>
      <c r="D2100" s="10" t="s">
        <v>19</v>
      </c>
      <c r="E2100" s="10" t="s">
        <v>107</v>
      </c>
      <c r="F2100" s="10" t="str">
        <f>"2170637554 "</f>
        <v xml:space="preserve">2170637554 </v>
      </c>
      <c r="G2100" s="10" t="str">
        <f t="shared" si="59"/>
        <v>ON1</v>
      </c>
      <c r="H2100" s="10" t="s">
        <v>21</v>
      </c>
      <c r="I2100" s="10" t="s">
        <v>108</v>
      </c>
      <c r="J2100" s="10" t="str">
        <f>""</f>
        <v/>
      </c>
      <c r="K2100" s="10" t="str">
        <f>"PFES1162631258_0001"</f>
        <v>PFES1162631258_0001</v>
      </c>
      <c r="L2100" s="10">
        <v>1</v>
      </c>
      <c r="M2100" s="10">
        <v>1</v>
      </c>
    </row>
    <row r="2101" spans="1:13">
      <c r="A2101" s="8">
        <v>43276</v>
      </c>
      <c r="B2101" s="9">
        <v>0.42708333333333331</v>
      </c>
      <c r="C2101" s="10" t="str">
        <f>"FES1162631275"</f>
        <v>FES1162631275</v>
      </c>
      <c r="D2101" s="10" t="s">
        <v>19</v>
      </c>
      <c r="E2101" s="10" t="s">
        <v>962</v>
      </c>
      <c r="F2101" s="10" t="str">
        <f>"21706+38148 "</f>
        <v xml:space="preserve">21706+38148 </v>
      </c>
      <c r="G2101" s="10" t="str">
        <f t="shared" si="59"/>
        <v>ON1</v>
      </c>
      <c r="H2101" s="10" t="s">
        <v>21</v>
      </c>
      <c r="I2101" s="10" t="s">
        <v>265</v>
      </c>
      <c r="J2101" s="10" t="str">
        <f>""</f>
        <v/>
      </c>
      <c r="K2101" s="10" t="str">
        <f>"PFES1162631275_0001"</f>
        <v>PFES1162631275_0001</v>
      </c>
      <c r="L2101" s="10">
        <v>1</v>
      </c>
      <c r="M2101" s="10">
        <v>1</v>
      </c>
    </row>
    <row r="2102" spans="1:13">
      <c r="A2102" s="8">
        <v>43276</v>
      </c>
      <c r="B2102" s="9">
        <v>0.42638888888888887</v>
      </c>
      <c r="C2102" s="10" t="str">
        <f>"FES1162631302"</f>
        <v>FES1162631302</v>
      </c>
      <c r="D2102" s="10" t="s">
        <v>19</v>
      </c>
      <c r="E2102" s="10" t="s">
        <v>31</v>
      </c>
      <c r="F2102" s="10" t="str">
        <f>"2170638199 "</f>
        <v xml:space="preserve">2170638199 </v>
      </c>
      <c r="G2102" s="10" t="str">
        <f t="shared" si="59"/>
        <v>ON1</v>
      </c>
      <c r="H2102" s="10" t="s">
        <v>21</v>
      </c>
      <c r="I2102" s="10" t="s">
        <v>32</v>
      </c>
      <c r="J2102" s="10" t="str">
        <f>""</f>
        <v/>
      </c>
      <c r="K2102" s="10" t="str">
        <f>"PFES1162631302_0001"</f>
        <v>PFES1162631302_0001</v>
      </c>
      <c r="L2102" s="10">
        <v>1</v>
      </c>
      <c r="M2102" s="10">
        <v>3</v>
      </c>
    </row>
    <row r="2103" spans="1:13">
      <c r="A2103" s="8">
        <v>43276</v>
      </c>
      <c r="B2103" s="9">
        <v>0.42569444444444443</v>
      </c>
      <c r="C2103" s="10" t="str">
        <f>"FES1162631268"</f>
        <v>FES1162631268</v>
      </c>
      <c r="D2103" s="10" t="s">
        <v>19</v>
      </c>
      <c r="E2103" s="10" t="s">
        <v>117</v>
      </c>
      <c r="F2103" s="10" t="str">
        <f>"2170637980 "</f>
        <v xml:space="preserve">2170637980 </v>
      </c>
      <c r="G2103" s="10" t="str">
        <f t="shared" si="59"/>
        <v>ON1</v>
      </c>
      <c r="H2103" s="10" t="s">
        <v>21</v>
      </c>
      <c r="I2103" s="10" t="s">
        <v>118</v>
      </c>
      <c r="J2103" s="10" t="str">
        <f>""</f>
        <v/>
      </c>
      <c r="K2103" s="10" t="str">
        <f>"PFES1162631268_0001"</f>
        <v>PFES1162631268_0001</v>
      </c>
      <c r="L2103" s="10">
        <v>1</v>
      </c>
      <c r="M2103" s="10">
        <v>1</v>
      </c>
    </row>
    <row r="2104" spans="1:13">
      <c r="A2104" s="8">
        <v>43276</v>
      </c>
      <c r="B2104" s="9">
        <v>0.42569444444444443</v>
      </c>
      <c r="C2104" s="10" t="str">
        <f>"FES1162631323"</f>
        <v>FES1162631323</v>
      </c>
      <c r="D2104" s="10" t="s">
        <v>19</v>
      </c>
      <c r="E2104" s="10" t="s">
        <v>67</v>
      </c>
      <c r="F2104" s="10" t="str">
        <f>"2170638224 "</f>
        <v xml:space="preserve">2170638224 </v>
      </c>
      <c r="G2104" s="10" t="str">
        <f t="shared" si="59"/>
        <v>ON1</v>
      </c>
      <c r="H2104" s="10" t="s">
        <v>21</v>
      </c>
      <c r="I2104" s="10" t="s">
        <v>46</v>
      </c>
      <c r="J2104" s="10" t="str">
        <f>""</f>
        <v/>
      </c>
      <c r="K2104" s="10" t="str">
        <f>"PFES1162631323_0001"</f>
        <v>PFES1162631323_0001</v>
      </c>
      <c r="L2104" s="10">
        <v>1</v>
      </c>
      <c r="M2104" s="10">
        <v>1</v>
      </c>
    </row>
    <row r="2105" spans="1:13">
      <c r="A2105" s="8">
        <v>43276</v>
      </c>
      <c r="B2105" s="9">
        <v>0.42430555555555555</v>
      </c>
      <c r="C2105" s="10" t="str">
        <f>"FES1162631257"</f>
        <v>FES1162631257</v>
      </c>
      <c r="D2105" s="10" t="s">
        <v>19</v>
      </c>
      <c r="E2105" s="10" t="s">
        <v>67</v>
      </c>
      <c r="F2105" s="10" t="str">
        <f>"2170637549 "</f>
        <v xml:space="preserve">2170637549 </v>
      </c>
      <c r="G2105" s="10" t="str">
        <f t="shared" si="59"/>
        <v>ON1</v>
      </c>
      <c r="H2105" s="10" t="s">
        <v>21</v>
      </c>
      <c r="I2105" s="10" t="s">
        <v>32</v>
      </c>
      <c r="J2105" s="10" t="str">
        <f>""</f>
        <v/>
      </c>
      <c r="K2105" s="10" t="str">
        <f>"PFES1162631257_0001"</f>
        <v>PFES1162631257_0001</v>
      </c>
      <c r="L2105" s="10">
        <v>1</v>
      </c>
      <c r="M2105" s="10">
        <v>8</v>
      </c>
    </row>
    <row r="2106" spans="1:13">
      <c r="A2106" s="8">
        <v>43276</v>
      </c>
      <c r="B2106" s="9">
        <v>0.42291666666666666</v>
      </c>
      <c r="C2106" s="10" t="str">
        <f>"FES1162631243"</f>
        <v>FES1162631243</v>
      </c>
      <c r="D2106" s="10" t="s">
        <v>19</v>
      </c>
      <c r="E2106" s="10" t="s">
        <v>388</v>
      </c>
      <c r="F2106" s="10" t="str">
        <f>"2170635092 "</f>
        <v xml:space="preserve">2170635092 </v>
      </c>
      <c r="G2106" s="10" t="str">
        <f>"DBC"</f>
        <v>DBC</v>
      </c>
      <c r="H2106" s="10" t="s">
        <v>21</v>
      </c>
      <c r="I2106" s="10" t="s">
        <v>389</v>
      </c>
      <c r="J2106" s="10" t="str">
        <f>""</f>
        <v/>
      </c>
      <c r="K2106" s="10" t="str">
        <f>"PFES1162631243_0001"</f>
        <v>PFES1162631243_0001</v>
      </c>
      <c r="L2106" s="10">
        <v>1</v>
      </c>
      <c r="M2106" s="10">
        <v>20</v>
      </c>
    </row>
    <row r="2107" spans="1:13">
      <c r="A2107" s="8">
        <v>43276</v>
      </c>
      <c r="B2107" s="9">
        <v>0.42222222222222222</v>
      </c>
      <c r="C2107" s="10" t="str">
        <f>"FES1162631309"</f>
        <v>FES1162631309</v>
      </c>
      <c r="D2107" s="10" t="s">
        <v>19</v>
      </c>
      <c r="E2107" s="10" t="s">
        <v>365</v>
      </c>
      <c r="F2107" s="10" t="str">
        <f>"2170638213 "</f>
        <v xml:space="preserve">2170638213 </v>
      </c>
      <c r="G2107" s="10" t="str">
        <f>"ON1"</f>
        <v>ON1</v>
      </c>
      <c r="H2107" s="10" t="s">
        <v>21</v>
      </c>
      <c r="I2107" s="10" t="s">
        <v>57</v>
      </c>
      <c r="J2107" s="10" t="str">
        <f>""</f>
        <v/>
      </c>
      <c r="K2107" s="10" t="str">
        <f>"PFES1162631309_0001"</f>
        <v>PFES1162631309_0001</v>
      </c>
      <c r="L2107" s="10">
        <v>1</v>
      </c>
      <c r="M2107" s="10">
        <v>10</v>
      </c>
    </row>
    <row r="2108" spans="1:13">
      <c r="A2108" s="8">
        <v>43277</v>
      </c>
      <c r="B2108" s="9">
        <v>0.69444444444444453</v>
      </c>
      <c r="C2108" s="10" t="str">
        <f>"FES1162631850"</f>
        <v>FES1162631850</v>
      </c>
      <c r="D2108" s="10" t="s">
        <v>19</v>
      </c>
      <c r="E2108" s="10" t="s">
        <v>963</v>
      </c>
      <c r="F2108" s="10" t="str">
        <f>"2170638668 "</f>
        <v xml:space="preserve">2170638668 </v>
      </c>
      <c r="G2108" s="10" t="str">
        <f t="shared" ref="G2108:G2171" si="60">"ON1"</f>
        <v>ON1</v>
      </c>
      <c r="H2108" s="10" t="s">
        <v>21</v>
      </c>
      <c r="I2108" s="10" t="s">
        <v>382</v>
      </c>
      <c r="J2108" s="10" t="str">
        <f>""</f>
        <v/>
      </c>
      <c r="K2108" s="10" t="str">
        <f>"PFES1162631850_0001"</f>
        <v>PFES1162631850_0001</v>
      </c>
      <c r="L2108" s="10">
        <v>1</v>
      </c>
      <c r="M2108" s="10">
        <v>1</v>
      </c>
    </row>
    <row r="2109" spans="1:13">
      <c r="A2109" s="8">
        <v>43277</v>
      </c>
      <c r="B2109" s="9">
        <v>0.69374999999999998</v>
      </c>
      <c r="C2109" s="10" t="str">
        <f>"FES1162631753"</f>
        <v>FES1162631753</v>
      </c>
      <c r="D2109" s="10" t="s">
        <v>19</v>
      </c>
      <c r="E2109" s="10" t="s">
        <v>335</v>
      </c>
      <c r="F2109" s="10" t="str">
        <f>"2170638584 "</f>
        <v xml:space="preserve">2170638584 </v>
      </c>
      <c r="G2109" s="10" t="str">
        <f t="shared" si="60"/>
        <v>ON1</v>
      </c>
      <c r="H2109" s="10" t="s">
        <v>21</v>
      </c>
      <c r="I2109" s="10" t="s">
        <v>336</v>
      </c>
      <c r="J2109" s="10" t="str">
        <f>""</f>
        <v/>
      </c>
      <c r="K2109" s="10" t="str">
        <f>"PFES1162631753_0001"</f>
        <v>PFES1162631753_0001</v>
      </c>
      <c r="L2109" s="10">
        <v>1</v>
      </c>
      <c r="M2109" s="10">
        <v>1</v>
      </c>
    </row>
    <row r="2110" spans="1:13">
      <c r="A2110" s="8">
        <v>43277</v>
      </c>
      <c r="B2110" s="9">
        <v>0.69374999999999998</v>
      </c>
      <c r="C2110" s="10" t="str">
        <f>"FES1162631798"</f>
        <v>FES1162631798</v>
      </c>
      <c r="D2110" s="10" t="s">
        <v>19</v>
      </c>
      <c r="E2110" s="10" t="s">
        <v>964</v>
      </c>
      <c r="F2110" s="10" t="str">
        <f>"2170637979 "</f>
        <v xml:space="preserve">2170637979 </v>
      </c>
      <c r="G2110" s="10" t="str">
        <f t="shared" si="60"/>
        <v>ON1</v>
      </c>
      <c r="H2110" s="10" t="s">
        <v>21</v>
      </c>
      <c r="I2110" s="10" t="s">
        <v>887</v>
      </c>
      <c r="J2110" s="10" t="str">
        <f>""</f>
        <v/>
      </c>
      <c r="K2110" s="10" t="str">
        <f>"PFES1162631798_0001"</f>
        <v>PFES1162631798_0001</v>
      </c>
      <c r="L2110" s="10">
        <v>1</v>
      </c>
      <c r="M2110" s="10">
        <v>1</v>
      </c>
    </row>
    <row r="2111" spans="1:13">
      <c r="A2111" s="8">
        <v>43277</v>
      </c>
      <c r="B2111" s="9">
        <v>0.69374999999999998</v>
      </c>
      <c r="C2111" s="10" t="str">
        <f>"FES1162631857"</f>
        <v>FES1162631857</v>
      </c>
      <c r="D2111" s="10" t="s">
        <v>19</v>
      </c>
      <c r="E2111" s="10" t="s">
        <v>965</v>
      </c>
      <c r="F2111" s="10" t="str">
        <f>"217063677 "</f>
        <v xml:space="preserve">217063677 </v>
      </c>
      <c r="G2111" s="10" t="str">
        <f t="shared" si="60"/>
        <v>ON1</v>
      </c>
      <c r="H2111" s="10" t="s">
        <v>21</v>
      </c>
      <c r="I2111" s="10" t="s">
        <v>930</v>
      </c>
      <c r="J2111" s="10" t="str">
        <f>""</f>
        <v/>
      </c>
      <c r="K2111" s="10" t="str">
        <f>"PFES1162631857_0001"</f>
        <v>PFES1162631857_0001</v>
      </c>
      <c r="L2111" s="10">
        <v>1</v>
      </c>
      <c r="M2111" s="10">
        <v>1</v>
      </c>
    </row>
    <row r="2112" spans="1:13">
      <c r="A2112" s="8">
        <v>43277</v>
      </c>
      <c r="B2112" s="9">
        <v>0.69305555555555554</v>
      </c>
      <c r="C2112" s="10" t="str">
        <f>"FES1162631819"</f>
        <v>FES1162631819</v>
      </c>
      <c r="D2112" s="10" t="s">
        <v>19</v>
      </c>
      <c r="E2112" s="10" t="s">
        <v>963</v>
      </c>
      <c r="F2112" s="10" t="str">
        <f>"2170638623 "</f>
        <v xml:space="preserve">2170638623 </v>
      </c>
      <c r="G2112" s="10" t="str">
        <f t="shared" si="60"/>
        <v>ON1</v>
      </c>
      <c r="H2112" s="10" t="s">
        <v>21</v>
      </c>
      <c r="I2112" s="10" t="s">
        <v>382</v>
      </c>
      <c r="J2112" s="10" t="str">
        <f>""</f>
        <v/>
      </c>
      <c r="K2112" s="10" t="str">
        <f>"PFES1162631819_0001"</f>
        <v>PFES1162631819_0001</v>
      </c>
      <c r="L2112" s="10">
        <v>1</v>
      </c>
      <c r="M2112" s="10">
        <v>1</v>
      </c>
    </row>
    <row r="2113" spans="1:13">
      <c r="A2113" s="8">
        <v>43277</v>
      </c>
      <c r="B2113" s="9">
        <v>0.69305555555555554</v>
      </c>
      <c r="C2113" s="10" t="str">
        <f>"FES1162631826"</f>
        <v>FES1162631826</v>
      </c>
      <c r="D2113" s="10" t="s">
        <v>19</v>
      </c>
      <c r="E2113" s="10" t="s">
        <v>239</v>
      </c>
      <c r="F2113" s="10" t="str">
        <f>"2170638633 "</f>
        <v xml:space="preserve">2170638633 </v>
      </c>
      <c r="G2113" s="10" t="str">
        <f t="shared" si="60"/>
        <v>ON1</v>
      </c>
      <c r="H2113" s="10" t="s">
        <v>21</v>
      </c>
      <c r="I2113" s="10" t="s">
        <v>240</v>
      </c>
      <c r="J2113" s="10" t="str">
        <f>""</f>
        <v/>
      </c>
      <c r="K2113" s="10" t="str">
        <f>"PFES1162631826_0001"</f>
        <v>PFES1162631826_0001</v>
      </c>
      <c r="L2113" s="10">
        <v>1</v>
      </c>
      <c r="M2113" s="10">
        <v>1</v>
      </c>
    </row>
    <row r="2114" spans="1:13">
      <c r="A2114" s="8">
        <v>43277</v>
      </c>
      <c r="B2114" s="9">
        <v>0.69236111111111109</v>
      </c>
      <c r="C2114" s="10" t="str">
        <f>"FES1162631811"</f>
        <v>FES1162631811</v>
      </c>
      <c r="D2114" s="10" t="s">
        <v>19</v>
      </c>
      <c r="E2114" s="10" t="s">
        <v>64</v>
      </c>
      <c r="F2114" s="10" t="str">
        <f>"2170638615 "</f>
        <v xml:space="preserve">2170638615 </v>
      </c>
      <c r="G2114" s="10" t="str">
        <f t="shared" si="60"/>
        <v>ON1</v>
      </c>
      <c r="H2114" s="10" t="s">
        <v>21</v>
      </c>
      <c r="I2114" s="10" t="s">
        <v>40</v>
      </c>
      <c r="J2114" s="10" t="str">
        <f>""</f>
        <v/>
      </c>
      <c r="K2114" s="10" t="str">
        <f>"PFES1162631811_0001"</f>
        <v>PFES1162631811_0001</v>
      </c>
      <c r="L2114" s="10">
        <v>1</v>
      </c>
      <c r="M2114" s="10">
        <v>1</v>
      </c>
    </row>
    <row r="2115" spans="1:13">
      <c r="A2115" s="8">
        <v>43277</v>
      </c>
      <c r="B2115" s="9">
        <v>0.69236111111111109</v>
      </c>
      <c r="C2115" s="10" t="str">
        <f>"FES1162631787"</f>
        <v>FES1162631787</v>
      </c>
      <c r="D2115" s="10" t="s">
        <v>19</v>
      </c>
      <c r="E2115" s="10" t="s">
        <v>563</v>
      </c>
      <c r="F2115" s="10" t="str">
        <f>"2170638585 "</f>
        <v xml:space="preserve">2170638585 </v>
      </c>
      <c r="G2115" s="10" t="str">
        <f t="shared" si="60"/>
        <v>ON1</v>
      </c>
      <c r="H2115" s="10" t="s">
        <v>21</v>
      </c>
      <c r="I2115" s="10" t="s">
        <v>564</v>
      </c>
      <c r="J2115" s="10" t="str">
        <f>""</f>
        <v/>
      </c>
      <c r="K2115" s="10" t="str">
        <f>"PFES1162631787_0001"</f>
        <v>PFES1162631787_0001</v>
      </c>
      <c r="L2115" s="10">
        <v>1</v>
      </c>
      <c r="M2115" s="10">
        <v>1</v>
      </c>
    </row>
    <row r="2116" spans="1:13">
      <c r="A2116" s="8">
        <v>43277</v>
      </c>
      <c r="B2116" s="9">
        <v>0.69236111111111109</v>
      </c>
      <c r="C2116" s="10" t="str">
        <f>"FES1162631815"</f>
        <v>FES1162631815</v>
      </c>
      <c r="D2116" s="10" t="s">
        <v>19</v>
      </c>
      <c r="E2116" s="10" t="s">
        <v>132</v>
      </c>
      <c r="F2116" s="10" t="str">
        <f>"2170637596 "</f>
        <v xml:space="preserve">2170637596 </v>
      </c>
      <c r="G2116" s="10" t="str">
        <f t="shared" si="60"/>
        <v>ON1</v>
      </c>
      <c r="H2116" s="10" t="s">
        <v>21</v>
      </c>
      <c r="I2116" s="10" t="s">
        <v>69</v>
      </c>
      <c r="J2116" s="10" t="str">
        <f>""</f>
        <v/>
      </c>
      <c r="K2116" s="10" t="str">
        <f>"PFES1162631815_0001"</f>
        <v>PFES1162631815_0001</v>
      </c>
      <c r="L2116" s="10">
        <v>1</v>
      </c>
      <c r="M2116" s="10">
        <v>1</v>
      </c>
    </row>
    <row r="2117" spans="1:13">
      <c r="A2117" s="8">
        <v>43277</v>
      </c>
      <c r="B2117" s="9">
        <v>0.69236111111111109</v>
      </c>
      <c r="C2117" s="10" t="str">
        <f>"FES1162631824"</f>
        <v>FES1162631824</v>
      </c>
      <c r="D2117" s="10" t="s">
        <v>19</v>
      </c>
      <c r="E2117" s="10" t="s">
        <v>966</v>
      </c>
      <c r="F2117" s="10" t="str">
        <f>"2170638630 "</f>
        <v xml:space="preserve">2170638630 </v>
      </c>
      <c r="G2117" s="10" t="str">
        <f t="shared" si="60"/>
        <v>ON1</v>
      </c>
      <c r="H2117" s="10" t="s">
        <v>21</v>
      </c>
      <c r="I2117" s="10" t="s">
        <v>967</v>
      </c>
      <c r="J2117" s="10" t="str">
        <f>""</f>
        <v/>
      </c>
      <c r="K2117" s="10" t="str">
        <f>"PFES1162631824_0001"</f>
        <v>PFES1162631824_0001</v>
      </c>
      <c r="L2117" s="10">
        <v>1</v>
      </c>
      <c r="M2117" s="10">
        <v>5</v>
      </c>
    </row>
    <row r="2118" spans="1:13">
      <c r="A2118" s="8">
        <v>43277</v>
      </c>
      <c r="B2118" s="9">
        <v>0.69166666666666676</v>
      </c>
      <c r="C2118" s="10" t="str">
        <f>"FES1162631860"</f>
        <v>FES1162631860</v>
      </c>
      <c r="D2118" s="10" t="s">
        <v>19</v>
      </c>
      <c r="E2118" s="10" t="s">
        <v>625</v>
      </c>
      <c r="F2118" s="10" t="str">
        <f>"2170638680 "</f>
        <v xml:space="preserve">2170638680 </v>
      </c>
      <c r="G2118" s="10" t="str">
        <f t="shared" si="60"/>
        <v>ON1</v>
      </c>
      <c r="H2118" s="10" t="s">
        <v>21</v>
      </c>
      <c r="I2118" s="10" t="s">
        <v>36</v>
      </c>
      <c r="J2118" s="10" t="str">
        <f>""</f>
        <v/>
      </c>
      <c r="K2118" s="10" t="str">
        <f>"PFES1162631860_0001"</f>
        <v>PFES1162631860_0001</v>
      </c>
      <c r="L2118" s="10">
        <v>1</v>
      </c>
      <c r="M2118" s="10">
        <v>1</v>
      </c>
    </row>
    <row r="2119" spans="1:13">
      <c r="A2119" s="8">
        <v>43277</v>
      </c>
      <c r="B2119" s="9">
        <v>0.69166666666666676</v>
      </c>
      <c r="C2119" s="10" t="str">
        <f>"FES1162631851"</f>
        <v>FES1162631851</v>
      </c>
      <c r="D2119" s="10" t="s">
        <v>19</v>
      </c>
      <c r="E2119" s="10" t="s">
        <v>625</v>
      </c>
      <c r="F2119" s="10" t="str">
        <f>"2170638669 "</f>
        <v xml:space="preserve">2170638669 </v>
      </c>
      <c r="G2119" s="10" t="str">
        <f t="shared" si="60"/>
        <v>ON1</v>
      </c>
      <c r="H2119" s="10" t="s">
        <v>21</v>
      </c>
      <c r="I2119" s="10" t="s">
        <v>36</v>
      </c>
      <c r="J2119" s="10" t="str">
        <f>""</f>
        <v/>
      </c>
      <c r="K2119" s="10" t="str">
        <f>"PFES1162631851_0001"</f>
        <v>PFES1162631851_0001</v>
      </c>
      <c r="L2119" s="10">
        <v>1</v>
      </c>
      <c r="M2119" s="10">
        <v>2</v>
      </c>
    </row>
    <row r="2120" spans="1:13">
      <c r="A2120" s="8">
        <v>43277</v>
      </c>
      <c r="B2120" s="9">
        <v>0.69097222222222221</v>
      </c>
      <c r="C2120" s="10" t="str">
        <f>"FES1162631781"</f>
        <v>FES1162631781</v>
      </c>
      <c r="D2120" s="10" t="s">
        <v>19</v>
      </c>
      <c r="E2120" s="10" t="s">
        <v>958</v>
      </c>
      <c r="F2120" s="10" t="str">
        <f>"2170637344 "</f>
        <v xml:space="preserve">2170637344 </v>
      </c>
      <c r="G2120" s="10" t="str">
        <f t="shared" si="60"/>
        <v>ON1</v>
      </c>
      <c r="H2120" s="10" t="s">
        <v>21</v>
      </c>
      <c r="I2120" s="10" t="s">
        <v>702</v>
      </c>
      <c r="J2120" s="10" t="str">
        <f>""</f>
        <v/>
      </c>
      <c r="K2120" s="10" t="str">
        <f>"PFES1162631781_0001"</f>
        <v>PFES1162631781_0001</v>
      </c>
      <c r="L2120" s="10">
        <v>1</v>
      </c>
      <c r="M2120" s="10">
        <v>1</v>
      </c>
    </row>
    <row r="2121" spans="1:13">
      <c r="A2121" s="8">
        <v>43277</v>
      </c>
      <c r="B2121" s="9">
        <v>0.69097222222222221</v>
      </c>
      <c r="C2121" s="10" t="str">
        <f>"FES1162631859"</f>
        <v>FES1162631859</v>
      </c>
      <c r="D2121" s="10" t="s">
        <v>19</v>
      </c>
      <c r="E2121" s="10" t="s">
        <v>753</v>
      </c>
      <c r="F2121" s="10" t="str">
        <f>"2170638679 "</f>
        <v xml:space="preserve">2170638679 </v>
      </c>
      <c r="G2121" s="10" t="str">
        <f t="shared" si="60"/>
        <v>ON1</v>
      </c>
      <c r="H2121" s="10" t="s">
        <v>21</v>
      </c>
      <c r="I2121" s="10" t="s">
        <v>754</v>
      </c>
      <c r="J2121" s="10" t="str">
        <f>""</f>
        <v/>
      </c>
      <c r="K2121" s="10" t="str">
        <f>"PFES1162631859_0001"</f>
        <v>PFES1162631859_0001</v>
      </c>
      <c r="L2121" s="10">
        <v>1</v>
      </c>
      <c r="M2121" s="10">
        <v>3</v>
      </c>
    </row>
    <row r="2122" spans="1:13">
      <c r="A2122" s="8">
        <v>43277</v>
      </c>
      <c r="B2122" s="9">
        <v>0.69027777777777777</v>
      </c>
      <c r="C2122" s="10" t="str">
        <f>"FES1162631790"</f>
        <v>FES1162631790</v>
      </c>
      <c r="D2122" s="10" t="s">
        <v>19</v>
      </c>
      <c r="E2122" s="10" t="s">
        <v>673</v>
      </c>
      <c r="F2122" s="10" t="str">
        <f>"2170638590 "</f>
        <v xml:space="preserve">2170638590 </v>
      </c>
      <c r="G2122" s="10" t="str">
        <f t="shared" si="60"/>
        <v>ON1</v>
      </c>
      <c r="H2122" s="10" t="s">
        <v>21</v>
      </c>
      <c r="I2122" s="10" t="s">
        <v>674</v>
      </c>
      <c r="J2122" s="10" t="str">
        <f>""</f>
        <v/>
      </c>
      <c r="K2122" s="10" t="str">
        <f>"PFES1162631790_0001"</f>
        <v>PFES1162631790_0001</v>
      </c>
      <c r="L2122" s="10">
        <v>1</v>
      </c>
      <c r="M2122" s="10">
        <v>1</v>
      </c>
    </row>
    <row r="2123" spans="1:13">
      <c r="A2123" s="8">
        <v>43277</v>
      </c>
      <c r="B2123" s="9">
        <v>0.69027777777777777</v>
      </c>
      <c r="C2123" s="10" t="str">
        <f>"FES1162631841"</f>
        <v>FES1162631841</v>
      </c>
      <c r="D2123" s="10" t="s">
        <v>19</v>
      </c>
      <c r="E2123" s="10" t="s">
        <v>968</v>
      </c>
      <c r="F2123" s="10" t="str">
        <f>"2170638652 "</f>
        <v xml:space="preserve">2170638652 </v>
      </c>
      <c r="G2123" s="10" t="str">
        <f t="shared" si="60"/>
        <v>ON1</v>
      </c>
      <c r="H2123" s="10" t="s">
        <v>21</v>
      </c>
      <c r="I2123" s="10" t="s">
        <v>46</v>
      </c>
      <c r="J2123" s="10" t="str">
        <f>""</f>
        <v/>
      </c>
      <c r="K2123" s="10" t="str">
        <f>"PFES1162631841_0001"</f>
        <v>PFES1162631841_0001</v>
      </c>
      <c r="L2123" s="10">
        <v>1</v>
      </c>
      <c r="M2123" s="10">
        <v>1</v>
      </c>
    </row>
    <row r="2124" spans="1:13">
      <c r="A2124" s="8">
        <v>43277</v>
      </c>
      <c r="B2124" s="9">
        <v>0.68402777777777779</v>
      </c>
      <c r="C2124" s="10" t="str">
        <f>"FES1162631806"</f>
        <v>FES1162631806</v>
      </c>
      <c r="D2124" s="10" t="s">
        <v>19</v>
      </c>
      <c r="E2124" s="10" t="s">
        <v>132</v>
      </c>
      <c r="F2124" s="10" t="str">
        <f>"2170638589 "</f>
        <v xml:space="preserve">2170638589 </v>
      </c>
      <c r="G2124" s="10" t="str">
        <f t="shared" si="60"/>
        <v>ON1</v>
      </c>
      <c r="H2124" s="10" t="s">
        <v>21</v>
      </c>
      <c r="I2124" s="10" t="s">
        <v>69</v>
      </c>
      <c r="J2124" s="10" t="str">
        <f>""</f>
        <v/>
      </c>
      <c r="K2124" s="10" t="str">
        <f>"PFES1162631806_0001"</f>
        <v>PFES1162631806_0001</v>
      </c>
      <c r="L2124" s="10">
        <v>1</v>
      </c>
      <c r="M2124" s="10">
        <v>1</v>
      </c>
    </row>
    <row r="2125" spans="1:13">
      <c r="A2125" s="8">
        <v>43277</v>
      </c>
      <c r="B2125" s="9">
        <v>0.68402777777777779</v>
      </c>
      <c r="C2125" s="10" t="str">
        <f>"FES1162631863"</f>
        <v>FES1162631863</v>
      </c>
      <c r="D2125" s="10" t="s">
        <v>19</v>
      </c>
      <c r="E2125" s="10" t="s">
        <v>429</v>
      </c>
      <c r="F2125" s="10" t="str">
        <f>"2170638686 "</f>
        <v xml:space="preserve">2170638686 </v>
      </c>
      <c r="G2125" s="10" t="str">
        <f t="shared" si="60"/>
        <v>ON1</v>
      </c>
      <c r="H2125" s="10" t="s">
        <v>21</v>
      </c>
      <c r="I2125" s="10" t="s">
        <v>83</v>
      </c>
      <c r="J2125" s="10" t="str">
        <f>""</f>
        <v/>
      </c>
      <c r="K2125" s="10" t="str">
        <f>"PFES1162631863_0001"</f>
        <v>PFES1162631863_0001</v>
      </c>
      <c r="L2125" s="10">
        <v>1</v>
      </c>
      <c r="M2125" s="10">
        <v>3</v>
      </c>
    </row>
    <row r="2126" spans="1:13">
      <c r="A2126" s="8">
        <v>43277</v>
      </c>
      <c r="B2126" s="9">
        <v>0.68402777777777779</v>
      </c>
      <c r="C2126" s="10" t="str">
        <f>"FES1162631861"</f>
        <v>FES1162631861</v>
      </c>
      <c r="D2126" s="10" t="s">
        <v>19</v>
      </c>
      <c r="E2126" s="10" t="s">
        <v>568</v>
      </c>
      <c r="F2126" s="10" t="str">
        <f>"2170638681 "</f>
        <v xml:space="preserve">2170638681 </v>
      </c>
      <c r="G2126" s="10" t="str">
        <f t="shared" si="60"/>
        <v>ON1</v>
      </c>
      <c r="H2126" s="10" t="s">
        <v>21</v>
      </c>
      <c r="I2126" s="10" t="s">
        <v>569</v>
      </c>
      <c r="J2126" s="10" t="str">
        <f>""</f>
        <v/>
      </c>
      <c r="K2126" s="10" t="str">
        <f>"PFES1162631861_0001"</f>
        <v>PFES1162631861_0001</v>
      </c>
      <c r="L2126" s="10">
        <v>1</v>
      </c>
      <c r="M2126" s="10">
        <v>1</v>
      </c>
    </row>
    <row r="2127" spans="1:13">
      <c r="A2127" s="8">
        <v>43277</v>
      </c>
      <c r="B2127" s="9">
        <v>0.68333333333333324</v>
      </c>
      <c r="C2127" s="10" t="str">
        <f>"FES1162631818"</f>
        <v>FES1162631818</v>
      </c>
      <c r="D2127" s="10" t="s">
        <v>19</v>
      </c>
      <c r="E2127" s="10" t="s">
        <v>468</v>
      </c>
      <c r="F2127" s="10" t="str">
        <f>"2170638621 "</f>
        <v xml:space="preserve">2170638621 </v>
      </c>
      <c r="G2127" s="10" t="str">
        <f t="shared" si="60"/>
        <v>ON1</v>
      </c>
      <c r="H2127" s="10" t="s">
        <v>21</v>
      </c>
      <c r="I2127" s="10" t="s">
        <v>469</v>
      </c>
      <c r="J2127" s="10" t="str">
        <f>""</f>
        <v/>
      </c>
      <c r="K2127" s="10" t="str">
        <f>"PFES1162631818_0001"</f>
        <v>PFES1162631818_0001</v>
      </c>
      <c r="L2127" s="10">
        <v>1</v>
      </c>
      <c r="M2127" s="10">
        <v>1</v>
      </c>
    </row>
    <row r="2128" spans="1:13">
      <c r="A2128" s="8">
        <v>43277</v>
      </c>
      <c r="B2128" s="9">
        <v>0.68333333333333324</v>
      </c>
      <c r="C2128" s="10" t="str">
        <f>"FES1162631807"</f>
        <v>FES1162631807</v>
      </c>
      <c r="D2128" s="10" t="s">
        <v>19</v>
      </c>
      <c r="E2128" s="10" t="s">
        <v>354</v>
      </c>
      <c r="F2128" s="10" t="str">
        <f>"21706386113 "</f>
        <v xml:space="preserve">21706386113 </v>
      </c>
      <c r="G2128" s="10" t="str">
        <f t="shared" si="60"/>
        <v>ON1</v>
      </c>
      <c r="H2128" s="10" t="s">
        <v>21</v>
      </c>
      <c r="I2128" s="10" t="s">
        <v>349</v>
      </c>
      <c r="J2128" s="10" t="str">
        <f>""</f>
        <v/>
      </c>
      <c r="K2128" s="10" t="str">
        <f>"PFES1162631807_0001"</f>
        <v>PFES1162631807_0001</v>
      </c>
      <c r="L2128" s="10">
        <v>1</v>
      </c>
      <c r="M2128" s="10">
        <v>1</v>
      </c>
    </row>
    <row r="2129" spans="1:13">
      <c r="A2129" s="8">
        <v>43277</v>
      </c>
      <c r="B2129" s="9">
        <v>0.68263888888888891</v>
      </c>
      <c r="C2129" s="10" t="str">
        <f>"FES1162631710"</f>
        <v>FES1162631710</v>
      </c>
      <c r="D2129" s="10" t="s">
        <v>19</v>
      </c>
      <c r="E2129" s="10" t="s">
        <v>41</v>
      </c>
      <c r="F2129" s="10" t="str">
        <f>"2170635389 "</f>
        <v xml:space="preserve">2170635389 </v>
      </c>
      <c r="G2129" s="10" t="str">
        <f t="shared" si="60"/>
        <v>ON1</v>
      </c>
      <c r="H2129" s="10" t="s">
        <v>21</v>
      </c>
      <c r="I2129" s="10" t="s">
        <v>42</v>
      </c>
      <c r="J2129" s="10" t="str">
        <f>""</f>
        <v/>
      </c>
      <c r="K2129" s="10" t="str">
        <f>"PFES1162631710_0001"</f>
        <v>PFES1162631710_0001</v>
      </c>
      <c r="L2129" s="10">
        <v>1</v>
      </c>
      <c r="M2129" s="10">
        <v>1</v>
      </c>
    </row>
    <row r="2130" spans="1:13">
      <c r="A2130" s="8">
        <v>43277</v>
      </c>
      <c r="B2130" s="9">
        <v>0.68263888888888891</v>
      </c>
      <c r="C2130" s="10" t="str">
        <f>"FES1162631734"</f>
        <v>FES1162631734</v>
      </c>
      <c r="D2130" s="10" t="s">
        <v>19</v>
      </c>
      <c r="E2130" s="10" t="s">
        <v>62</v>
      </c>
      <c r="F2130" s="10" t="str">
        <f>"2170637518 "</f>
        <v xml:space="preserve">2170637518 </v>
      </c>
      <c r="G2130" s="10" t="str">
        <f t="shared" si="60"/>
        <v>ON1</v>
      </c>
      <c r="H2130" s="10" t="s">
        <v>21</v>
      </c>
      <c r="I2130" s="10" t="s">
        <v>63</v>
      </c>
      <c r="J2130" s="10" t="str">
        <f>""</f>
        <v/>
      </c>
      <c r="K2130" s="10" t="str">
        <f>"PFES1162631734_0001"</f>
        <v>PFES1162631734_0001</v>
      </c>
      <c r="L2130" s="10">
        <v>1</v>
      </c>
      <c r="M2130" s="10">
        <v>1</v>
      </c>
    </row>
    <row r="2131" spans="1:13">
      <c r="A2131" s="8">
        <v>43277</v>
      </c>
      <c r="B2131" s="9">
        <v>0.68263888888888891</v>
      </c>
      <c r="C2131" s="10" t="str">
        <f>"FES1162631742"</f>
        <v>FES1162631742</v>
      </c>
      <c r="D2131" s="10" t="s">
        <v>19</v>
      </c>
      <c r="E2131" s="10" t="s">
        <v>29</v>
      </c>
      <c r="F2131" s="10" t="str">
        <f>"2170637015 "</f>
        <v xml:space="preserve">2170637015 </v>
      </c>
      <c r="G2131" s="10" t="str">
        <f t="shared" si="60"/>
        <v>ON1</v>
      </c>
      <c r="H2131" s="10" t="s">
        <v>21</v>
      </c>
      <c r="I2131" s="10" t="s">
        <v>30</v>
      </c>
      <c r="J2131" s="10" t="str">
        <f>""</f>
        <v/>
      </c>
      <c r="K2131" s="10" t="str">
        <f>"PFES1162631742_0001"</f>
        <v>PFES1162631742_0001</v>
      </c>
      <c r="L2131" s="10">
        <v>1</v>
      </c>
      <c r="M2131" s="10">
        <v>1</v>
      </c>
    </row>
    <row r="2132" spans="1:13">
      <c r="A2132" s="8">
        <v>43277</v>
      </c>
      <c r="B2132" s="9">
        <v>0.68263888888888891</v>
      </c>
      <c r="C2132" s="10" t="str">
        <f>"FES1162631743"</f>
        <v>FES1162631743</v>
      </c>
      <c r="D2132" s="10" t="s">
        <v>19</v>
      </c>
      <c r="E2132" s="10" t="s">
        <v>345</v>
      </c>
      <c r="F2132" s="10" t="str">
        <f>"2170637174 "</f>
        <v xml:space="preserve">2170637174 </v>
      </c>
      <c r="G2132" s="10" t="str">
        <f t="shared" si="60"/>
        <v>ON1</v>
      </c>
      <c r="H2132" s="10" t="s">
        <v>21</v>
      </c>
      <c r="I2132" s="10" t="s">
        <v>228</v>
      </c>
      <c r="J2132" s="10" t="str">
        <f>""</f>
        <v/>
      </c>
      <c r="K2132" s="10" t="str">
        <f>"PFES1162631743_0001"</f>
        <v>PFES1162631743_0001</v>
      </c>
      <c r="L2132" s="10">
        <v>1</v>
      </c>
      <c r="M2132" s="10">
        <v>1</v>
      </c>
    </row>
    <row r="2133" spans="1:13">
      <c r="A2133" s="8">
        <v>43277</v>
      </c>
      <c r="B2133" s="9">
        <v>0.68194444444444446</v>
      </c>
      <c r="C2133" s="10" t="str">
        <f>"FES1162631709"</f>
        <v>FES1162631709</v>
      </c>
      <c r="D2133" s="10" t="s">
        <v>19</v>
      </c>
      <c r="E2133" s="10" t="s">
        <v>169</v>
      </c>
      <c r="F2133" s="10" t="str">
        <f>"2170635356 "</f>
        <v xml:space="preserve">2170635356 </v>
      </c>
      <c r="G2133" s="10" t="str">
        <f t="shared" si="60"/>
        <v>ON1</v>
      </c>
      <c r="H2133" s="10" t="s">
        <v>21</v>
      </c>
      <c r="I2133" s="10" t="s">
        <v>170</v>
      </c>
      <c r="J2133" s="10" t="str">
        <f>""</f>
        <v/>
      </c>
      <c r="K2133" s="10" t="str">
        <f>"PFES1162631709_0001"</f>
        <v>PFES1162631709_0001</v>
      </c>
      <c r="L2133" s="10">
        <v>1</v>
      </c>
      <c r="M2133" s="10">
        <v>1</v>
      </c>
    </row>
    <row r="2134" spans="1:13">
      <c r="A2134" s="8">
        <v>43277</v>
      </c>
      <c r="B2134" s="9">
        <v>0.68194444444444446</v>
      </c>
      <c r="C2134" s="10" t="str">
        <f>"FES1162631756"</f>
        <v>FES1162631756</v>
      </c>
      <c r="D2134" s="10" t="s">
        <v>19</v>
      </c>
      <c r="E2134" s="10" t="s">
        <v>335</v>
      </c>
      <c r="F2134" s="10" t="str">
        <f>"2170638555 "</f>
        <v xml:space="preserve">2170638555 </v>
      </c>
      <c r="G2134" s="10" t="str">
        <f t="shared" si="60"/>
        <v>ON1</v>
      </c>
      <c r="H2134" s="10" t="s">
        <v>21</v>
      </c>
      <c r="I2134" s="10" t="s">
        <v>336</v>
      </c>
      <c r="J2134" s="10" t="str">
        <f>""</f>
        <v/>
      </c>
      <c r="K2134" s="10" t="str">
        <f>"PFES1162631756_0001"</f>
        <v>PFES1162631756_0001</v>
      </c>
      <c r="L2134" s="10">
        <v>1</v>
      </c>
      <c r="M2134" s="10">
        <v>4</v>
      </c>
    </row>
    <row r="2135" spans="1:13">
      <c r="A2135" s="8">
        <v>43277</v>
      </c>
      <c r="B2135" s="9">
        <v>0.68194444444444446</v>
      </c>
      <c r="C2135" s="10" t="str">
        <f>"FES1162631745"</f>
        <v>FES1162631745</v>
      </c>
      <c r="D2135" s="10" t="s">
        <v>19</v>
      </c>
      <c r="E2135" s="10" t="s">
        <v>140</v>
      </c>
      <c r="F2135" s="10" t="str">
        <f>"2170637426 "</f>
        <v xml:space="preserve">2170637426 </v>
      </c>
      <c r="G2135" s="10" t="str">
        <f t="shared" si="60"/>
        <v>ON1</v>
      </c>
      <c r="H2135" s="10" t="s">
        <v>21</v>
      </c>
      <c r="I2135" s="10" t="s">
        <v>141</v>
      </c>
      <c r="J2135" s="10" t="str">
        <f>""</f>
        <v/>
      </c>
      <c r="K2135" s="10" t="str">
        <f>"PFES1162631745_0001"</f>
        <v>PFES1162631745_0001</v>
      </c>
      <c r="L2135" s="10">
        <v>1</v>
      </c>
      <c r="M2135" s="10">
        <v>1</v>
      </c>
    </row>
    <row r="2136" spans="1:13">
      <c r="A2136" s="8">
        <v>43277</v>
      </c>
      <c r="B2136" s="9">
        <v>0.68125000000000002</v>
      </c>
      <c r="C2136" s="10" t="str">
        <f>"FES1162631813"</f>
        <v>FES1162631813</v>
      </c>
      <c r="D2136" s="10" t="s">
        <v>19</v>
      </c>
      <c r="E2136" s="10" t="s">
        <v>62</v>
      </c>
      <c r="F2136" s="10" t="str">
        <f>"2170638617 "</f>
        <v xml:space="preserve">2170638617 </v>
      </c>
      <c r="G2136" s="10" t="str">
        <f t="shared" si="60"/>
        <v>ON1</v>
      </c>
      <c r="H2136" s="10" t="s">
        <v>21</v>
      </c>
      <c r="I2136" s="10" t="s">
        <v>63</v>
      </c>
      <c r="J2136" s="10" t="str">
        <f>""</f>
        <v/>
      </c>
      <c r="K2136" s="10" t="str">
        <f>"PFES1162631813_0001"</f>
        <v>PFES1162631813_0001</v>
      </c>
      <c r="L2136" s="10">
        <v>1</v>
      </c>
      <c r="M2136" s="10">
        <v>1</v>
      </c>
    </row>
    <row r="2137" spans="1:13">
      <c r="A2137" s="8">
        <v>43277</v>
      </c>
      <c r="B2137" s="9">
        <v>0.68125000000000002</v>
      </c>
      <c r="C2137" s="10" t="str">
        <f>"FES1162631764"</f>
        <v>FES1162631764</v>
      </c>
      <c r="D2137" s="10" t="s">
        <v>19</v>
      </c>
      <c r="E2137" s="10" t="s">
        <v>74</v>
      </c>
      <c r="F2137" s="10" t="str">
        <f>"2170638558 "</f>
        <v xml:space="preserve">2170638558 </v>
      </c>
      <c r="G2137" s="10" t="str">
        <f t="shared" si="60"/>
        <v>ON1</v>
      </c>
      <c r="H2137" s="10" t="s">
        <v>21</v>
      </c>
      <c r="I2137" s="10" t="s">
        <v>75</v>
      </c>
      <c r="J2137" s="10" t="str">
        <f>""</f>
        <v/>
      </c>
      <c r="K2137" s="10" t="str">
        <f>"PFES1162631764_0001"</f>
        <v>PFES1162631764_0001</v>
      </c>
      <c r="L2137" s="10">
        <v>1</v>
      </c>
      <c r="M2137" s="10">
        <v>4</v>
      </c>
    </row>
    <row r="2138" spans="1:13">
      <c r="A2138" s="8">
        <v>43277</v>
      </c>
      <c r="B2138" s="9">
        <v>0.68125000000000002</v>
      </c>
      <c r="C2138" s="10" t="str">
        <f>"FES1162631840"</f>
        <v>FES1162631840</v>
      </c>
      <c r="D2138" s="10" t="s">
        <v>19</v>
      </c>
      <c r="E2138" s="10" t="s">
        <v>720</v>
      </c>
      <c r="F2138" s="10" t="str">
        <f>"2170638651 "</f>
        <v xml:space="preserve">2170638651 </v>
      </c>
      <c r="G2138" s="10" t="str">
        <f t="shared" si="60"/>
        <v>ON1</v>
      </c>
      <c r="H2138" s="10" t="s">
        <v>21</v>
      </c>
      <c r="I2138" s="10" t="s">
        <v>578</v>
      </c>
      <c r="J2138" s="10" t="str">
        <f>""</f>
        <v/>
      </c>
      <c r="K2138" s="10" t="str">
        <f>"PFES1162631840_0001"</f>
        <v>PFES1162631840_0001</v>
      </c>
      <c r="L2138" s="10">
        <v>1</v>
      </c>
      <c r="M2138" s="10">
        <v>1</v>
      </c>
    </row>
    <row r="2139" spans="1:13">
      <c r="A2139" s="8">
        <v>43277</v>
      </c>
      <c r="B2139" s="9">
        <v>0.68055555555555547</v>
      </c>
      <c r="C2139" s="10" t="str">
        <f>"FES1162631782"</f>
        <v>FES1162631782</v>
      </c>
      <c r="D2139" s="10" t="s">
        <v>19</v>
      </c>
      <c r="E2139" s="10" t="s">
        <v>132</v>
      </c>
      <c r="F2139" s="10" t="str">
        <f>"2170637596 "</f>
        <v xml:space="preserve">2170637596 </v>
      </c>
      <c r="G2139" s="10" t="str">
        <f t="shared" si="60"/>
        <v>ON1</v>
      </c>
      <c r="H2139" s="10" t="s">
        <v>21</v>
      </c>
      <c r="I2139" s="10" t="s">
        <v>69</v>
      </c>
      <c r="J2139" s="10" t="str">
        <f>""</f>
        <v/>
      </c>
      <c r="K2139" s="10" t="str">
        <f>"PFES1162631782_0001"</f>
        <v>PFES1162631782_0001</v>
      </c>
      <c r="L2139" s="10">
        <v>1</v>
      </c>
      <c r="M2139" s="10">
        <v>2</v>
      </c>
    </row>
    <row r="2140" spans="1:13">
      <c r="A2140" s="8">
        <v>43277</v>
      </c>
      <c r="B2140" s="9">
        <v>0.68055555555555547</v>
      </c>
      <c r="C2140" s="10" t="str">
        <f>"FES1162631816"</f>
        <v>FES1162631816</v>
      </c>
      <c r="D2140" s="10" t="s">
        <v>19</v>
      </c>
      <c r="E2140" s="10" t="s">
        <v>256</v>
      </c>
      <c r="F2140" s="10" t="str">
        <f>"2170636230 "</f>
        <v xml:space="preserve">2170636230 </v>
      </c>
      <c r="G2140" s="10" t="str">
        <f t="shared" si="60"/>
        <v>ON1</v>
      </c>
      <c r="H2140" s="10" t="s">
        <v>21</v>
      </c>
      <c r="I2140" s="10" t="s">
        <v>230</v>
      </c>
      <c r="J2140" s="10" t="str">
        <f>""</f>
        <v/>
      </c>
      <c r="K2140" s="10" t="str">
        <f>"PFES1162631816_0001"</f>
        <v>PFES1162631816_0001</v>
      </c>
      <c r="L2140" s="10">
        <v>1</v>
      </c>
      <c r="M2140" s="10">
        <v>1</v>
      </c>
    </row>
    <row r="2141" spans="1:13">
      <c r="A2141" s="8">
        <v>43277</v>
      </c>
      <c r="B2141" s="9">
        <v>0.67986111111111114</v>
      </c>
      <c r="C2141" s="10" t="str">
        <f>"FES1162631847"</f>
        <v>FES1162631847</v>
      </c>
      <c r="D2141" s="10" t="s">
        <v>19</v>
      </c>
      <c r="E2141" s="10" t="s">
        <v>969</v>
      </c>
      <c r="F2141" s="10" t="str">
        <f>"2170636658 "</f>
        <v xml:space="preserve">2170636658 </v>
      </c>
      <c r="G2141" s="10" t="str">
        <f t="shared" si="60"/>
        <v>ON1</v>
      </c>
      <c r="H2141" s="10" t="s">
        <v>21</v>
      </c>
      <c r="I2141" s="10" t="s">
        <v>519</v>
      </c>
      <c r="J2141" s="10" t="str">
        <f>""</f>
        <v/>
      </c>
      <c r="K2141" s="10" t="str">
        <f>"PFES1162631847_0001"</f>
        <v>PFES1162631847_0001</v>
      </c>
      <c r="L2141" s="10">
        <v>1</v>
      </c>
      <c r="M2141" s="10">
        <v>1</v>
      </c>
    </row>
    <row r="2142" spans="1:13">
      <c r="A2142" s="8">
        <v>43277</v>
      </c>
      <c r="B2142" s="9">
        <v>0.67986111111111114</v>
      </c>
      <c r="C2142" s="10" t="str">
        <f>"FES1162631832"</f>
        <v>FES1162631832</v>
      </c>
      <c r="D2142" s="10" t="s">
        <v>19</v>
      </c>
      <c r="E2142" s="10" t="s">
        <v>597</v>
      </c>
      <c r="F2142" s="10" t="str">
        <f>"2170638638 "</f>
        <v xml:space="preserve">2170638638 </v>
      </c>
      <c r="G2142" s="10" t="str">
        <f t="shared" si="60"/>
        <v>ON1</v>
      </c>
      <c r="H2142" s="10" t="s">
        <v>21</v>
      </c>
      <c r="I2142" s="10" t="s">
        <v>290</v>
      </c>
      <c r="J2142" s="10" t="str">
        <f>""</f>
        <v/>
      </c>
      <c r="K2142" s="10" t="str">
        <f>"PFES1162631832_0001"</f>
        <v>PFES1162631832_0001</v>
      </c>
      <c r="L2142" s="10">
        <v>1</v>
      </c>
      <c r="M2142" s="10">
        <v>1</v>
      </c>
    </row>
    <row r="2143" spans="1:13">
      <c r="A2143" s="8">
        <v>43277</v>
      </c>
      <c r="B2143" s="9">
        <v>0.67986111111111114</v>
      </c>
      <c r="C2143" s="10" t="str">
        <f>"FES1162631680"</f>
        <v>FES1162631680</v>
      </c>
      <c r="D2143" s="10" t="s">
        <v>19</v>
      </c>
      <c r="E2143" s="10" t="s">
        <v>970</v>
      </c>
      <c r="F2143" s="10" t="str">
        <f>"2170636465 "</f>
        <v xml:space="preserve">2170636465 </v>
      </c>
      <c r="G2143" s="10" t="str">
        <f t="shared" si="60"/>
        <v>ON1</v>
      </c>
      <c r="H2143" s="10" t="s">
        <v>21</v>
      </c>
      <c r="I2143" s="10" t="s">
        <v>91</v>
      </c>
      <c r="J2143" s="10" t="str">
        <f>""</f>
        <v/>
      </c>
      <c r="K2143" s="10" t="str">
        <f>"PFES1162631680_0001"</f>
        <v>PFES1162631680_0001</v>
      </c>
      <c r="L2143" s="10">
        <v>1</v>
      </c>
      <c r="M2143" s="10">
        <v>3</v>
      </c>
    </row>
    <row r="2144" spans="1:13">
      <c r="A2144" s="8">
        <v>43277</v>
      </c>
      <c r="B2144" s="9">
        <v>0.67986111111111114</v>
      </c>
      <c r="C2144" s="10" t="str">
        <f>"FES1162631823"</f>
        <v>FES1162631823</v>
      </c>
      <c r="D2144" s="10" t="s">
        <v>19</v>
      </c>
      <c r="E2144" s="10" t="s">
        <v>49</v>
      </c>
      <c r="F2144" s="10" t="str">
        <f>"2170638610 "</f>
        <v xml:space="preserve">2170638610 </v>
      </c>
      <c r="G2144" s="10" t="str">
        <f t="shared" si="60"/>
        <v>ON1</v>
      </c>
      <c r="H2144" s="10" t="s">
        <v>21</v>
      </c>
      <c r="I2144" s="10" t="s">
        <v>32</v>
      </c>
      <c r="J2144" s="10" t="str">
        <f>""</f>
        <v/>
      </c>
      <c r="K2144" s="10" t="str">
        <f>"PFES1162631823_0001"</f>
        <v>PFES1162631823_0001</v>
      </c>
      <c r="L2144" s="10">
        <v>1</v>
      </c>
      <c r="M2144" s="10">
        <v>1</v>
      </c>
    </row>
    <row r="2145" spans="1:13">
      <c r="A2145" s="8">
        <v>43277</v>
      </c>
      <c r="B2145" s="9">
        <v>0.6791666666666667</v>
      </c>
      <c r="C2145" s="10" t="str">
        <f>"FES1162631794"</f>
        <v>FES1162631794</v>
      </c>
      <c r="D2145" s="10" t="s">
        <v>19</v>
      </c>
      <c r="E2145" s="10" t="s">
        <v>414</v>
      </c>
      <c r="F2145" s="10" t="str">
        <f>"2170638594 "</f>
        <v xml:space="preserve">2170638594 </v>
      </c>
      <c r="G2145" s="10" t="str">
        <f t="shared" si="60"/>
        <v>ON1</v>
      </c>
      <c r="H2145" s="10" t="s">
        <v>21</v>
      </c>
      <c r="I2145" s="10" t="s">
        <v>415</v>
      </c>
      <c r="J2145" s="10" t="str">
        <f>""</f>
        <v/>
      </c>
      <c r="K2145" s="10" t="str">
        <f>"PFES1162631794_0001"</f>
        <v>PFES1162631794_0001</v>
      </c>
      <c r="L2145" s="10">
        <v>1</v>
      </c>
      <c r="M2145" s="10">
        <v>1</v>
      </c>
    </row>
    <row r="2146" spans="1:13">
      <c r="A2146" s="8">
        <v>43277</v>
      </c>
      <c r="B2146" s="9">
        <v>0.6791666666666667</v>
      </c>
      <c r="C2146" s="10" t="str">
        <f>"FES1162631788"</f>
        <v>FES1162631788</v>
      </c>
      <c r="D2146" s="10" t="s">
        <v>19</v>
      </c>
      <c r="E2146" s="10" t="s">
        <v>769</v>
      </c>
      <c r="F2146" s="10" t="str">
        <f>"2170638587 "</f>
        <v xml:space="preserve">2170638587 </v>
      </c>
      <c r="G2146" s="10" t="str">
        <f t="shared" si="60"/>
        <v>ON1</v>
      </c>
      <c r="H2146" s="10" t="s">
        <v>21</v>
      </c>
      <c r="I2146" s="10" t="s">
        <v>42</v>
      </c>
      <c r="J2146" s="10" t="str">
        <f>""</f>
        <v/>
      </c>
      <c r="K2146" s="10" t="str">
        <f>"PFES1162631788_0001"</f>
        <v>PFES1162631788_0001</v>
      </c>
      <c r="L2146" s="10">
        <v>1</v>
      </c>
      <c r="M2146" s="10">
        <v>1</v>
      </c>
    </row>
    <row r="2147" spans="1:13">
      <c r="A2147" s="8">
        <v>43277</v>
      </c>
      <c r="B2147" s="9">
        <v>0.67847222222222225</v>
      </c>
      <c r="C2147" s="10" t="str">
        <f>"FES1162631809"</f>
        <v>FES1162631809</v>
      </c>
      <c r="D2147" s="10" t="s">
        <v>19</v>
      </c>
      <c r="E2147" s="10" t="s">
        <v>346</v>
      </c>
      <c r="F2147" s="10" t="str">
        <f>"2170638613 "</f>
        <v xml:space="preserve">2170638613 </v>
      </c>
      <c r="G2147" s="10" t="str">
        <f t="shared" si="60"/>
        <v>ON1</v>
      </c>
      <c r="H2147" s="10" t="s">
        <v>21</v>
      </c>
      <c r="I2147" s="10" t="s">
        <v>228</v>
      </c>
      <c r="J2147" s="10" t="str">
        <f>""</f>
        <v/>
      </c>
      <c r="K2147" s="10" t="str">
        <f>"PFES1162631809_0001"</f>
        <v>PFES1162631809_0001</v>
      </c>
      <c r="L2147" s="10">
        <v>1</v>
      </c>
      <c r="M2147" s="10">
        <v>1</v>
      </c>
    </row>
    <row r="2148" spans="1:13">
      <c r="A2148" s="8">
        <v>43277</v>
      </c>
      <c r="B2148" s="9">
        <v>0.67847222222222225</v>
      </c>
      <c r="C2148" s="10" t="str">
        <f>"FES1162631810"</f>
        <v>FES1162631810</v>
      </c>
      <c r="D2148" s="10" t="s">
        <v>19</v>
      </c>
      <c r="E2148" s="10" t="s">
        <v>845</v>
      </c>
      <c r="F2148" s="10" t="str">
        <f>"2170638614 "</f>
        <v xml:space="preserve">2170638614 </v>
      </c>
      <c r="G2148" s="10" t="str">
        <f t="shared" si="60"/>
        <v>ON1</v>
      </c>
      <c r="H2148" s="10" t="s">
        <v>21</v>
      </c>
      <c r="I2148" s="10" t="s">
        <v>810</v>
      </c>
      <c r="J2148" s="10" t="str">
        <f>""</f>
        <v/>
      </c>
      <c r="K2148" s="10" t="str">
        <f>"PFES1162631810_0001"</f>
        <v>PFES1162631810_0001</v>
      </c>
      <c r="L2148" s="10">
        <v>1</v>
      </c>
      <c r="M2148" s="10">
        <v>6</v>
      </c>
    </row>
    <row r="2149" spans="1:13">
      <c r="A2149" s="8">
        <v>43277</v>
      </c>
      <c r="B2149" s="9">
        <v>0.67847222222222225</v>
      </c>
      <c r="C2149" s="10" t="str">
        <f>"FES1162631706"</f>
        <v>FES1162631706</v>
      </c>
      <c r="D2149" s="10" t="s">
        <v>19</v>
      </c>
      <c r="E2149" s="10" t="s">
        <v>29</v>
      </c>
      <c r="F2149" s="10" t="str">
        <f>"2170635061 "</f>
        <v xml:space="preserve">2170635061 </v>
      </c>
      <c r="G2149" s="10" t="str">
        <f t="shared" si="60"/>
        <v>ON1</v>
      </c>
      <c r="H2149" s="10" t="s">
        <v>21</v>
      </c>
      <c r="I2149" s="10" t="s">
        <v>30</v>
      </c>
      <c r="J2149" s="10" t="str">
        <f>""</f>
        <v/>
      </c>
      <c r="K2149" s="10" t="str">
        <f>"PFES1162631706_0001"</f>
        <v>PFES1162631706_0001</v>
      </c>
      <c r="L2149" s="10">
        <v>1</v>
      </c>
      <c r="M2149" s="10">
        <v>1</v>
      </c>
    </row>
    <row r="2150" spans="1:13">
      <c r="A2150" s="8">
        <v>43277</v>
      </c>
      <c r="B2150" s="9">
        <v>0.6777777777777777</v>
      </c>
      <c r="C2150" s="10" t="str">
        <f>"FES1162631825"</f>
        <v>FES1162631825</v>
      </c>
      <c r="D2150" s="10" t="s">
        <v>19</v>
      </c>
      <c r="E2150" s="10" t="s">
        <v>966</v>
      </c>
      <c r="F2150" s="10" t="str">
        <f>"2170636834 "</f>
        <v xml:space="preserve">2170636834 </v>
      </c>
      <c r="G2150" s="10" t="str">
        <f t="shared" si="60"/>
        <v>ON1</v>
      </c>
      <c r="H2150" s="10" t="s">
        <v>21</v>
      </c>
      <c r="I2150" s="10" t="s">
        <v>967</v>
      </c>
      <c r="J2150" s="10" t="str">
        <f>""</f>
        <v/>
      </c>
      <c r="K2150" s="10" t="str">
        <f>"PFES1162631825_0001"</f>
        <v>PFES1162631825_0001</v>
      </c>
      <c r="L2150" s="10">
        <v>1</v>
      </c>
      <c r="M2150" s="10">
        <v>1</v>
      </c>
    </row>
    <row r="2151" spans="1:13">
      <c r="A2151" s="8">
        <v>43277</v>
      </c>
      <c r="B2151" s="9">
        <v>0.6777777777777777</v>
      </c>
      <c r="C2151" s="10" t="str">
        <f>"FES1162631730"</f>
        <v>FES1162631730</v>
      </c>
      <c r="D2151" s="10" t="s">
        <v>19</v>
      </c>
      <c r="E2151" s="10" t="s">
        <v>29</v>
      </c>
      <c r="F2151" s="10" t="str">
        <f>"2170635666 "</f>
        <v xml:space="preserve">2170635666 </v>
      </c>
      <c r="G2151" s="10" t="str">
        <f t="shared" si="60"/>
        <v>ON1</v>
      </c>
      <c r="H2151" s="10" t="s">
        <v>21</v>
      </c>
      <c r="I2151" s="10" t="s">
        <v>30</v>
      </c>
      <c r="J2151" s="10" t="str">
        <f>""</f>
        <v/>
      </c>
      <c r="K2151" s="10" t="str">
        <f>"PFES1162631730_0001"</f>
        <v>PFES1162631730_0001</v>
      </c>
      <c r="L2151" s="10">
        <v>1</v>
      </c>
      <c r="M2151" s="10">
        <v>2</v>
      </c>
    </row>
    <row r="2152" spans="1:13">
      <c r="A2152" s="8">
        <v>43277</v>
      </c>
      <c r="B2152" s="9">
        <v>0.67708333333333337</v>
      </c>
      <c r="C2152" s="10" t="str">
        <f>"FES1162631716"</f>
        <v>FES1162631716</v>
      </c>
      <c r="D2152" s="10" t="s">
        <v>19</v>
      </c>
      <c r="E2152" s="10" t="s">
        <v>780</v>
      </c>
      <c r="F2152" s="10" t="str">
        <f>"2170635478 "</f>
        <v xml:space="preserve">2170635478 </v>
      </c>
      <c r="G2152" s="10" t="str">
        <f t="shared" si="60"/>
        <v>ON1</v>
      </c>
      <c r="H2152" s="10" t="s">
        <v>21</v>
      </c>
      <c r="I2152" s="10" t="s">
        <v>46</v>
      </c>
      <c r="J2152" s="10" t="str">
        <f>""</f>
        <v/>
      </c>
      <c r="K2152" s="10" t="str">
        <f>"PFES1162631716_0001"</f>
        <v>PFES1162631716_0001</v>
      </c>
      <c r="L2152" s="10">
        <v>1</v>
      </c>
      <c r="M2152" s="10">
        <v>4</v>
      </c>
    </row>
    <row r="2153" spans="1:13">
      <c r="A2153" s="8">
        <v>43277</v>
      </c>
      <c r="B2153" s="9">
        <v>0.66527777777777775</v>
      </c>
      <c r="C2153" s="10" t="str">
        <f>"FES1162631629"</f>
        <v>FES1162631629</v>
      </c>
      <c r="D2153" s="10" t="s">
        <v>19</v>
      </c>
      <c r="E2153" s="10" t="s">
        <v>229</v>
      </c>
      <c r="F2153" s="10" t="str">
        <f>"2170633057 "</f>
        <v xml:space="preserve">2170633057 </v>
      </c>
      <c r="G2153" s="10" t="str">
        <f t="shared" si="60"/>
        <v>ON1</v>
      </c>
      <c r="H2153" s="10" t="s">
        <v>21</v>
      </c>
      <c r="I2153" s="10" t="s">
        <v>230</v>
      </c>
      <c r="J2153" s="10" t="str">
        <f>""</f>
        <v/>
      </c>
      <c r="K2153" s="10" t="str">
        <f>"PFES1162631629_0001"</f>
        <v>PFES1162631629_0001</v>
      </c>
      <c r="L2153" s="10">
        <v>1</v>
      </c>
      <c r="M2153" s="10">
        <v>2</v>
      </c>
    </row>
    <row r="2154" spans="1:13">
      <c r="A2154" s="8">
        <v>43277</v>
      </c>
      <c r="B2154" s="9">
        <v>0.66388888888888886</v>
      </c>
      <c r="C2154" s="10" t="str">
        <f>"FES1162631660"</f>
        <v>FES1162631660</v>
      </c>
      <c r="D2154" s="10" t="s">
        <v>19</v>
      </c>
      <c r="E2154" s="10" t="s">
        <v>263</v>
      </c>
      <c r="F2154" s="10" t="str">
        <f>"2170636303 "</f>
        <v xml:space="preserve">2170636303 </v>
      </c>
      <c r="G2154" s="10" t="str">
        <f t="shared" si="60"/>
        <v>ON1</v>
      </c>
      <c r="H2154" s="10" t="s">
        <v>21</v>
      </c>
      <c r="I2154" s="10" t="s">
        <v>230</v>
      </c>
      <c r="J2154" s="10" t="str">
        <f>""</f>
        <v/>
      </c>
      <c r="K2154" s="10" t="str">
        <f>"PFES1162631660_0001"</f>
        <v>PFES1162631660_0001</v>
      </c>
      <c r="L2154" s="10">
        <v>1</v>
      </c>
      <c r="M2154" s="10">
        <v>17</v>
      </c>
    </row>
    <row r="2155" spans="1:13">
      <c r="A2155" s="8">
        <v>43277</v>
      </c>
      <c r="B2155" s="9">
        <v>0.66319444444444442</v>
      </c>
      <c r="C2155" s="10" t="str">
        <f>"FES1162631751"</f>
        <v>FES1162631751</v>
      </c>
      <c r="D2155" s="10" t="s">
        <v>19</v>
      </c>
      <c r="E2155" s="10" t="s">
        <v>971</v>
      </c>
      <c r="F2155" s="10" t="str">
        <f>"2170638542 "</f>
        <v xml:space="preserve">2170638542 </v>
      </c>
      <c r="G2155" s="10" t="str">
        <f t="shared" si="60"/>
        <v>ON1</v>
      </c>
      <c r="H2155" s="10" t="s">
        <v>21</v>
      </c>
      <c r="I2155" s="10" t="s">
        <v>192</v>
      </c>
      <c r="J2155" s="10" t="str">
        <f>""</f>
        <v/>
      </c>
      <c r="K2155" s="10" t="str">
        <f>"PFES1162631751_0001"</f>
        <v>PFES1162631751_0001</v>
      </c>
      <c r="L2155" s="10">
        <v>1</v>
      </c>
      <c r="M2155" s="10">
        <v>4</v>
      </c>
    </row>
    <row r="2156" spans="1:13">
      <c r="A2156" s="8">
        <v>43277</v>
      </c>
      <c r="B2156" s="9">
        <v>0.66180555555555554</v>
      </c>
      <c r="C2156" s="10" t="str">
        <f>"FES1162631643"</f>
        <v>FES1162631643</v>
      </c>
      <c r="D2156" s="10" t="s">
        <v>19</v>
      </c>
      <c r="E2156" s="10" t="s">
        <v>298</v>
      </c>
      <c r="F2156" s="10" t="str">
        <f>"2170636069 "</f>
        <v xml:space="preserve">2170636069 </v>
      </c>
      <c r="G2156" s="10" t="str">
        <f t="shared" si="60"/>
        <v>ON1</v>
      </c>
      <c r="H2156" s="10" t="s">
        <v>21</v>
      </c>
      <c r="I2156" s="10" t="s">
        <v>299</v>
      </c>
      <c r="J2156" s="10" t="str">
        <f>""</f>
        <v/>
      </c>
      <c r="K2156" s="10" t="str">
        <f>"PFES1162631643_0001"</f>
        <v>PFES1162631643_0001</v>
      </c>
      <c r="L2156" s="10">
        <v>1</v>
      </c>
      <c r="M2156" s="10">
        <v>1</v>
      </c>
    </row>
    <row r="2157" spans="1:13">
      <c r="A2157" s="8">
        <v>43277</v>
      </c>
      <c r="B2157" s="9">
        <v>0.66111111111111109</v>
      </c>
      <c r="C2157" s="10" t="str">
        <f>"FES1162631708"</f>
        <v>FES1162631708</v>
      </c>
      <c r="D2157" s="10" t="s">
        <v>19</v>
      </c>
      <c r="E2157" s="10" t="s">
        <v>972</v>
      </c>
      <c r="F2157" s="10" t="str">
        <f>"2170635341 "</f>
        <v xml:space="preserve">2170635341 </v>
      </c>
      <c r="G2157" s="10" t="str">
        <f t="shared" si="60"/>
        <v>ON1</v>
      </c>
      <c r="H2157" s="10" t="s">
        <v>21</v>
      </c>
      <c r="I2157" s="10" t="s">
        <v>170</v>
      </c>
      <c r="J2157" s="10" t="str">
        <f>""</f>
        <v/>
      </c>
      <c r="K2157" s="10" t="str">
        <f>"PFES1162631708_0001"</f>
        <v>PFES1162631708_0001</v>
      </c>
      <c r="L2157" s="10">
        <v>1</v>
      </c>
      <c r="M2157" s="10">
        <v>1</v>
      </c>
    </row>
    <row r="2158" spans="1:13">
      <c r="A2158" s="8">
        <v>43277</v>
      </c>
      <c r="B2158" s="9">
        <v>0.66111111111111109</v>
      </c>
      <c r="C2158" s="10" t="str">
        <f>"FES1162631627"</f>
        <v>FES1162631627</v>
      </c>
      <c r="D2158" s="10" t="s">
        <v>19</v>
      </c>
      <c r="E2158" s="10" t="s">
        <v>686</v>
      </c>
      <c r="F2158" s="10" t="str">
        <f>"2170623333 "</f>
        <v xml:space="preserve">2170623333 </v>
      </c>
      <c r="G2158" s="10" t="str">
        <f t="shared" si="60"/>
        <v>ON1</v>
      </c>
      <c r="H2158" s="10" t="s">
        <v>21</v>
      </c>
      <c r="I2158" s="10" t="s">
        <v>687</v>
      </c>
      <c r="J2158" s="10" t="str">
        <f>""</f>
        <v/>
      </c>
      <c r="K2158" s="10" t="str">
        <f>"PFES1162631627_0001"</f>
        <v>PFES1162631627_0001</v>
      </c>
      <c r="L2158" s="10">
        <v>1</v>
      </c>
      <c r="M2158" s="10">
        <v>2</v>
      </c>
    </row>
    <row r="2159" spans="1:13">
      <c r="A2159" s="8">
        <v>43277</v>
      </c>
      <c r="B2159" s="9">
        <v>0.66111111111111109</v>
      </c>
      <c r="C2159" s="10" t="str">
        <f>"FES1162631754"</f>
        <v>FES1162631754</v>
      </c>
      <c r="D2159" s="10" t="s">
        <v>19</v>
      </c>
      <c r="E2159" s="10" t="s">
        <v>973</v>
      </c>
      <c r="F2159" s="10" t="str">
        <f>"2170638550 "</f>
        <v xml:space="preserve">2170638550 </v>
      </c>
      <c r="G2159" s="10" t="str">
        <f t="shared" si="60"/>
        <v>ON1</v>
      </c>
      <c r="H2159" s="10" t="s">
        <v>21</v>
      </c>
      <c r="I2159" s="10" t="s">
        <v>974</v>
      </c>
      <c r="J2159" s="10" t="str">
        <f>""</f>
        <v/>
      </c>
      <c r="K2159" s="10" t="str">
        <f>"PFES1162631754_0001"</f>
        <v>PFES1162631754_0001</v>
      </c>
      <c r="L2159" s="10">
        <v>1</v>
      </c>
      <c r="M2159" s="10">
        <v>1</v>
      </c>
    </row>
    <row r="2160" spans="1:13">
      <c r="A2160" s="8">
        <v>43277</v>
      </c>
      <c r="B2160" s="9">
        <v>0.66111111111111109</v>
      </c>
      <c r="C2160" s="10" t="str">
        <f>"FES1162631679"</f>
        <v>FES1162631679</v>
      </c>
      <c r="D2160" s="10" t="s">
        <v>19</v>
      </c>
      <c r="E2160" s="10" t="s">
        <v>109</v>
      </c>
      <c r="F2160" s="10" t="str">
        <f>"2170636462 "</f>
        <v xml:space="preserve">2170636462 </v>
      </c>
      <c r="G2160" s="10" t="str">
        <f t="shared" si="60"/>
        <v>ON1</v>
      </c>
      <c r="H2160" s="10" t="s">
        <v>21</v>
      </c>
      <c r="I2160" s="10" t="s">
        <v>110</v>
      </c>
      <c r="J2160" s="10" t="str">
        <f>""</f>
        <v/>
      </c>
      <c r="K2160" s="10" t="str">
        <f>"PFES1162631679_0001"</f>
        <v>PFES1162631679_0001</v>
      </c>
      <c r="L2160" s="10">
        <v>1</v>
      </c>
      <c r="M2160" s="10">
        <v>1</v>
      </c>
    </row>
    <row r="2161" spans="1:13">
      <c r="A2161" s="8">
        <v>43277</v>
      </c>
      <c r="B2161" s="9">
        <v>0.66041666666666665</v>
      </c>
      <c r="C2161" s="10" t="str">
        <f>"FES1162631019"</f>
        <v>FES1162631019</v>
      </c>
      <c r="D2161" s="10" t="s">
        <v>19</v>
      </c>
      <c r="E2161" s="10" t="s">
        <v>856</v>
      </c>
      <c r="F2161" s="10" t="str">
        <f>"2170635885 "</f>
        <v xml:space="preserve">2170635885 </v>
      </c>
      <c r="G2161" s="10" t="str">
        <f t="shared" si="60"/>
        <v>ON1</v>
      </c>
      <c r="H2161" s="10" t="s">
        <v>21</v>
      </c>
      <c r="I2161" s="10" t="s">
        <v>32</v>
      </c>
      <c r="J2161" s="10" t="str">
        <f>""</f>
        <v/>
      </c>
      <c r="K2161" s="10" t="str">
        <f>"PFES1162631019_0001"</f>
        <v>PFES1162631019_0001</v>
      </c>
      <c r="L2161" s="10">
        <v>1</v>
      </c>
      <c r="M2161" s="10">
        <v>1</v>
      </c>
    </row>
    <row r="2162" spans="1:13">
      <c r="A2162" s="8">
        <v>43277</v>
      </c>
      <c r="B2162" s="9">
        <v>0.66041666666666665</v>
      </c>
      <c r="C2162" s="10" t="str">
        <f>"FES1162631649"</f>
        <v>FES1162631649</v>
      </c>
      <c r="D2162" s="10" t="s">
        <v>19</v>
      </c>
      <c r="E2162" s="10" t="s">
        <v>304</v>
      </c>
      <c r="F2162" s="10" t="str">
        <f>"2170636164 "</f>
        <v xml:space="preserve">2170636164 </v>
      </c>
      <c r="G2162" s="10" t="str">
        <f t="shared" si="60"/>
        <v>ON1</v>
      </c>
      <c r="H2162" s="10" t="s">
        <v>21</v>
      </c>
      <c r="I2162" s="10" t="s">
        <v>305</v>
      </c>
      <c r="J2162" s="10" t="str">
        <f>""</f>
        <v/>
      </c>
      <c r="K2162" s="10" t="str">
        <f>"PFES1162631649_0001"</f>
        <v>PFES1162631649_0001</v>
      </c>
      <c r="L2162" s="10">
        <v>1</v>
      </c>
      <c r="M2162" s="10">
        <v>1</v>
      </c>
    </row>
    <row r="2163" spans="1:13">
      <c r="A2163" s="8">
        <v>43277</v>
      </c>
      <c r="B2163" s="9">
        <v>0.66041666666666665</v>
      </c>
      <c r="C2163" s="10" t="str">
        <f>"FES1162631688"</f>
        <v>FES1162631688</v>
      </c>
      <c r="D2163" s="10" t="s">
        <v>19</v>
      </c>
      <c r="E2163" s="10" t="s">
        <v>328</v>
      </c>
      <c r="F2163" s="10" t="str">
        <f>"2170636541 "</f>
        <v xml:space="preserve">2170636541 </v>
      </c>
      <c r="G2163" s="10" t="str">
        <f t="shared" si="60"/>
        <v>ON1</v>
      </c>
      <c r="H2163" s="10" t="s">
        <v>21</v>
      </c>
      <c r="I2163" s="10" t="s">
        <v>329</v>
      </c>
      <c r="J2163" s="10" t="str">
        <f>""</f>
        <v/>
      </c>
      <c r="K2163" s="10" t="str">
        <f>"PFES1162631688_0001"</f>
        <v>PFES1162631688_0001</v>
      </c>
      <c r="L2163" s="10">
        <v>1</v>
      </c>
      <c r="M2163" s="10">
        <v>1</v>
      </c>
    </row>
    <row r="2164" spans="1:13">
      <c r="A2164" s="8">
        <v>43277</v>
      </c>
      <c r="B2164" s="9">
        <v>0.65972222222222221</v>
      </c>
      <c r="C2164" s="10" t="str">
        <f>"FES1162631776"</f>
        <v>FES1162631776</v>
      </c>
      <c r="D2164" s="10" t="s">
        <v>19</v>
      </c>
      <c r="E2164" s="10" t="s">
        <v>859</v>
      </c>
      <c r="F2164" s="10" t="str">
        <f>"2170638578 "</f>
        <v xml:space="preserve">2170638578 </v>
      </c>
      <c r="G2164" s="10" t="str">
        <f t="shared" si="60"/>
        <v>ON1</v>
      </c>
      <c r="H2164" s="10" t="s">
        <v>21</v>
      </c>
      <c r="I2164" s="10" t="s">
        <v>860</v>
      </c>
      <c r="J2164" s="10" t="str">
        <f>""</f>
        <v/>
      </c>
      <c r="K2164" s="10" t="str">
        <f>"PFES1162631776_0001"</f>
        <v>PFES1162631776_0001</v>
      </c>
      <c r="L2164" s="10">
        <v>1</v>
      </c>
      <c r="M2164" s="10">
        <v>7</v>
      </c>
    </row>
    <row r="2165" spans="1:13">
      <c r="A2165" s="8">
        <v>43277</v>
      </c>
      <c r="B2165" s="9">
        <v>0.65972222222222221</v>
      </c>
      <c r="C2165" s="10" t="str">
        <f>"FES1162631670"</f>
        <v>FES1162631670</v>
      </c>
      <c r="D2165" s="10" t="s">
        <v>19</v>
      </c>
      <c r="E2165" s="10" t="s">
        <v>408</v>
      </c>
      <c r="F2165" s="10" t="str">
        <f>"2170636360 "</f>
        <v xml:space="preserve">2170636360 </v>
      </c>
      <c r="G2165" s="10" t="str">
        <f t="shared" si="60"/>
        <v>ON1</v>
      </c>
      <c r="H2165" s="10" t="s">
        <v>21</v>
      </c>
      <c r="I2165" s="10" t="s">
        <v>297</v>
      </c>
      <c r="J2165" s="10" t="str">
        <f>""</f>
        <v/>
      </c>
      <c r="K2165" s="10" t="str">
        <f>"PFES1162631670_0001"</f>
        <v>PFES1162631670_0001</v>
      </c>
      <c r="L2165" s="10">
        <v>1</v>
      </c>
      <c r="M2165" s="10">
        <v>1</v>
      </c>
    </row>
    <row r="2166" spans="1:13">
      <c r="A2166" s="8">
        <v>43277</v>
      </c>
      <c r="B2166" s="9">
        <v>0.65972222222222221</v>
      </c>
      <c r="C2166" s="10" t="str">
        <f>"FES1162631667"</f>
        <v>FES1162631667</v>
      </c>
      <c r="D2166" s="10" t="s">
        <v>19</v>
      </c>
      <c r="E2166" s="10" t="s">
        <v>408</v>
      </c>
      <c r="F2166" s="10" t="str">
        <f>"2170636348 "</f>
        <v xml:space="preserve">2170636348 </v>
      </c>
      <c r="G2166" s="10" t="str">
        <f t="shared" si="60"/>
        <v>ON1</v>
      </c>
      <c r="H2166" s="10" t="s">
        <v>21</v>
      </c>
      <c r="I2166" s="10" t="s">
        <v>297</v>
      </c>
      <c r="J2166" s="10" t="str">
        <f>""</f>
        <v/>
      </c>
      <c r="K2166" s="10" t="str">
        <f>"PFES1162631667_0001"</f>
        <v>PFES1162631667_0001</v>
      </c>
      <c r="L2166" s="10">
        <v>1</v>
      </c>
      <c r="M2166" s="10">
        <v>1</v>
      </c>
    </row>
    <row r="2167" spans="1:13">
      <c r="A2167" s="8">
        <v>43277</v>
      </c>
      <c r="B2167" s="9">
        <v>0.65902777777777777</v>
      </c>
      <c r="C2167" s="10" t="str">
        <f>"FES1162631777"</f>
        <v>FES1162631777</v>
      </c>
      <c r="D2167" s="10" t="s">
        <v>19</v>
      </c>
      <c r="E2167" s="10" t="s">
        <v>639</v>
      </c>
      <c r="F2167" s="10" t="str">
        <f>"2170637581 "</f>
        <v xml:space="preserve">2170637581 </v>
      </c>
      <c r="G2167" s="10" t="str">
        <f t="shared" si="60"/>
        <v>ON1</v>
      </c>
      <c r="H2167" s="10" t="s">
        <v>21</v>
      </c>
      <c r="I2167" s="10" t="s">
        <v>32</v>
      </c>
      <c r="J2167" s="10" t="str">
        <f>""</f>
        <v/>
      </c>
      <c r="K2167" s="10" t="str">
        <f>"PFES1162631777_0001"</f>
        <v>PFES1162631777_0001</v>
      </c>
      <c r="L2167" s="10">
        <v>1</v>
      </c>
      <c r="M2167" s="10">
        <v>1</v>
      </c>
    </row>
    <row r="2168" spans="1:13">
      <c r="A2168" s="8">
        <v>43277</v>
      </c>
      <c r="B2168" s="9">
        <v>0.65902777777777777</v>
      </c>
      <c r="C2168" s="10" t="str">
        <f>"FES1162631737"</f>
        <v>FES1162631737</v>
      </c>
      <c r="D2168" s="10" t="s">
        <v>19</v>
      </c>
      <c r="E2168" s="10" t="s">
        <v>67</v>
      </c>
      <c r="F2168" s="10" t="str">
        <f>"2170635770 "</f>
        <v xml:space="preserve">2170635770 </v>
      </c>
      <c r="G2168" s="10" t="str">
        <f t="shared" si="60"/>
        <v>ON1</v>
      </c>
      <c r="H2168" s="10" t="s">
        <v>21</v>
      </c>
      <c r="I2168" s="10" t="s">
        <v>238</v>
      </c>
      <c r="J2168" s="10" t="str">
        <f>""</f>
        <v/>
      </c>
      <c r="K2168" s="10" t="str">
        <f>"PFES1162631737_0001"</f>
        <v>PFES1162631737_0001</v>
      </c>
      <c r="L2168" s="10">
        <v>1</v>
      </c>
      <c r="M2168" s="10">
        <v>1</v>
      </c>
    </row>
    <row r="2169" spans="1:13">
      <c r="A2169" s="8">
        <v>43277</v>
      </c>
      <c r="B2169" s="9">
        <v>0.65902777777777777</v>
      </c>
      <c r="C2169" s="10" t="str">
        <f>"FES1162631766"</f>
        <v>FES1162631766</v>
      </c>
      <c r="D2169" s="10" t="s">
        <v>19</v>
      </c>
      <c r="E2169" s="10" t="s">
        <v>975</v>
      </c>
      <c r="F2169" s="10" t="str">
        <f>"2170638562 "</f>
        <v xml:space="preserve">2170638562 </v>
      </c>
      <c r="G2169" s="10" t="str">
        <f t="shared" si="60"/>
        <v>ON1</v>
      </c>
      <c r="H2169" s="10" t="s">
        <v>21</v>
      </c>
      <c r="I2169" s="10" t="s">
        <v>439</v>
      </c>
      <c r="J2169" s="10" t="str">
        <f>""</f>
        <v/>
      </c>
      <c r="K2169" s="10" t="str">
        <f>"PFES1162631766_0001"</f>
        <v>PFES1162631766_0001</v>
      </c>
      <c r="L2169" s="10">
        <v>1</v>
      </c>
      <c r="M2169" s="10">
        <v>15</v>
      </c>
    </row>
    <row r="2170" spans="1:13">
      <c r="A2170" s="8">
        <v>43277</v>
      </c>
      <c r="B2170" s="9">
        <v>0.65833333333333333</v>
      </c>
      <c r="C2170" s="10" t="str">
        <f>"FES1162631741"</f>
        <v>FES1162631741</v>
      </c>
      <c r="D2170" s="10" t="s">
        <v>19</v>
      </c>
      <c r="E2170" s="10" t="s">
        <v>278</v>
      </c>
      <c r="F2170" s="10" t="str">
        <f>"217063818 "</f>
        <v xml:space="preserve">217063818 </v>
      </c>
      <c r="G2170" s="10" t="str">
        <f t="shared" si="60"/>
        <v>ON1</v>
      </c>
      <c r="H2170" s="10" t="s">
        <v>21</v>
      </c>
      <c r="I2170" s="10" t="s">
        <v>279</v>
      </c>
      <c r="J2170" s="10" t="str">
        <f>""</f>
        <v/>
      </c>
      <c r="K2170" s="10" t="str">
        <f>"PFES1162631741_0001"</f>
        <v>PFES1162631741_0001</v>
      </c>
      <c r="L2170" s="10">
        <v>1</v>
      </c>
      <c r="M2170" s="10">
        <v>1</v>
      </c>
    </row>
    <row r="2171" spans="1:13">
      <c r="A2171" s="8">
        <v>43277</v>
      </c>
      <c r="B2171" s="9">
        <v>0.65833333333333333</v>
      </c>
      <c r="C2171" s="10" t="str">
        <f>"FES1162631808"</f>
        <v>FES1162631808</v>
      </c>
      <c r="D2171" s="10" t="s">
        <v>19</v>
      </c>
      <c r="E2171" s="10" t="s">
        <v>976</v>
      </c>
      <c r="F2171" s="10" t="str">
        <f>"2170638612 "</f>
        <v xml:space="preserve">2170638612 </v>
      </c>
      <c r="G2171" s="10" t="str">
        <f t="shared" si="60"/>
        <v>ON1</v>
      </c>
      <c r="H2171" s="10" t="s">
        <v>21</v>
      </c>
      <c r="I2171" s="10" t="s">
        <v>53</v>
      </c>
      <c r="J2171" s="10" t="str">
        <f>""</f>
        <v/>
      </c>
      <c r="K2171" s="10" t="str">
        <f>"PFES1162631808_0001"</f>
        <v>PFES1162631808_0001</v>
      </c>
      <c r="L2171" s="10">
        <v>1</v>
      </c>
      <c r="M2171" s="10">
        <v>1</v>
      </c>
    </row>
    <row r="2172" spans="1:13">
      <c r="A2172" s="8">
        <v>43277</v>
      </c>
      <c r="B2172" s="9">
        <v>0.65763888888888888</v>
      </c>
      <c r="C2172" s="10" t="str">
        <f>"FES1162631827"</f>
        <v>FES1162631827</v>
      </c>
      <c r="D2172" s="10" t="s">
        <v>19</v>
      </c>
      <c r="E2172" s="10" t="s">
        <v>60</v>
      </c>
      <c r="F2172" s="10" t="str">
        <f>"2170638635 "</f>
        <v xml:space="preserve">2170638635 </v>
      </c>
      <c r="G2172" s="10" t="str">
        <f t="shared" ref="G2172:G2235" si="61">"ON1"</f>
        <v>ON1</v>
      </c>
      <c r="H2172" s="10" t="s">
        <v>21</v>
      </c>
      <c r="I2172" s="10" t="s">
        <v>61</v>
      </c>
      <c r="J2172" s="10" t="str">
        <f>""</f>
        <v/>
      </c>
      <c r="K2172" s="10" t="str">
        <f>"PFES1162631827_0001"</f>
        <v>PFES1162631827_0001</v>
      </c>
      <c r="L2172" s="10">
        <v>1</v>
      </c>
      <c r="M2172" s="10">
        <v>4</v>
      </c>
    </row>
    <row r="2173" spans="1:13">
      <c r="A2173" s="8">
        <v>43277</v>
      </c>
      <c r="B2173" s="9">
        <v>0.65694444444444444</v>
      </c>
      <c r="C2173" s="10" t="str">
        <f>"FES1162631765"</f>
        <v>FES1162631765</v>
      </c>
      <c r="D2173" s="10" t="s">
        <v>19</v>
      </c>
      <c r="E2173" s="10" t="s">
        <v>977</v>
      </c>
      <c r="F2173" s="10" t="str">
        <f>"2170638560 "</f>
        <v xml:space="preserve">2170638560 </v>
      </c>
      <c r="G2173" s="10" t="str">
        <f t="shared" si="61"/>
        <v>ON1</v>
      </c>
      <c r="H2173" s="10" t="s">
        <v>21</v>
      </c>
      <c r="I2173" s="10" t="s">
        <v>292</v>
      </c>
      <c r="J2173" s="10" t="str">
        <f>""</f>
        <v/>
      </c>
      <c r="K2173" s="10" t="str">
        <f>"PFES1162631765_0001"</f>
        <v>PFES1162631765_0001</v>
      </c>
      <c r="L2173" s="10">
        <v>1</v>
      </c>
      <c r="M2173" s="10">
        <v>1</v>
      </c>
    </row>
    <row r="2174" spans="1:13">
      <c r="A2174" s="8">
        <v>43277</v>
      </c>
      <c r="B2174" s="9">
        <v>0.65694444444444444</v>
      </c>
      <c r="C2174" s="10" t="str">
        <f>"FES1162631837"</f>
        <v>FES1162631837</v>
      </c>
      <c r="D2174" s="10" t="s">
        <v>19</v>
      </c>
      <c r="E2174" s="10" t="s">
        <v>242</v>
      </c>
      <c r="F2174" s="10" t="str">
        <f>"2170637231 "</f>
        <v xml:space="preserve">2170637231 </v>
      </c>
      <c r="G2174" s="10" t="str">
        <f t="shared" si="61"/>
        <v>ON1</v>
      </c>
      <c r="H2174" s="10" t="s">
        <v>21</v>
      </c>
      <c r="I2174" s="10" t="s">
        <v>55</v>
      </c>
      <c r="J2174" s="10" t="str">
        <f>""</f>
        <v/>
      </c>
      <c r="K2174" s="10" t="str">
        <f>"PFES1162631837_0001"</f>
        <v>PFES1162631837_0001</v>
      </c>
      <c r="L2174" s="10">
        <v>1</v>
      </c>
      <c r="M2174" s="10">
        <v>7</v>
      </c>
    </row>
    <row r="2175" spans="1:13">
      <c r="A2175" s="8">
        <v>43277</v>
      </c>
      <c r="B2175" s="9">
        <v>0.65625</v>
      </c>
      <c r="C2175" s="10" t="str">
        <f>"FES1162631822"</f>
        <v>FES1162631822</v>
      </c>
      <c r="D2175" s="10" t="s">
        <v>19</v>
      </c>
      <c r="E2175" s="10" t="s">
        <v>33</v>
      </c>
      <c r="F2175" s="10" t="str">
        <f>"2170638629 "</f>
        <v xml:space="preserve">2170638629 </v>
      </c>
      <c r="G2175" s="10" t="str">
        <f t="shared" si="61"/>
        <v>ON1</v>
      </c>
      <c r="H2175" s="10" t="s">
        <v>21</v>
      </c>
      <c r="I2175" s="10" t="s">
        <v>34</v>
      </c>
      <c r="J2175" s="10" t="str">
        <f>""</f>
        <v/>
      </c>
      <c r="K2175" s="10" t="str">
        <f>"PFES1162631822_0001"</f>
        <v>PFES1162631822_0001</v>
      </c>
      <c r="L2175" s="10">
        <v>1</v>
      </c>
      <c r="M2175" s="10">
        <v>1</v>
      </c>
    </row>
    <row r="2176" spans="1:13">
      <c r="A2176" s="8">
        <v>43277</v>
      </c>
      <c r="B2176" s="9">
        <v>0.65625</v>
      </c>
      <c r="C2176" s="10" t="str">
        <f>"FES1162631802"</f>
        <v>FES1162631802</v>
      </c>
      <c r="D2176" s="10" t="s">
        <v>19</v>
      </c>
      <c r="E2176" s="10" t="s">
        <v>518</v>
      </c>
      <c r="F2176" s="10" t="str">
        <f>"2170638605 "</f>
        <v xml:space="preserve">2170638605 </v>
      </c>
      <c r="G2176" s="10" t="str">
        <f t="shared" si="61"/>
        <v>ON1</v>
      </c>
      <c r="H2176" s="10" t="s">
        <v>21</v>
      </c>
      <c r="I2176" s="10" t="s">
        <v>519</v>
      </c>
      <c r="J2176" s="10" t="str">
        <f>""</f>
        <v/>
      </c>
      <c r="K2176" s="10" t="str">
        <f>"PFES1162631802_0001"</f>
        <v>PFES1162631802_0001</v>
      </c>
      <c r="L2176" s="10">
        <v>1</v>
      </c>
      <c r="M2176" s="10">
        <v>1</v>
      </c>
    </row>
    <row r="2177" spans="1:13">
      <c r="A2177" s="8">
        <v>43277</v>
      </c>
      <c r="B2177" s="9">
        <v>0.65555555555555556</v>
      </c>
      <c r="C2177" s="10" t="str">
        <f>"FES1162631836"</f>
        <v>FES1162631836</v>
      </c>
      <c r="D2177" s="10" t="s">
        <v>19</v>
      </c>
      <c r="E2177" s="10" t="s">
        <v>242</v>
      </c>
      <c r="F2177" s="10" t="str">
        <f>"2170633208 "</f>
        <v xml:space="preserve">2170633208 </v>
      </c>
      <c r="G2177" s="10" t="str">
        <f t="shared" si="61"/>
        <v>ON1</v>
      </c>
      <c r="H2177" s="10" t="s">
        <v>21</v>
      </c>
      <c r="I2177" s="10" t="s">
        <v>55</v>
      </c>
      <c r="J2177" s="10" t="str">
        <f>""</f>
        <v/>
      </c>
      <c r="K2177" s="10" t="str">
        <f>"PFES1162631836_0001"</f>
        <v>PFES1162631836_0001</v>
      </c>
      <c r="L2177" s="10">
        <v>1</v>
      </c>
      <c r="M2177" s="10">
        <v>12</v>
      </c>
    </row>
    <row r="2178" spans="1:13">
      <c r="A2178" s="8">
        <v>43277</v>
      </c>
      <c r="B2178" s="9">
        <v>0.65416666666666667</v>
      </c>
      <c r="C2178" s="10" t="str">
        <f>"FES1162631601"</f>
        <v>FES1162631601</v>
      </c>
      <c r="D2178" s="10" t="s">
        <v>19</v>
      </c>
      <c r="E2178" s="10" t="s">
        <v>978</v>
      </c>
      <c r="F2178" s="10" t="str">
        <f>"2170638423 "</f>
        <v xml:space="preserve">2170638423 </v>
      </c>
      <c r="G2178" s="10" t="str">
        <f t="shared" si="61"/>
        <v>ON1</v>
      </c>
      <c r="H2178" s="10" t="s">
        <v>21</v>
      </c>
      <c r="I2178" s="10" t="s">
        <v>979</v>
      </c>
      <c r="J2178" s="10" t="str">
        <f>""</f>
        <v/>
      </c>
      <c r="K2178" s="10" t="str">
        <f>"PFES1162631601_0001"</f>
        <v>PFES1162631601_0001</v>
      </c>
      <c r="L2178" s="10">
        <v>1</v>
      </c>
      <c r="M2178" s="10">
        <v>9</v>
      </c>
    </row>
    <row r="2179" spans="1:13">
      <c r="A2179" s="8">
        <v>43277</v>
      </c>
      <c r="B2179" s="9">
        <v>0.65347222222222223</v>
      </c>
      <c r="C2179" s="10" t="str">
        <f>"FES1162631665"</f>
        <v>FES1162631665</v>
      </c>
      <c r="D2179" s="10" t="s">
        <v>19</v>
      </c>
      <c r="E2179" s="10" t="s">
        <v>327</v>
      </c>
      <c r="F2179" s="10" t="str">
        <f>"2170636328 "</f>
        <v xml:space="preserve">2170636328 </v>
      </c>
      <c r="G2179" s="10" t="str">
        <f t="shared" si="61"/>
        <v>ON1</v>
      </c>
      <c r="H2179" s="10" t="s">
        <v>21</v>
      </c>
      <c r="I2179" s="10" t="s">
        <v>69</v>
      </c>
      <c r="J2179" s="10" t="str">
        <f>""</f>
        <v/>
      </c>
      <c r="K2179" s="10" t="str">
        <f>"PFES1162631665_0001"</f>
        <v>PFES1162631665_0001</v>
      </c>
      <c r="L2179" s="10">
        <v>1</v>
      </c>
      <c r="M2179" s="10">
        <v>3</v>
      </c>
    </row>
    <row r="2180" spans="1:13">
      <c r="A2180" s="8">
        <v>43277</v>
      </c>
      <c r="B2180" s="9">
        <v>0.65208333333333335</v>
      </c>
      <c r="C2180" s="10" t="str">
        <f>"FES1162631711"</f>
        <v>FES1162631711</v>
      </c>
      <c r="D2180" s="10" t="s">
        <v>19</v>
      </c>
      <c r="E2180" s="10" t="s">
        <v>660</v>
      </c>
      <c r="F2180" s="10" t="str">
        <f>"2170635403 "</f>
        <v xml:space="preserve">2170635403 </v>
      </c>
      <c r="G2180" s="10" t="str">
        <f t="shared" si="61"/>
        <v>ON1</v>
      </c>
      <c r="H2180" s="10" t="s">
        <v>21</v>
      </c>
      <c r="I2180" s="10" t="s">
        <v>93</v>
      </c>
      <c r="J2180" s="10" t="str">
        <f>""</f>
        <v/>
      </c>
      <c r="K2180" s="10" t="str">
        <f>"PFES1162631711_0001"</f>
        <v>PFES1162631711_0001</v>
      </c>
      <c r="L2180" s="10">
        <v>1</v>
      </c>
      <c r="M2180" s="10">
        <v>4</v>
      </c>
    </row>
    <row r="2181" spans="1:13">
      <c r="A2181" s="8">
        <v>43277</v>
      </c>
      <c r="B2181" s="9">
        <v>0.65138888888888891</v>
      </c>
      <c r="C2181" s="10" t="str">
        <f>"FES1162631507"</f>
        <v>FES1162631507</v>
      </c>
      <c r="D2181" s="10" t="s">
        <v>19</v>
      </c>
      <c r="E2181" s="10" t="s">
        <v>577</v>
      </c>
      <c r="F2181" s="10" t="str">
        <f>"2170636167 "</f>
        <v xml:space="preserve">2170636167 </v>
      </c>
      <c r="G2181" s="10" t="str">
        <f t="shared" si="61"/>
        <v>ON1</v>
      </c>
      <c r="H2181" s="10" t="s">
        <v>21</v>
      </c>
      <c r="I2181" s="10" t="s">
        <v>578</v>
      </c>
      <c r="J2181" s="10" t="str">
        <f>""</f>
        <v/>
      </c>
      <c r="K2181" s="10" t="str">
        <f>"PFES1162631507_0001"</f>
        <v>PFES1162631507_0001</v>
      </c>
      <c r="L2181" s="10">
        <v>1</v>
      </c>
      <c r="M2181" s="10">
        <v>5</v>
      </c>
    </row>
    <row r="2182" spans="1:13">
      <c r="A2182" s="8">
        <v>43277</v>
      </c>
      <c r="B2182" s="9">
        <v>0.65</v>
      </c>
      <c r="C2182" s="10" t="str">
        <f>"FES1162631852"</f>
        <v>FES1162631852</v>
      </c>
      <c r="D2182" s="10" t="s">
        <v>19</v>
      </c>
      <c r="E2182" s="10" t="s">
        <v>105</v>
      </c>
      <c r="F2182" s="10" t="str">
        <f>"2170638670 "</f>
        <v xml:space="preserve">2170638670 </v>
      </c>
      <c r="G2182" s="10" t="str">
        <f t="shared" si="61"/>
        <v>ON1</v>
      </c>
      <c r="H2182" s="10" t="s">
        <v>21</v>
      </c>
      <c r="I2182" s="10" t="s">
        <v>106</v>
      </c>
      <c r="J2182" s="10" t="str">
        <f>""</f>
        <v/>
      </c>
      <c r="K2182" s="10" t="str">
        <f>"PFES1162631852_0001"</f>
        <v>PFES1162631852_0001</v>
      </c>
      <c r="L2182" s="10">
        <v>1</v>
      </c>
      <c r="M2182" s="10">
        <v>1</v>
      </c>
    </row>
    <row r="2183" spans="1:13">
      <c r="A2183" s="8">
        <v>43277</v>
      </c>
      <c r="B2183" s="9">
        <v>0.64930555555555558</v>
      </c>
      <c r="C2183" s="10" t="str">
        <f>"FES1162631833"</f>
        <v>FES1162631833</v>
      </c>
      <c r="D2183" s="10" t="s">
        <v>19</v>
      </c>
      <c r="E2183" s="10" t="s">
        <v>242</v>
      </c>
      <c r="F2183" s="10" t="str">
        <f>"2170633208 "</f>
        <v xml:space="preserve">2170633208 </v>
      </c>
      <c r="G2183" s="10" t="str">
        <f t="shared" si="61"/>
        <v>ON1</v>
      </c>
      <c r="H2183" s="10" t="s">
        <v>21</v>
      </c>
      <c r="I2183" s="10" t="s">
        <v>55</v>
      </c>
      <c r="J2183" s="10" t="str">
        <f>""</f>
        <v/>
      </c>
      <c r="K2183" s="10" t="str">
        <f>"PFES1162631833_0001"</f>
        <v>PFES1162631833_0001</v>
      </c>
      <c r="L2183" s="10">
        <v>1</v>
      </c>
      <c r="M2183" s="10">
        <v>18</v>
      </c>
    </row>
    <row r="2184" spans="1:13">
      <c r="A2184" s="8">
        <v>43277</v>
      </c>
      <c r="B2184" s="9">
        <v>0.64861111111111114</v>
      </c>
      <c r="C2184" s="10" t="str">
        <f>"FES1162631650"</f>
        <v>FES1162631650</v>
      </c>
      <c r="D2184" s="10" t="s">
        <v>19</v>
      </c>
      <c r="E2184" s="10" t="s">
        <v>58</v>
      </c>
      <c r="F2184" s="10" t="str">
        <f>"2170636173 "</f>
        <v xml:space="preserve">2170636173 </v>
      </c>
      <c r="G2184" s="10" t="str">
        <f t="shared" si="61"/>
        <v>ON1</v>
      </c>
      <c r="H2184" s="10" t="s">
        <v>21</v>
      </c>
      <c r="I2184" s="10" t="s">
        <v>59</v>
      </c>
      <c r="J2184" s="10" t="str">
        <f>""</f>
        <v/>
      </c>
      <c r="K2184" s="10" t="str">
        <f>"PFES1162631650_0001"</f>
        <v>PFES1162631650_0001</v>
      </c>
      <c r="L2184" s="10">
        <v>1</v>
      </c>
      <c r="M2184" s="10">
        <v>2</v>
      </c>
    </row>
    <row r="2185" spans="1:13">
      <c r="A2185" s="8">
        <v>43277</v>
      </c>
      <c r="B2185" s="9">
        <v>0.64722222222222225</v>
      </c>
      <c r="C2185" s="10" t="str">
        <f>"FES1162631557"</f>
        <v>FES1162631557</v>
      </c>
      <c r="D2185" s="10" t="s">
        <v>19</v>
      </c>
      <c r="E2185" s="10" t="s">
        <v>306</v>
      </c>
      <c r="F2185" s="10" t="str">
        <f>"2170638450 "</f>
        <v xml:space="preserve">2170638450 </v>
      </c>
      <c r="G2185" s="10" t="str">
        <f t="shared" si="61"/>
        <v>ON1</v>
      </c>
      <c r="H2185" s="10" t="s">
        <v>21</v>
      </c>
      <c r="I2185" s="10" t="s">
        <v>36</v>
      </c>
      <c r="J2185" s="10" t="str">
        <f>""</f>
        <v/>
      </c>
      <c r="K2185" s="10" t="str">
        <f>"PFES1162631557_0001"</f>
        <v>PFES1162631557_0001</v>
      </c>
      <c r="L2185" s="10">
        <v>1</v>
      </c>
      <c r="M2185" s="10">
        <v>2</v>
      </c>
    </row>
    <row r="2186" spans="1:13">
      <c r="A2186" s="8">
        <v>43277</v>
      </c>
      <c r="B2186" s="9">
        <v>0.64583333333333337</v>
      </c>
      <c r="C2186" s="10" t="str">
        <f>"FES1162631669"</f>
        <v>FES1162631669</v>
      </c>
      <c r="D2186" s="10" t="s">
        <v>19</v>
      </c>
      <c r="E2186" s="10" t="s">
        <v>765</v>
      </c>
      <c r="F2186" s="10" t="str">
        <f>"2170636355 "</f>
        <v xml:space="preserve">2170636355 </v>
      </c>
      <c r="G2186" s="10" t="str">
        <f t="shared" si="61"/>
        <v>ON1</v>
      </c>
      <c r="H2186" s="10" t="s">
        <v>21</v>
      </c>
      <c r="I2186" s="10" t="s">
        <v>26</v>
      </c>
      <c r="J2186" s="10" t="str">
        <f>""</f>
        <v/>
      </c>
      <c r="K2186" s="10" t="str">
        <f>"PFES1162631669_0001"</f>
        <v>PFES1162631669_0001</v>
      </c>
      <c r="L2186" s="10">
        <v>1</v>
      </c>
      <c r="M2186" s="10">
        <v>3</v>
      </c>
    </row>
    <row r="2187" spans="1:13">
      <c r="A2187" s="8">
        <v>43277</v>
      </c>
      <c r="B2187" s="9">
        <v>0.64583333333333337</v>
      </c>
      <c r="C2187" s="10" t="str">
        <f>"FES1162631785"</f>
        <v>FES1162631785</v>
      </c>
      <c r="D2187" s="10" t="s">
        <v>19</v>
      </c>
      <c r="E2187" s="10" t="s">
        <v>72</v>
      </c>
      <c r="F2187" s="10" t="str">
        <f>"2170638584 "</f>
        <v xml:space="preserve">2170638584 </v>
      </c>
      <c r="G2187" s="10" t="str">
        <f t="shared" si="61"/>
        <v>ON1</v>
      </c>
      <c r="H2187" s="10" t="s">
        <v>21</v>
      </c>
      <c r="I2187" s="10" t="s">
        <v>73</v>
      </c>
      <c r="J2187" s="10" t="str">
        <f>""</f>
        <v/>
      </c>
      <c r="K2187" s="10" t="str">
        <f>"PFES1162631785_0001"</f>
        <v>PFES1162631785_0001</v>
      </c>
      <c r="L2187" s="10">
        <v>1</v>
      </c>
      <c r="M2187" s="10">
        <v>1</v>
      </c>
    </row>
    <row r="2188" spans="1:13">
      <c r="A2188" s="8">
        <v>43277</v>
      </c>
      <c r="B2188" s="9">
        <v>0.64513888888888882</v>
      </c>
      <c r="C2188" s="10" t="str">
        <f>"FES1162631559"</f>
        <v>FES1162631559</v>
      </c>
      <c r="D2188" s="10" t="s">
        <v>19</v>
      </c>
      <c r="E2188" s="10" t="s">
        <v>980</v>
      </c>
      <c r="F2188" s="10" t="str">
        <f>"2170638455 "</f>
        <v xml:space="preserve">2170638455 </v>
      </c>
      <c r="G2188" s="10" t="str">
        <f t="shared" si="61"/>
        <v>ON1</v>
      </c>
      <c r="H2188" s="10" t="s">
        <v>21</v>
      </c>
      <c r="I2188" s="10" t="s">
        <v>981</v>
      </c>
      <c r="J2188" s="10" t="str">
        <f>""</f>
        <v/>
      </c>
      <c r="K2188" s="10" t="str">
        <f>"PFES1162631559_0001"</f>
        <v>PFES1162631559_0001</v>
      </c>
      <c r="L2188" s="10">
        <v>1</v>
      </c>
      <c r="M2188" s="10">
        <v>12</v>
      </c>
    </row>
    <row r="2189" spans="1:13">
      <c r="A2189" s="8">
        <v>43277</v>
      </c>
      <c r="B2189" s="9">
        <v>0.64513888888888882</v>
      </c>
      <c r="C2189" s="10" t="str">
        <f>"FES1162631640"</f>
        <v>FES1162631640</v>
      </c>
      <c r="D2189" s="10" t="s">
        <v>19</v>
      </c>
      <c r="E2189" s="10" t="s">
        <v>67</v>
      </c>
      <c r="F2189" s="10" t="str">
        <f>"2170630628 "</f>
        <v xml:space="preserve">2170630628 </v>
      </c>
      <c r="G2189" s="10" t="str">
        <f t="shared" si="61"/>
        <v>ON1</v>
      </c>
      <c r="H2189" s="10" t="s">
        <v>21</v>
      </c>
      <c r="I2189" s="10" t="s">
        <v>397</v>
      </c>
      <c r="J2189" s="10" t="str">
        <f>""</f>
        <v/>
      </c>
      <c r="K2189" s="10" t="str">
        <f>"PFES1162631640_0001"</f>
        <v>PFES1162631640_0001</v>
      </c>
      <c r="L2189" s="10">
        <v>1</v>
      </c>
      <c r="M2189" s="10">
        <v>1</v>
      </c>
    </row>
    <row r="2190" spans="1:13">
      <c r="A2190" s="8">
        <v>43277</v>
      </c>
      <c r="B2190" s="9">
        <v>0.64444444444444449</v>
      </c>
      <c r="C2190" s="10" t="str">
        <f>"FES1162631651"</f>
        <v>FES1162631651</v>
      </c>
      <c r="D2190" s="10" t="s">
        <v>19</v>
      </c>
      <c r="E2190" s="10" t="s">
        <v>385</v>
      </c>
      <c r="F2190" s="10" t="str">
        <f>"2170636175 "</f>
        <v xml:space="preserve">2170636175 </v>
      </c>
      <c r="G2190" s="10" t="str">
        <f t="shared" si="61"/>
        <v>ON1</v>
      </c>
      <c r="H2190" s="10" t="s">
        <v>21</v>
      </c>
      <c r="I2190" s="10" t="s">
        <v>386</v>
      </c>
      <c r="J2190" s="10" t="str">
        <f>""</f>
        <v/>
      </c>
      <c r="K2190" s="10" t="str">
        <f>"PFES1162631651_0001"</f>
        <v>PFES1162631651_0001</v>
      </c>
      <c r="L2190" s="10">
        <v>1</v>
      </c>
      <c r="M2190" s="10">
        <v>1</v>
      </c>
    </row>
    <row r="2191" spans="1:13">
      <c r="A2191" s="8">
        <v>43277</v>
      </c>
      <c r="B2191" s="9">
        <v>0.64444444444444449</v>
      </c>
      <c r="C2191" s="10" t="str">
        <f>"FES1162631517"</f>
        <v>FES1162631517</v>
      </c>
      <c r="D2191" s="10" t="s">
        <v>19</v>
      </c>
      <c r="E2191" s="10" t="s">
        <v>187</v>
      </c>
      <c r="F2191" s="10" t="str">
        <f>"2170637292 "</f>
        <v xml:space="preserve">2170637292 </v>
      </c>
      <c r="G2191" s="10" t="str">
        <f t="shared" si="61"/>
        <v>ON1</v>
      </c>
      <c r="H2191" s="10" t="s">
        <v>21</v>
      </c>
      <c r="I2191" s="10" t="s">
        <v>32</v>
      </c>
      <c r="J2191" s="10" t="str">
        <f>""</f>
        <v/>
      </c>
      <c r="K2191" s="10" t="str">
        <f>"PFES1162631517_0001"</f>
        <v>PFES1162631517_0001</v>
      </c>
      <c r="L2191" s="10">
        <v>1</v>
      </c>
      <c r="M2191" s="10">
        <v>4</v>
      </c>
    </row>
    <row r="2192" spans="1:13">
      <c r="A2192" s="8">
        <v>43277</v>
      </c>
      <c r="B2192" s="9">
        <v>0.64374999999999993</v>
      </c>
      <c r="C2192" s="10" t="str">
        <f>"FES1162631799"</f>
        <v>FES1162631799</v>
      </c>
      <c r="D2192" s="10" t="s">
        <v>19</v>
      </c>
      <c r="E2192" s="10" t="s">
        <v>101</v>
      </c>
      <c r="F2192" s="10" t="str">
        <f>"2170638598 "</f>
        <v xml:space="preserve">2170638598 </v>
      </c>
      <c r="G2192" s="10" t="str">
        <f t="shared" si="61"/>
        <v>ON1</v>
      </c>
      <c r="H2192" s="10" t="s">
        <v>21</v>
      </c>
      <c r="I2192" s="10" t="s">
        <v>102</v>
      </c>
      <c r="J2192" s="10" t="str">
        <f>""</f>
        <v/>
      </c>
      <c r="K2192" s="10" t="str">
        <f>"PFES1162631799_0001"</f>
        <v>PFES1162631799_0001</v>
      </c>
      <c r="L2192" s="10">
        <v>1</v>
      </c>
      <c r="M2192" s="10">
        <v>1</v>
      </c>
    </row>
    <row r="2193" spans="1:13">
      <c r="A2193" s="8">
        <v>43277</v>
      </c>
      <c r="B2193" s="9">
        <v>0.6430555555555556</v>
      </c>
      <c r="C2193" s="10" t="str">
        <f>"FES1162631747"</f>
        <v>FES1162631747</v>
      </c>
      <c r="D2193" s="10" t="s">
        <v>19</v>
      </c>
      <c r="E2193" s="10" t="s">
        <v>99</v>
      </c>
      <c r="F2193" s="10" t="str">
        <f>"2170638537 "</f>
        <v xml:space="preserve">2170638537 </v>
      </c>
      <c r="G2193" s="10" t="str">
        <f t="shared" si="61"/>
        <v>ON1</v>
      </c>
      <c r="H2193" s="10" t="s">
        <v>21</v>
      </c>
      <c r="I2193" s="10" t="s">
        <v>100</v>
      </c>
      <c r="J2193" s="10" t="str">
        <f>""</f>
        <v/>
      </c>
      <c r="K2193" s="10" t="str">
        <f>"PFES1162631747_0001"</f>
        <v>PFES1162631747_0001</v>
      </c>
      <c r="L2193" s="10">
        <v>1</v>
      </c>
      <c r="M2193" s="10">
        <v>1</v>
      </c>
    </row>
    <row r="2194" spans="1:13">
      <c r="A2194" s="8">
        <v>43277</v>
      </c>
      <c r="B2194" s="9">
        <v>0.6430555555555556</v>
      </c>
      <c r="C2194" s="10" t="str">
        <f>"FES1162631804"</f>
        <v>FES1162631804</v>
      </c>
      <c r="D2194" s="10" t="s">
        <v>19</v>
      </c>
      <c r="E2194" s="10" t="s">
        <v>179</v>
      </c>
      <c r="F2194" s="10" t="str">
        <f>"2170638609 "</f>
        <v xml:space="preserve">2170638609 </v>
      </c>
      <c r="G2194" s="10" t="str">
        <f t="shared" si="61"/>
        <v>ON1</v>
      </c>
      <c r="H2194" s="10" t="s">
        <v>21</v>
      </c>
      <c r="I2194" s="10" t="s">
        <v>180</v>
      </c>
      <c r="J2194" s="10" t="str">
        <f>""</f>
        <v/>
      </c>
      <c r="K2194" s="10" t="str">
        <f>"PFES1162631804_0001"</f>
        <v>PFES1162631804_0001</v>
      </c>
      <c r="L2194" s="10">
        <v>1</v>
      </c>
      <c r="M2194" s="10">
        <v>1</v>
      </c>
    </row>
    <row r="2195" spans="1:13">
      <c r="A2195" s="8">
        <v>43277</v>
      </c>
      <c r="B2195" s="9">
        <v>0.6430555555555556</v>
      </c>
      <c r="C2195" s="10" t="str">
        <f>"FES1162631531"</f>
        <v>FES1162631531</v>
      </c>
      <c r="D2195" s="10" t="s">
        <v>19</v>
      </c>
      <c r="E2195" s="10" t="s">
        <v>67</v>
      </c>
      <c r="F2195" s="10" t="str">
        <f>"2170638191 "</f>
        <v xml:space="preserve">2170638191 </v>
      </c>
      <c r="G2195" s="10" t="str">
        <f t="shared" si="61"/>
        <v>ON1</v>
      </c>
      <c r="H2195" s="10" t="s">
        <v>21</v>
      </c>
      <c r="I2195" s="10" t="s">
        <v>32</v>
      </c>
      <c r="J2195" s="10" t="str">
        <f>""</f>
        <v/>
      </c>
      <c r="K2195" s="10" t="str">
        <f>"PFES1162631531_0001"</f>
        <v>PFES1162631531_0001</v>
      </c>
      <c r="L2195" s="10">
        <v>1</v>
      </c>
      <c r="M2195" s="10">
        <v>4</v>
      </c>
    </row>
    <row r="2196" spans="1:13">
      <c r="A2196" s="8">
        <v>43277</v>
      </c>
      <c r="B2196" s="9">
        <v>0.64166666666666672</v>
      </c>
      <c r="C2196" s="10" t="str">
        <f>"FES1162631718"</f>
        <v>FES1162631718</v>
      </c>
      <c r="D2196" s="10" t="s">
        <v>19</v>
      </c>
      <c r="E2196" s="10" t="s">
        <v>372</v>
      </c>
      <c r="F2196" s="10" t="str">
        <f>"2170635491 "</f>
        <v xml:space="preserve">2170635491 </v>
      </c>
      <c r="G2196" s="10" t="str">
        <f t="shared" si="61"/>
        <v>ON1</v>
      </c>
      <c r="H2196" s="10" t="s">
        <v>21</v>
      </c>
      <c r="I2196" s="10" t="s">
        <v>93</v>
      </c>
      <c r="J2196" s="10" t="str">
        <f>""</f>
        <v/>
      </c>
      <c r="K2196" s="10" t="str">
        <f>"PFES1162631718_0001"</f>
        <v>PFES1162631718_0001</v>
      </c>
      <c r="L2196" s="10">
        <v>1</v>
      </c>
      <c r="M2196" s="10">
        <v>1</v>
      </c>
    </row>
    <row r="2197" spans="1:13">
      <c r="A2197" s="8">
        <v>43277</v>
      </c>
      <c r="B2197" s="9">
        <v>0.64166666666666672</v>
      </c>
      <c r="C2197" s="10" t="str">
        <f>"FES1162631719"</f>
        <v>FES1162631719</v>
      </c>
      <c r="D2197" s="10" t="s">
        <v>19</v>
      </c>
      <c r="E2197" s="10" t="s">
        <v>372</v>
      </c>
      <c r="F2197" s="10" t="str">
        <f>"2170635492 "</f>
        <v xml:space="preserve">2170635492 </v>
      </c>
      <c r="G2197" s="10" t="str">
        <f t="shared" si="61"/>
        <v>ON1</v>
      </c>
      <c r="H2197" s="10" t="s">
        <v>21</v>
      </c>
      <c r="I2197" s="10" t="s">
        <v>93</v>
      </c>
      <c r="J2197" s="10" t="str">
        <f>""</f>
        <v/>
      </c>
      <c r="K2197" s="10" t="str">
        <f>"PFES1162631719_0001"</f>
        <v>PFES1162631719_0001</v>
      </c>
      <c r="L2197" s="10">
        <v>1</v>
      </c>
      <c r="M2197" s="10">
        <v>1</v>
      </c>
    </row>
    <row r="2198" spans="1:13">
      <c r="A2198" s="8">
        <v>43277</v>
      </c>
      <c r="B2198" s="9">
        <v>0.64166666666666672</v>
      </c>
      <c r="C2198" s="10" t="str">
        <f>"FES1162631768"</f>
        <v>FES1162631768</v>
      </c>
      <c r="D2198" s="10" t="s">
        <v>19</v>
      </c>
      <c r="E2198" s="10" t="s">
        <v>809</v>
      </c>
      <c r="F2198" s="10" t="str">
        <f>"2170638565 "</f>
        <v xml:space="preserve">2170638565 </v>
      </c>
      <c r="G2198" s="10" t="str">
        <f t="shared" si="61"/>
        <v>ON1</v>
      </c>
      <c r="H2198" s="10" t="s">
        <v>21</v>
      </c>
      <c r="I2198" s="10" t="s">
        <v>810</v>
      </c>
      <c r="J2198" s="10" t="str">
        <f>""</f>
        <v/>
      </c>
      <c r="K2198" s="10" t="str">
        <f>"PFES1162631768_0001"</f>
        <v>PFES1162631768_0001</v>
      </c>
      <c r="L2198" s="10">
        <v>1</v>
      </c>
      <c r="M2198" s="10">
        <v>18</v>
      </c>
    </row>
    <row r="2199" spans="1:13">
      <c r="A2199" s="8">
        <v>43277</v>
      </c>
      <c r="B2199" s="9">
        <v>0.64097222222222217</v>
      </c>
      <c r="C2199" s="10" t="str">
        <f>"FES1162631780"</f>
        <v>FES1162631780</v>
      </c>
      <c r="D2199" s="10" t="s">
        <v>19</v>
      </c>
      <c r="E2199" s="10" t="s">
        <v>660</v>
      </c>
      <c r="F2199" s="10" t="str">
        <f>"2170637237 "</f>
        <v xml:space="preserve">2170637237 </v>
      </c>
      <c r="G2199" s="10" t="str">
        <f t="shared" si="61"/>
        <v>ON1</v>
      </c>
      <c r="H2199" s="10" t="s">
        <v>21</v>
      </c>
      <c r="I2199" s="10" t="s">
        <v>93</v>
      </c>
      <c r="J2199" s="10" t="str">
        <f>""</f>
        <v/>
      </c>
      <c r="K2199" s="10" t="str">
        <f>"PFES1162631780_0001"</f>
        <v>PFES1162631780_0001</v>
      </c>
      <c r="L2199" s="10">
        <v>1</v>
      </c>
      <c r="M2199" s="10">
        <v>1</v>
      </c>
    </row>
    <row r="2200" spans="1:13">
      <c r="A2200" s="8">
        <v>43277</v>
      </c>
      <c r="B2200" s="9">
        <v>0.64097222222222217</v>
      </c>
      <c r="C2200" s="10" t="str">
        <f>"FES1162631803"</f>
        <v>FES1162631803</v>
      </c>
      <c r="D2200" s="10" t="s">
        <v>19</v>
      </c>
      <c r="E2200" s="10" t="s">
        <v>982</v>
      </c>
      <c r="F2200" s="10" t="str">
        <f>"2170638607 "</f>
        <v xml:space="preserve">2170638607 </v>
      </c>
      <c r="G2200" s="10" t="str">
        <f t="shared" si="61"/>
        <v>ON1</v>
      </c>
      <c r="H2200" s="10" t="s">
        <v>21</v>
      </c>
      <c r="I2200" s="10" t="s">
        <v>469</v>
      </c>
      <c r="J2200" s="10" t="str">
        <f>""</f>
        <v/>
      </c>
      <c r="K2200" s="10" t="str">
        <f>"PFES1162631803_0001"</f>
        <v>PFES1162631803_0001</v>
      </c>
      <c r="L2200" s="10">
        <v>1</v>
      </c>
      <c r="M2200" s="10">
        <v>1</v>
      </c>
    </row>
    <row r="2201" spans="1:13">
      <c r="A2201" s="8">
        <v>43277</v>
      </c>
      <c r="B2201" s="9">
        <v>0.64027777777777783</v>
      </c>
      <c r="C2201" s="10" t="str">
        <f>"FES1162631731"</f>
        <v>FES1162631731</v>
      </c>
      <c r="D2201" s="10" t="s">
        <v>19</v>
      </c>
      <c r="E2201" s="10" t="s">
        <v>743</v>
      </c>
      <c r="F2201" s="10" t="str">
        <f>"2170635706 "</f>
        <v xml:space="preserve">2170635706 </v>
      </c>
      <c r="G2201" s="10" t="str">
        <f t="shared" si="61"/>
        <v>ON1</v>
      </c>
      <c r="H2201" s="10" t="s">
        <v>21</v>
      </c>
      <c r="I2201" s="10" t="s">
        <v>290</v>
      </c>
      <c r="J2201" s="10" t="str">
        <f>""</f>
        <v/>
      </c>
      <c r="K2201" s="10" t="str">
        <f>"PFES1162631731_0001"</f>
        <v>PFES1162631731_0001</v>
      </c>
      <c r="L2201" s="10">
        <v>1</v>
      </c>
      <c r="M2201" s="10">
        <v>1</v>
      </c>
    </row>
    <row r="2202" spans="1:13">
      <c r="A2202" s="8">
        <v>43277</v>
      </c>
      <c r="B2202" s="9">
        <v>0.64027777777777783</v>
      </c>
      <c r="C2202" s="10" t="str">
        <f>"FES1162631831"</f>
        <v>FES1162631831</v>
      </c>
      <c r="D2202" s="10" t="s">
        <v>19</v>
      </c>
      <c r="E2202" s="10" t="s">
        <v>468</v>
      </c>
      <c r="F2202" s="10" t="str">
        <f>"2170638637 "</f>
        <v xml:space="preserve">2170638637 </v>
      </c>
      <c r="G2202" s="10" t="str">
        <f t="shared" si="61"/>
        <v>ON1</v>
      </c>
      <c r="H2202" s="10" t="s">
        <v>21</v>
      </c>
      <c r="I2202" s="10" t="s">
        <v>469</v>
      </c>
      <c r="J2202" s="10" t="str">
        <f>""</f>
        <v/>
      </c>
      <c r="K2202" s="10" t="str">
        <f>"PFES1162631831_0001"</f>
        <v>PFES1162631831_0001</v>
      </c>
      <c r="L2202" s="10">
        <v>1</v>
      </c>
      <c r="M2202" s="10">
        <v>6</v>
      </c>
    </row>
    <row r="2203" spans="1:13">
      <c r="A2203" s="8">
        <v>43277</v>
      </c>
      <c r="B2203" s="9">
        <v>0.63888888888888895</v>
      </c>
      <c r="C2203" s="10" t="str">
        <f>"FES1162631732"</f>
        <v>FES1162631732</v>
      </c>
      <c r="D2203" s="10" t="s">
        <v>19</v>
      </c>
      <c r="E2203" s="10" t="s">
        <v>314</v>
      </c>
      <c r="F2203" s="10" t="str">
        <f>"2170635709 "</f>
        <v xml:space="preserve">2170635709 </v>
      </c>
      <c r="G2203" s="10" t="str">
        <f t="shared" si="61"/>
        <v>ON1</v>
      </c>
      <c r="H2203" s="10" t="s">
        <v>21</v>
      </c>
      <c r="I2203" s="10" t="s">
        <v>57</v>
      </c>
      <c r="J2203" s="10" t="str">
        <f>""</f>
        <v/>
      </c>
      <c r="K2203" s="10" t="str">
        <f>"PFES1162631732_0001"</f>
        <v>PFES1162631732_0001</v>
      </c>
      <c r="L2203" s="10">
        <v>1</v>
      </c>
      <c r="M2203" s="10">
        <v>3</v>
      </c>
    </row>
    <row r="2204" spans="1:13">
      <c r="A2204" s="8">
        <v>43277</v>
      </c>
      <c r="B2204" s="9">
        <v>0.63750000000000007</v>
      </c>
      <c r="C2204" s="10" t="str">
        <f>"FES1162631573"</f>
        <v>FES1162631573</v>
      </c>
      <c r="D2204" s="10" t="s">
        <v>19</v>
      </c>
      <c r="E2204" s="10" t="s">
        <v>185</v>
      </c>
      <c r="F2204" s="10" t="str">
        <f>"2170638475 "</f>
        <v xml:space="preserve">2170638475 </v>
      </c>
      <c r="G2204" s="10" t="str">
        <f t="shared" si="61"/>
        <v>ON1</v>
      </c>
      <c r="H2204" s="10" t="s">
        <v>21</v>
      </c>
      <c r="I2204" s="10" t="s">
        <v>186</v>
      </c>
      <c r="J2204" s="10" t="str">
        <f>""</f>
        <v/>
      </c>
      <c r="K2204" s="10" t="str">
        <f>"PFES1162631573_0001"</f>
        <v>PFES1162631573_0001</v>
      </c>
      <c r="L2204" s="10">
        <v>1</v>
      </c>
      <c r="M2204" s="10">
        <v>7</v>
      </c>
    </row>
    <row r="2205" spans="1:13">
      <c r="A2205" s="8">
        <v>43277</v>
      </c>
      <c r="B2205" s="9">
        <v>0.63611111111111118</v>
      </c>
      <c r="C2205" s="10" t="str">
        <f>"FES1162631648"</f>
        <v>FES1162631648</v>
      </c>
      <c r="D2205" s="10" t="s">
        <v>19</v>
      </c>
      <c r="E2205" s="10" t="s">
        <v>372</v>
      </c>
      <c r="F2205" s="10" t="str">
        <f>"2170636161 "</f>
        <v xml:space="preserve">2170636161 </v>
      </c>
      <c r="G2205" s="10" t="str">
        <f t="shared" si="61"/>
        <v>ON1</v>
      </c>
      <c r="H2205" s="10" t="s">
        <v>21</v>
      </c>
      <c r="I2205" s="10" t="s">
        <v>93</v>
      </c>
      <c r="J2205" s="10" t="str">
        <f>""</f>
        <v/>
      </c>
      <c r="K2205" s="10" t="str">
        <f>"PFES1162631648_0001"</f>
        <v>PFES1162631648_0001</v>
      </c>
      <c r="L2205" s="10">
        <v>1</v>
      </c>
      <c r="M2205" s="10">
        <v>13</v>
      </c>
    </row>
    <row r="2206" spans="1:13">
      <c r="A2206" s="8">
        <v>43277</v>
      </c>
      <c r="B2206" s="9">
        <v>0.63472222222222219</v>
      </c>
      <c r="C2206" s="10" t="str">
        <f>"FES1162631647"</f>
        <v>FES1162631647</v>
      </c>
      <c r="D2206" s="10" t="s">
        <v>19</v>
      </c>
      <c r="E2206" s="10" t="s">
        <v>372</v>
      </c>
      <c r="F2206" s="10" t="str">
        <f>"2170636160 "</f>
        <v xml:space="preserve">2170636160 </v>
      </c>
      <c r="G2206" s="10" t="str">
        <f t="shared" si="61"/>
        <v>ON1</v>
      </c>
      <c r="H2206" s="10" t="s">
        <v>21</v>
      </c>
      <c r="I2206" s="10" t="s">
        <v>93</v>
      </c>
      <c r="J2206" s="10" t="str">
        <f>""</f>
        <v/>
      </c>
      <c r="K2206" s="10" t="str">
        <f>"PFES1162631647_0001"</f>
        <v>PFES1162631647_0001</v>
      </c>
      <c r="L2206" s="10">
        <v>1</v>
      </c>
      <c r="M2206" s="10">
        <v>13</v>
      </c>
    </row>
    <row r="2207" spans="1:13">
      <c r="A2207" s="8">
        <v>43277</v>
      </c>
      <c r="B2207" s="9">
        <v>0.63124999999999998</v>
      </c>
      <c r="C2207" s="10" t="str">
        <f>"FES1162631695"</f>
        <v>FES1162631695</v>
      </c>
      <c r="D2207" s="10" t="s">
        <v>19</v>
      </c>
      <c r="E2207" s="10" t="s">
        <v>235</v>
      </c>
      <c r="F2207" s="10" t="str">
        <f>"2170637366 "</f>
        <v xml:space="preserve">2170637366 </v>
      </c>
      <c r="G2207" s="10" t="str">
        <f t="shared" si="61"/>
        <v>ON1</v>
      </c>
      <c r="H2207" s="10" t="s">
        <v>21</v>
      </c>
      <c r="I2207" s="10" t="s">
        <v>26</v>
      </c>
      <c r="J2207" s="10" t="str">
        <f>""</f>
        <v/>
      </c>
      <c r="K2207" s="10" t="str">
        <f>"PFES1162631695_0001"</f>
        <v>PFES1162631695_0001</v>
      </c>
      <c r="L2207" s="10">
        <v>1</v>
      </c>
      <c r="M2207" s="10">
        <v>1</v>
      </c>
    </row>
    <row r="2208" spans="1:13">
      <c r="A2208" s="8">
        <v>43277</v>
      </c>
      <c r="B2208" s="9">
        <v>0.63124999999999998</v>
      </c>
      <c r="C2208" s="10" t="str">
        <f>"FES1162631717"</f>
        <v>FES1162631717</v>
      </c>
      <c r="D2208" s="10" t="s">
        <v>19</v>
      </c>
      <c r="E2208" s="10" t="s">
        <v>837</v>
      </c>
      <c r="F2208" s="10" t="str">
        <f>"21706357485 "</f>
        <v xml:space="preserve">21706357485 </v>
      </c>
      <c r="G2208" s="10" t="str">
        <f t="shared" si="61"/>
        <v>ON1</v>
      </c>
      <c r="H2208" s="10" t="s">
        <v>21</v>
      </c>
      <c r="I2208" s="10" t="s">
        <v>767</v>
      </c>
      <c r="J2208" s="10" t="str">
        <f>""</f>
        <v/>
      </c>
      <c r="K2208" s="10" t="str">
        <f>"PFES1162631717_0001"</f>
        <v>PFES1162631717_0001</v>
      </c>
      <c r="L2208" s="10">
        <v>1</v>
      </c>
      <c r="M2208" s="10">
        <v>1</v>
      </c>
    </row>
    <row r="2209" spans="1:13">
      <c r="A2209" s="8">
        <v>43277</v>
      </c>
      <c r="B2209" s="9">
        <v>0.63055555555555554</v>
      </c>
      <c r="C2209" s="10" t="str">
        <f>"FES1162631800"</f>
        <v>FES1162631800</v>
      </c>
      <c r="D2209" s="10" t="s">
        <v>19</v>
      </c>
      <c r="E2209" s="10" t="s">
        <v>72</v>
      </c>
      <c r="F2209" s="10" t="str">
        <f>"2170638601 "</f>
        <v xml:space="preserve">2170638601 </v>
      </c>
      <c r="G2209" s="10" t="str">
        <f t="shared" si="61"/>
        <v>ON1</v>
      </c>
      <c r="H2209" s="10" t="s">
        <v>21</v>
      </c>
      <c r="I2209" s="10" t="s">
        <v>73</v>
      </c>
      <c r="J2209" s="10" t="str">
        <f>""</f>
        <v/>
      </c>
      <c r="K2209" s="10" t="str">
        <f>"PFES1162631800_0001"</f>
        <v>PFES1162631800_0001</v>
      </c>
      <c r="L2209" s="10">
        <v>1</v>
      </c>
      <c r="M2209" s="10">
        <v>1</v>
      </c>
    </row>
    <row r="2210" spans="1:13">
      <c r="A2210" s="8">
        <v>43277</v>
      </c>
      <c r="B2210" s="9">
        <v>0.63055555555555554</v>
      </c>
      <c r="C2210" s="10" t="str">
        <f>"FES1162631664"</f>
        <v>FES1162631664</v>
      </c>
      <c r="D2210" s="10" t="s">
        <v>19</v>
      </c>
      <c r="E2210" s="10" t="s">
        <v>175</v>
      </c>
      <c r="F2210" s="10" t="str">
        <f>"2170636326 "</f>
        <v xml:space="preserve">2170636326 </v>
      </c>
      <c r="G2210" s="10" t="str">
        <f t="shared" si="61"/>
        <v>ON1</v>
      </c>
      <c r="H2210" s="10" t="s">
        <v>21</v>
      </c>
      <c r="I2210" s="10" t="s">
        <v>176</v>
      </c>
      <c r="J2210" s="10" t="str">
        <f>""</f>
        <v/>
      </c>
      <c r="K2210" s="10" t="str">
        <f>"PFES1162631664_0001"</f>
        <v>PFES1162631664_0001</v>
      </c>
      <c r="L2210" s="10">
        <v>1</v>
      </c>
      <c r="M2210" s="10">
        <v>1</v>
      </c>
    </row>
    <row r="2211" spans="1:13">
      <c r="A2211" s="8">
        <v>43277</v>
      </c>
      <c r="B2211" s="9">
        <v>0.63055555555555554</v>
      </c>
      <c r="C2211" s="10" t="str">
        <f>"FES1162631697"</f>
        <v>FES1162631697</v>
      </c>
      <c r="D2211" s="10" t="s">
        <v>19</v>
      </c>
      <c r="E2211" s="10" t="s">
        <v>379</v>
      </c>
      <c r="F2211" s="10" t="str">
        <f>"2170638444 "</f>
        <v xml:space="preserve">2170638444 </v>
      </c>
      <c r="G2211" s="10" t="str">
        <f t="shared" si="61"/>
        <v>ON1</v>
      </c>
      <c r="H2211" s="10" t="s">
        <v>21</v>
      </c>
      <c r="I2211" s="10" t="s">
        <v>380</v>
      </c>
      <c r="J2211" s="10" t="str">
        <f>""</f>
        <v/>
      </c>
      <c r="K2211" s="10" t="str">
        <f>"PFES1162631697_0001"</f>
        <v>PFES1162631697_0001</v>
      </c>
      <c r="L2211" s="10">
        <v>1</v>
      </c>
      <c r="M2211" s="10">
        <v>1</v>
      </c>
    </row>
    <row r="2212" spans="1:13">
      <c r="A2212" s="8">
        <v>43277</v>
      </c>
      <c r="B2212" s="9">
        <v>0.62986111111111109</v>
      </c>
      <c r="C2212" s="10" t="str">
        <f>"FES1162631668"</f>
        <v>FES1162631668</v>
      </c>
      <c r="D2212" s="10" t="s">
        <v>19</v>
      </c>
      <c r="E2212" s="10" t="s">
        <v>466</v>
      </c>
      <c r="F2212" s="10" t="str">
        <f>"2170636350 "</f>
        <v xml:space="preserve">2170636350 </v>
      </c>
      <c r="G2212" s="10" t="str">
        <f t="shared" si="61"/>
        <v>ON1</v>
      </c>
      <c r="H2212" s="10" t="s">
        <v>21</v>
      </c>
      <c r="I2212" s="10" t="s">
        <v>467</v>
      </c>
      <c r="J2212" s="10" t="str">
        <f>""</f>
        <v/>
      </c>
      <c r="K2212" s="10" t="str">
        <f>"PFES1162631668_0001"</f>
        <v>PFES1162631668_0001</v>
      </c>
      <c r="L2212" s="10">
        <v>1</v>
      </c>
      <c r="M2212" s="10">
        <v>1</v>
      </c>
    </row>
    <row r="2213" spans="1:13">
      <c r="A2213" s="8">
        <v>43277</v>
      </c>
      <c r="B2213" s="9">
        <v>0.62986111111111109</v>
      </c>
      <c r="C2213" s="10" t="str">
        <f>"FES1162631773"</f>
        <v>FES1162631773</v>
      </c>
      <c r="D2213" s="10" t="s">
        <v>19</v>
      </c>
      <c r="E2213" s="10" t="s">
        <v>344</v>
      </c>
      <c r="F2213" s="10" t="str">
        <f>"2170638574 "</f>
        <v xml:space="preserve">2170638574 </v>
      </c>
      <c r="G2213" s="10" t="str">
        <f t="shared" si="61"/>
        <v>ON1</v>
      </c>
      <c r="H2213" s="10" t="s">
        <v>21</v>
      </c>
      <c r="I2213" s="10" t="s">
        <v>83</v>
      </c>
      <c r="J2213" s="10" t="str">
        <f>""</f>
        <v/>
      </c>
      <c r="K2213" s="10" t="str">
        <f>"PFES1162631773_0001"</f>
        <v>PFES1162631773_0001</v>
      </c>
      <c r="L2213" s="10">
        <v>1</v>
      </c>
      <c r="M2213" s="10">
        <v>1</v>
      </c>
    </row>
    <row r="2214" spans="1:13">
      <c r="A2214" s="8">
        <v>43277</v>
      </c>
      <c r="B2214" s="9">
        <v>0.62916666666666665</v>
      </c>
      <c r="C2214" s="10" t="str">
        <f>"FES1162631636"</f>
        <v>FES1162631636</v>
      </c>
      <c r="D2214" s="10" t="s">
        <v>19</v>
      </c>
      <c r="E2214" s="10" t="s">
        <v>660</v>
      </c>
      <c r="F2214" s="10" t="str">
        <f>"2170635403 "</f>
        <v xml:space="preserve">2170635403 </v>
      </c>
      <c r="G2214" s="10" t="str">
        <f t="shared" si="61"/>
        <v>ON1</v>
      </c>
      <c r="H2214" s="10" t="s">
        <v>21</v>
      </c>
      <c r="I2214" s="10" t="s">
        <v>93</v>
      </c>
      <c r="J2214" s="10" t="str">
        <f>""</f>
        <v/>
      </c>
      <c r="K2214" s="10" t="str">
        <f>"PFES1162631636_0001"</f>
        <v>PFES1162631636_0001</v>
      </c>
      <c r="L2214" s="10">
        <v>1</v>
      </c>
      <c r="M2214" s="10">
        <v>1</v>
      </c>
    </row>
    <row r="2215" spans="1:13">
      <c r="A2215" s="8">
        <v>43277</v>
      </c>
      <c r="B2215" s="9">
        <v>0.62916666666666665</v>
      </c>
      <c r="C2215" s="10" t="str">
        <f>"FES1162631696"</f>
        <v>FES1162631696</v>
      </c>
      <c r="D2215" s="10" t="s">
        <v>19</v>
      </c>
      <c r="E2215" s="10" t="s">
        <v>33</v>
      </c>
      <c r="F2215" s="10" t="str">
        <f>"2170637821 "</f>
        <v xml:space="preserve">2170637821 </v>
      </c>
      <c r="G2215" s="10" t="str">
        <f t="shared" si="61"/>
        <v>ON1</v>
      </c>
      <c r="H2215" s="10" t="s">
        <v>21</v>
      </c>
      <c r="I2215" s="10" t="s">
        <v>34</v>
      </c>
      <c r="J2215" s="10" t="str">
        <f>""</f>
        <v/>
      </c>
      <c r="K2215" s="10" t="str">
        <f>"PFES1162631696_0001"</f>
        <v>PFES1162631696_0001</v>
      </c>
      <c r="L2215" s="10">
        <v>1</v>
      </c>
      <c r="M2215" s="10">
        <v>1</v>
      </c>
    </row>
    <row r="2216" spans="1:13">
      <c r="A2216" s="8">
        <v>43277</v>
      </c>
      <c r="B2216" s="9">
        <v>0.62916666666666665</v>
      </c>
      <c r="C2216" s="10" t="str">
        <f>"FES1162631775"</f>
        <v>FES1162631775</v>
      </c>
      <c r="D2216" s="10" t="s">
        <v>19</v>
      </c>
      <c r="E2216" s="10" t="s">
        <v>344</v>
      </c>
      <c r="F2216" s="10" t="str">
        <f>"2170638577 "</f>
        <v xml:space="preserve">2170638577 </v>
      </c>
      <c r="G2216" s="10" t="str">
        <f t="shared" si="61"/>
        <v>ON1</v>
      </c>
      <c r="H2216" s="10" t="s">
        <v>21</v>
      </c>
      <c r="I2216" s="10" t="s">
        <v>83</v>
      </c>
      <c r="J2216" s="10" t="str">
        <f>""</f>
        <v/>
      </c>
      <c r="K2216" s="10" t="str">
        <f>"PFES1162631775_0001"</f>
        <v>PFES1162631775_0001</v>
      </c>
      <c r="L2216" s="10">
        <v>1</v>
      </c>
      <c r="M2216" s="10">
        <v>1</v>
      </c>
    </row>
    <row r="2217" spans="1:13">
      <c r="A2217" s="8">
        <v>43277</v>
      </c>
      <c r="B2217" s="9">
        <v>0.62847222222222221</v>
      </c>
      <c r="C2217" s="10" t="str">
        <f>"FES1162631762"</f>
        <v>FES1162631762</v>
      </c>
      <c r="D2217" s="10" t="s">
        <v>19</v>
      </c>
      <c r="E2217" s="10" t="s">
        <v>376</v>
      </c>
      <c r="F2217" s="10" t="str">
        <f>"2170638507 "</f>
        <v xml:space="preserve">2170638507 </v>
      </c>
      <c r="G2217" s="10" t="str">
        <f t="shared" si="61"/>
        <v>ON1</v>
      </c>
      <c r="H2217" s="10" t="s">
        <v>21</v>
      </c>
      <c r="I2217" s="10" t="s">
        <v>83</v>
      </c>
      <c r="J2217" s="10" t="str">
        <f>""</f>
        <v/>
      </c>
      <c r="K2217" s="10" t="str">
        <f>"PFES1162631762_0001"</f>
        <v>PFES1162631762_0001</v>
      </c>
      <c r="L2217" s="10">
        <v>1</v>
      </c>
      <c r="M2217" s="10">
        <v>1</v>
      </c>
    </row>
    <row r="2218" spans="1:13">
      <c r="A2218" s="8">
        <v>43277</v>
      </c>
      <c r="B2218" s="9">
        <v>0.62847222222222221</v>
      </c>
      <c r="C2218" s="10" t="str">
        <f>"FES1162631705"</f>
        <v>FES1162631705</v>
      </c>
      <c r="D2218" s="10" t="s">
        <v>19</v>
      </c>
      <c r="E2218" s="10" t="s">
        <v>339</v>
      </c>
      <c r="F2218" s="10" t="str">
        <f>"2170633771 "</f>
        <v xml:space="preserve">2170633771 </v>
      </c>
      <c r="G2218" s="10" t="str">
        <f t="shared" si="61"/>
        <v>ON1</v>
      </c>
      <c r="H2218" s="10" t="s">
        <v>21</v>
      </c>
      <c r="I2218" s="10" t="s">
        <v>230</v>
      </c>
      <c r="J2218" s="10" t="str">
        <f>""</f>
        <v/>
      </c>
      <c r="K2218" s="10" t="str">
        <f>"PFES1162631705_0001"</f>
        <v>PFES1162631705_0001</v>
      </c>
      <c r="L2218" s="10">
        <v>1</v>
      </c>
      <c r="M2218" s="10">
        <v>1</v>
      </c>
    </row>
    <row r="2219" spans="1:13">
      <c r="A2219" s="8">
        <v>43277</v>
      </c>
      <c r="B2219" s="9">
        <v>0.62777777777777777</v>
      </c>
      <c r="C2219" s="10" t="str">
        <f>"FES1162631735"</f>
        <v>FES1162631735</v>
      </c>
      <c r="D2219" s="10" t="s">
        <v>19</v>
      </c>
      <c r="E2219" s="10" t="s">
        <v>863</v>
      </c>
      <c r="F2219" s="10" t="str">
        <f>"2170635753 "</f>
        <v xml:space="preserve">2170635753 </v>
      </c>
      <c r="G2219" s="10" t="str">
        <f t="shared" si="61"/>
        <v>ON1</v>
      </c>
      <c r="H2219" s="10" t="s">
        <v>21</v>
      </c>
      <c r="I2219" s="10" t="s">
        <v>28</v>
      </c>
      <c r="J2219" s="10" t="str">
        <f>""</f>
        <v/>
      </c>
      <c r="K2219" s="10" t="str">
        <f>"PFES1162631735_0001"</f>
        <v>PFES1162631735_0001</v>
      </c>
      <c r="L2219" s="10">
        <v>1</v>
      </c>
      <c r="M2219" s="10">
        <v>1</v>
      </c>
    </row>
    <row r="2220" spans="1:13">
      <c r="A2220" s="8">
        <v>43277</v>
      </c>
      <c r="B2220" s="9">
        <v>0.62777777777777777</v>
      </c>
      <c r="C2220" s="10" t="str">
        <f>"FES1162631694"</f>
        <v>FES1162631694</v>
      </c>
      <c r="D2220" s="10" t="s">
        <v>19</v>
      </c>
      <c r="E2220" s="10" t="s">
        <v>50</v>
      </c>
      <c r="F2220" s="10" t="str">
        <f>"2170637322 "</f>
        <v xml:space="preserve">2170637322 </v>
      </c>
      <c r="G2220" s="10" t="str">
        <f t="shared" si="61"/>
        <v>ON1</v>
      </c>
      <c r="H2220" s="10" t="s">
        <v>21</v>
      </c>
      <c r="I2220" s="10" t="s">
        <v>51</v>
      </c>
      <c r="J2220" s="10" t="str">
        <f>""</f>
        <v/>
      </c>
      <c r="K2220" s="10" t="str">
        <f>"PFES1162631694_0001"</f>
        <v>PFES1162631694_0001</v>
      </c>
      <c r="L2220" s="10">
        <v>1</v>
      </c>
      <c r="M2220" s="10">
        <v>1</v>
      </c>
    </row>
    <row r="2221" spans="1:13">
      <c r="A2221" s="8">
        <v>43277</v>
      </c>
      <c r="B2221" s="9">
        <v>0.62708333333333333</v>
      </c>
      <c r="C2221" s="10" t="str">
        <f>"FES1162631659"</f>
        <v>FES1162631659</v>
      </c>
      <c r="D2221" s="10" t="s">
        <v>19</v>
      </c>
      <c r="E2221" s="10" t="s">
        <v>983</v>
      </c>
      <c r="F2221" s="10" t="str">
        <f>"2170636302 "</f>
        <v xml:space="preserve">2170636302 </v>
      </c>
      <c r="G2221" s="10" t="str">
        <f t="shared" si="61"/>
        <v>ON1</v>
      </c>
      <c r="H2221" s="10" t="s">
        <v>21</v>
      </c>
      <c r="I2221" s="10" t="s">
        <v>46</v>
      </c>
      <c r="J2221" s="10" t="str">
        <f>""</f>
        <v/>
      </c>
      <c r="K2221" s="10" t="str">
        <f>"PFES1162631659_0001"</f>
        <v>PFES1162631659_0001</v>
      </c>
      <c r="L2221" s="10">
        <v>1</v>
      </c>
      <c r="M2221" s="10">
        <v>1</v>
      </c>
    </row>
    <row r="2222" spans="1:13">
      <c r="A2222" s="8">
        <v>43277</v>
      </c>
      <c r="B2222" s="9">
        <v>0.62638888888888888</v>
      </c>
      <c r="C2222" s="10" t="str">
        <f>"FES1162631770"</f>
        <v>FES1162631770</v>
      </c>
      <c r="D2222" s="10" t="s">
        <v>19</v>
      </c>
      <c r="E2222" s="10" t="s">
        <v>133</v>
      </c>
      <c r="F2222" s="10" t="str">
        <f>"2170638571 "</f>
        <v xml:space="preserve">2170638571 </v>
      </c>
      <c r="G2222" s="10" t="str">
        <f t="shared" si="61"/>
        <v>ON1</v>
      </c>
      <c r="H2222" s="10" t="s">
        <v>21</v>
      </c>
      <c r="I2222" s="10" t="s">
        <v>356</v>
      </c>
      <c r="J2222" s="10" t="str">
        <f>""</f>
        <v/>
      </c>
      <c r="K2222" s="10" t="str">
        <f>"PFES1162631770_0001"</f>
        <v>PFES1162631770_0001</v>
      </c>
      <c r="L2222" s="10">
        <v>1</v>
      </c>
      <c r="M2222" s="10">
        <v>1</v>
      </c>
    </row>
    <row r="2223" spans="1:13">
      <c r="A2223" s="8">
        <v>43277</v>
      </c>
      <c r="B2223" s="9">
        <v>0.62569444444444444</v>
      </c>
      <c r="C2223" s="10" t="str">
        <f>"FES1162631639"</f>
        <v>FES1162631639</v>
      </c>
      <c r="D2223" s="10" t="s">
        <v>19</v>
      </c>
      <c r="E2223" s="10" t="s">
        <v>531</v>
      </c>
      <c r="F2223" s="10" t="str">
        <f>"2170636020 "</f>
        <v xml:space="preserve">2170636020 </v>
      </c>
      <c r="G2223" s="10" t="str">
        <f t="shared" si="61"/>
        <v>ON1</v>
      </c>
      <c r="H2223" s="10" t="s">
        <v>21</v>
      </c>
      <c r="I2223" s="10" t="s">
        <v>265</v>
      </c>
      <c r="J2223" s="10" t="str">
        <f>""</f>
        <v/>
      </c>
      <c r="K2223" s="10" t="str">
        <f>"PFES1162631639_0001"</f>
        <v>PFES1162631639_0001</v>
      </c>
      <c r="L2223" s="10">
        <v>1</v>
      </c>
      <c r="M2223" s="10">
        <v>1</v>
      </c>
    </row>
    <row r="2224" spans="1:13">
      <c r="A2224" s="8">
        <v>43277</v>
      </c>
      <c r="B2224" s="9">
        <v>0.62569444444444444</v>
      </c>
      <c r="C2224" s="10" t="str">
        <f>"FES1162631613"</f>
        <v>FES1162631613</v>
      </c>
      <c r="D2224" s="10" t="s">
        <v>19</v>
      </c>
      <c r="E2224" s="10" t="s">
        <v>984</v>
      </c>
      <c r="F2224" s="10" t="str">
        <f>"2170638499 "</f>
        <v xml:space="preserve">2170638499 </v>
      </c>
      <c r="G2224" s="10" t="str">
        <f t="shared" si="61"/>
        <v>ON1</v>
      </c>
      <c r="H2224" s="10" t="s">
        <v>21</v>
      </c>
      <c r="I2224" s="10" t="s">
        <v>91</v>
      </c>
      <c r="J2224" s="10" t="str">
        <f>""</f>
        <v/>
      </c>
      <c r="K2224" s="10" t="str">
        <f>"PFES1162631613_0001"</f>
        <v>PFES1162631613_0001</v>
      </c>
      <c r="L2224" s="10">
        <v>1</v>
      </c>
      <c r="M2224" s="10">
        <v>1</v>
      </c>
    </row>
    <row r="2225" spans="1:13">
      <c r="A2225" s="8">
        <v>43277</v>
      </c>
      <c r="B2225" s="9">
        <v>0.62569444444444444</v>
      </c>
      <c r="C2225" s="10" t="str">
        <f>"FES1162631712"</f>
        <v>FES1162631712</v>
      </c>
      <c r="D2225" s="10" t="s">
        <v>19</v>
      </c>
      <c r="E2225" s="10" t="s">
        <v>123</v>
      </c>
      <c r="F2225" s="10" t="str">
        <f>"2170635430 "</f>
        <v xml:space="preserve">2170635430 </v>
      </c>
      <c r="G2225" s="10" t="str">
        <f t="shared" si="61"/>
        <v>ON1</v>
      </c>
      <c r="H2225" s="10" t="s">
        <v>21</v>
      </c>
      <c r="I2225" s="10" t="s">
        <v>51</v>
      </c>
      <c r="J2225" s="10" t="str">
        <f>""</f>
        <v/>
      </c>
      <c r="K2225" s="10" t="str">
        <f>"PFES1162631712_0001"</f>
        <v>PFES1162631712_0001</v>
      </c>
      <c r="L2225" s="10">
        <v>1</v>
      </c>
      <c r="M2225" s="10">
        <v>1</v>
      </c>
    </row>
    <row r="2226" spans="1:13">
      <c r="A2226" s="8">
        <v>43277</v>
      </c>
      <c r="B2226" s="9">
        <v>0.625</v>
      </c>
      <c r="C2226" s="10" t="str">
        <f>"FES1162631728"</f>
        <v>FES1162631728</v>
      </c>
      <c r="D2226" s="10" t="s">
        <v>19</v>
      </c>
      <c r="E2226" s="10" t="s">
        <v>638</v>
      </c>
      <c r="F2226" s="10" t="str">
        <f>"2170635597 "</f>
        <v xml:space="preserve">2170635597 </v>
      </c>
      <c r="G2226" s="10" t="str">
        <f t="shared" si="61"/>
        <v>ON1</v>
      </c>
      <c r="H2226" s="10" t="s">
        <v>21</v>
      </c>
      <c r="I2226" s="10" t="s">
        <v>46</v>
      </c>
      <c r="J2226" s="10" t="str">
        <f>""</f>
        <v/>
      </c>
      <c r="K2226" s="10" t="str">
        <f>"PFES1162631728_0001"</f>
        <v>PFES1162631728_0001</v>
      </c>
      <c r="L2226" s="10">
        <v>1</v>
      </c>
      <c r="M2226" s="10">
        <v>1</v>
      </c>
    </row>
    <row r="2227" spans="1:13">
      <c r="A2227" s="8">
        <v>43277</v>
      </c>
      <c r="B2227" s="9">
        <v>0.625</v>
      </c>
      <c r="C2227" s="10" t="str">
        <f>"FES1162631686"</f>
        <v>FES1162631686</v>
      </c>
      <c r="D2227" s="10" t="s">
        <v>19</v>
      </c>
      <c r="E2227" s="10" t="s">
        <v>985</v>
      </c>
      <c r="F2227" s="10" t="str">
        <f>"2170636527 "</f>
        <v xml:space="preserve">2170636527 </v>
      </c>
      <c r="G2227" s="10" t="str">
        <f t="shared" si="61"/>
        <v>ON1</v>
      </c>
      <c r="H2227" s="10" t="s">
        <v>21</v>
      </c>
      <c r="I2227" s="10" t="s">
        <v>32</v>
      </c>
      <c r="J2227" s="10" t="str">
        <f>""</f>
        <v/>
      </c>
      <c r="K2227" s="10" t="str">
        <f>"PFES1162631686_0001"</f>
        <v>PFES1162631686_0001</v>
      </c>
      <c r="L2227" s="10">
        <v>1</v>
      </c>
      <c r="M2227" s="10">
        <v>1</v>
      </c>
    </row>
    <row r="2228" spans="1:13">
      <c r="A2228" s="8">
        <v>43277</v>
      </c>
      <c r="B2228" s="9">
        <v>0.61249999999999993</v>
      </c>
      <c r="C2228" s="10" t="str">
        <f>"FES1162631673"</f>
        <v>FES1162631673</v>
      </c>
      <c r="D2228" s="10" t="s">
        <v>19</v>
      </c>
      <c r="E2228" s="10" t="s">
        <v>193</v>
      </c>
      <c r="F2228" s="10" t="str">
        <f>"2170636402 "</f>
        <v xml:space="preserve">2170636402 </v>
      </c>
      <c r="G2228" s="10" t="str">
        <f t="shared" si="61"/>
        <v>ON1</v>
      </c>
      <c r="H2228" s="10" t="s">
        <v>21</v>
      </c>
      <c r="I2228" s="10" t="s">
        <v>30</v>
      </c>
      <c r="J2228" s="10" t="str">
        <f>""</f>
        <v/>
      </c>
      <c r="K2228" s="10" t="str">
        <f>"PFES1162631673_0001"</f>
        <v>PFES1162631673_0001</v>
      </c>
      <c r="L2228" s="10">
        <v>1</v>
      </c>
      <c r="M2228" s="10">
        <v>1</v>
      </c>
    </row>
    <row r="2229" spans="1:13">
      <c r="A2229" s="8">
        <v>43277</v>
      </c>
      <c r="B2229" s="9">
        <v>0.61249999999999993</v>
      </c>
      <c r="C2229" s="10" t="str">
        <f>"FES1162631656"</f>
        <v>FES1162631656</v>
      </c>
      <c r="D2229" s="10" t="s">
        <v>19</v>
      </c>
      <c r="E2229" s="10" t="s">
        <v>56</v>
      </c>
      <c r="F2229" s="10" t="str">
        <f>"2170636266 "</f>
        <v xml:space="preserve">2170636266 </v>
      </c>
      <c r="G2229" s="10" t="str">
        <f t="shared" si="61"/>
        <v>ON1</v>
      </c>
      <c r="H2229" s="10" t="s">
        <v>21</v>
      </c>
      <c r="I2229" s="10" t="s">
        <v>57</v>
      </c>
      <c r="J2229" s="10" t="str">
        <f>""</f>
        <v/>
      </c>
      <c r="K2229" s="10" t="str">
        <f>"PFES1162631656_0001"</f>
        <v>PFES1162631656_0001</v>
      </c>
      <c r="L2229" s="10">
        <v>1</v>
      </c>
      <c r="M2229" s="10">
        <v>2</v>
      </c>
    </row>
    <row r="2230" spans="1:13">
      <c r="A2230" s="8">
        <v>43277</v>
      </c>
      <c r="B2230" s="9">
        <v>0.6118055555555556</v>
      </c>
      <c r="C2230" s="10" t="str">
        <f>"FES1162631715"</f>
        <v>FES1162631715</v>
      </c>
      <c r="D2230" s="10" t="s">
        <v>19</v>
      </c>
      <c r="E2230" s="10" t="s">
        <v>814</v>
      </c>
      <c r="F2230" s="10" t="str">
        <f>"2170635453 "</f>
        <v xml:space="preserve">2170635453 </v>
      </c>
      <c r="G2230" s="10" t="str">
        <f t="shared" si="61"/>
        <v>ON1</v>
      </c>
      <c r="H2230" s="10" t="s">
        <v>21</v>
      </c>
      <c r="I2230" s="10" t="s">
        <v>815</v>
      </c>
      <c r="J2230" s="10" t="str">
        <f>""</f>
        <v/>
      </c>
      <c r="K2230" s="10" t="str">
        <f>"PFES1162631715_0001"</f>
        <v>PFES1162631715_0001</v>
      </c>
      <c r="L2230" s="10">
        <v>1</v>
      </c>
      <c r="M2230" s="10">
        <v>10</v>
      </c>
    </row>
    <row r="2231" spans="1:13">
      <c r="A2231" s="8">
        <v>43277</v>
      </c>
      <c r="B2231" s="9">
        <v>0.61111111111111105</v>
      </c>
      <c r="C2231" s="10" t="str">
        <f>"FES1162631654"</f>
        <v>FES1162631654</v>
      </c>
      <c r="D2231" s="10" t="s">
        <v>19</v>
      </c>
      <c r="E2231" s="10" t="s">
        <v>254</v>
      </c>
      <c r="F2231" s="10" t="str">
        <f>"2170636242 "</f>
        <v xml:space="preserve">2170636242 </v>
      </c>
      <c r="G2231" s="10" t="str">
        <f t="shared" si="61"/>
        <v>ON1</v>
      </c>
      <c r="H2231" s="10" t="s">
        <v>21</v>
      </c>
      <c r="I2231" s="10" t="s">
        <v>255</v>
      </c>
      <c r="J2231" s="10" t="str">
        <f>""</f>
        <v/>
      </c>
      <c r="K2231" s="10" t="str">
        <f>"PFES1162631654_0001"</f>
        <v>PFES1162631654_0001</v>
      </c>
      <c r="L2231" s="10">
        <v>1</v>
      </c>
      <c r="M2231" s="10">
        <v>3</v>
      </c>
    </row>
    <row r="2232" spans="1:13">
      <c r="A2232" s="8">
        <v>43277</v>
      </c>
      <c r="B2232" s="9">
        <v>0.61041666666666672</v>
      </c>
      <c r="C2232" s="10" t="str">
        <f>"FES1162631817"</f>
        <v>FES1162631817</v>
      </c>
      <c r="D2232" s="10" t="s">
        <v>19</v>
      </c>
      <c r="E2232" s="10" t="s">
        <v>80</v>
      </c>
      <c r="F2232" s="10" t="str">
        <f>"2170638619 "</f>
        <v xml:space="preserve">2170638619 </v>
      </c>
      <c r="G2232" s="10" t="str">
        <f t="shared" si="61"/>
        <v>ON1</v>
      </c>
      <c r="H2232" s="10" t="s">
        <v>21</v>
      </c>
      <c r="I2232" s="10" t="s">
        <v>81</v>
      </c>
      <c r="J2232" s="10" t="str">
        <f>""</f>
        <v/>
      </c>
      <c r="K2232" s="10" t="str">
        <f>"PFES1162631817_0001"</f>
        <v>PFES1162631817_0001</v>
      </c>
      <c r="L2232" s="10">
        <v>1</v>
      </c>
      <c r="M2232" s="10">
        <v>1</v>
      </c>
    </row>
    <row r="2233" spans="1:13">
      <c r="A2233" s="8">
        <v>43277</v>
      </c>
      <c r="B2233" s="9">
        <v>0.61041666666666672</v>
      </c>
      <c r="C2233" s="10" t="str">
        <f>"FES1162631662"</f>
        <v>FES1162631662</v>
      </c>
      <c r="D2233" s="10" t="s">
        <v>19</v>
      </c>
      <c r="E2233" s="10" t="s">
        <v>388</v>
      </c>
      <c r="F2233" s="10" t="str">
        <f>"2170636306 "</f>
        <v xml:space="preserve">2170636306 </v>
      </c>
      <c r="G2233" s="10" t="str">
        <f t="shared" si="61"/>
        <v>ON1</v>
      </c>
      <c r="H2233" s="10" t="s">
        <v>21</v>
      </c>
      <c r="I2233" s="10" t="s">
        <v>389</v>
      </c>
      <c r="J2233" s="10" t="str">
        <f>""</f>
        <v/>
      </c>
      <c r="K2233" s="10" t="str">
        <f>"PFES1162631662_0001"</f>
        <v>PFES1162631662_0001</v>
      </c>
      <c r="L2233" s="10">
        <v>1</v>
      </c>
      <c r="M2233" s="10">
        <v>5</v>
      </c>
    </row>
    <row r="2234" spans="1:13">
      <c r="A2234" s="8">
        <v>43277</v>
      </c>
      <c r="B2234" s="9">
        <v>0.60972222222222217</v>
      </c>
      <c r="C2234" s="10" t="str">
        <f>"FES1162631746"</f>
        <v>FES1162631746</v>
      </c>
      <c r="D2234" s="10" t="s">
        <v>19</v>
      </c>
      <c r="E2234" s="10" t="s">
        <v>615</v>
      </c>
      <c r="F2234" s="10" t="str">
        <f>"2170638535 "</f>
        <v xml:space="preserve">2170638535 </v>
      </c>
      <c r="G2234" s="10" t="str">
        <f t="shared" si="61"/>
        <v>ON1</v>
      </c>
      <c r="H2234" s="10" t="s">
        <v>21</v>
      </c>
      <c r="I2234" s="10" t="s">
        <v>112</v>
      </c>
      <c r="J2234" s="10" t="str">
        <f>""</f>
        <v/>
      </c>
      <c r="K2234" s="10" t="str">
        <f>"PFES1162631746_0001"</f>
        <v>PFES1162631746_0001</v>
      </c>
      <c r="L2234" s="10">
        <v>1</v>
      </c>
      <c r="M2234" s="10">
        <v>1</v>
      </c>
    </row>
    <row r="2235" spans="1:13">
      <c r="A2235" s="8">
        <v>43277</v>
      </c>
      <c r="B2235" s="9">
        <v>0.60902777777777783</v>
      </c>
      <c r="C2235" s="10" t="str">
        <f>"FES1162631682"</f>
        <v>FES1162631682</v>
      </c>
      <c r="D2235" s="10" t="s">
        <v>19</v>
      </c>
      <c r="E2235" s="10" t="s">
        <v>409</v>
      </c>
      <c r="F2235" s="10" t="str">
        <f>"2170636477 "</f>
        <v xml:space="preserve">2170636477 </v>
      </c>
      <c r="G2235" s="10" t="str">
        <f t="shared" si="61"/>
        <v>ON1</v>
      </c>
      <c r="H2235" s="10" t="s">
        <v>21</v>
      </c>
      <c r="I2235" s="10" t="s">
        <v>265</v>
      </c>
      <c r="J2235" s="10" t="str">
        <f>""</f>
        <v/>
      </c>
      <c r="K2235" s="10" t="str">
        <f>"PFES1162631682_0001"</f>
        <v>PFES1162631682_0001</v>
      </c>
      <c r="L2235" s="10">
        <v>1</v>
      </c>
      <c r="M2235" s="10">
        <v>1</v>
      </c>
    </row>
    <row r="2236" spans="1:13">
      <c r="A2236" s="8">
        <v>43277</v>
      </c>
      <c r="B2236" s="9">
        <v>0.60902777777777783</v>
      </c>
      <c r="C2236" s="10" t="str">
        <f>"FES1162631658"</f>
        <v>FES1162631658</v>
      </c>
      <c r="D2236" s="10" t="s">
        <v>19</v>
      </c>
      <c r="E2236" s="10" t="s">
        <v>491</v>
      </c>
      <c r="F2236" s="10" t="str">
        <f>"2170636279 "</f>
        <v xml:space="preserve">2170636279 </v>
      </c>
      <c r="G2236" s="10" t="str">
        <f t="shared" ref="G2236:G2264" si="62">"ON1"</f>
        <v>ON1</v>
      </c>
      <c r="H2236" s="10" t="s">
        <v>21</v>
      </c>
      <c r="I2236" s="10" t="s">
        <v>228</v>
      </c>
      <c r="J2236" s="10" t="str">
        <f>""</f>
        <v/>
      </c>
      <c r="K2236" s="10" t="str">
        <f>"PFES1162631658_0001"</f>
        <v>PFES1162631658_0001</v>
      </c>
      <c r="L2236" s="10">
        <v>1</v>
      </c>
      <c r="M2236" s="10">
        <v>3</v>
      </c>
    </row>
    <row r="2237" spans="1:13">
      <c r="A2237" s="8">
        <v>43277</v>
      </c>
      <c r="B2237" s="9">
        <v>0.60902777777777783</v>
      </c>
      <c r="C2237" s="10" t="str">
        <f>"FES1162631637"</f>
        <v>FES1162631637</v>
      </c>
      <c r="D2237" s="10" t="s">
        <v>19</v>
      </c>
      <c r="E2237" s="10" t="s">
        <v>638</v>
      </c>
      <c r="F2237" s="10" t="str">
        <f>"2170635597 "</f>
        <v xml:space="preserve">2170635597 </v>
      </c>
      <c r="G2237" s="10" t="str">
        <f t="shared" si="62"/>
        <v>ON1</v>
      </c>
      <c r="H2237" s="10" t="s">
        <v>21</v>
      </c>
      <c r="I2237" s="10" t="s">
        <v>46</v>
      </c>
      <c r="J2237" s="10" t="str">
        <f>""</f>
        <v/>
      </c>
      <c r="K2237" s="10" t="str">
        <f>"PFES1162631637_0001"</f>
        <v>PFES1162631637_0001</v>
      </c>
      <c r="L2237" s="10">
        <v>1</v>
      </c>
      <c r="M2237" s="10">
        <v>1</v>
      </c>
    </row>
    <row r="2238" spans="1:13">
      <c r="A2238" s="8">
        <v>43277</v>
      </c>
      <c r="B2238" s="9">
        <v>0.60902777777777783</v>
      </c>
      <c r="C2238" s="10" t="str">
        <f>"FES1162631704"</f>
        <v>FES1162631704</v>
      </c>
      <c r="D2238" s="10" t="s">
        <v>19</v>
      </c>
      <c r="E2238" s="10" t="s">
        <v>462</v>
      </c>
      <c r="F2238" s="10" t="str">
        <f>"2170632704 "</f>
        <v xml:space="preserve">2170632704 </v>
      </c>
      <c r="G2238" s="10" t="str">
        <f t="shared" si="62"/>
        <v>ON1</v>
      </c>
      <c r="H2238" s="10" t="s">
        <v>21</v>
      </c>
      <c r="I2238" s="10" t="s">
        <v>36</v>
      </c>
      <c r="J2238" s="10" t="str">
        <f>""</f>
        <v/>
      </c>
      <c r="K2238" s="10" t="str">
        <f>"PFES1162631704_0001"</f>
        <v>PFES1162631704_0001</v>
      </c>
      <c r="L2238" s="10">
        <v>1</v>
      </c>
      <c r="M2238" s="10">
        <v>1</v>
      </c>
    </row>
    <row r="2239" spans="1:13">
      <c r="A2239" s="8">
        <v>43277</v>
      </c>
      <c r="B2239" s="9">
        <v>0.60833333333333328</v>
      </c>
      <c r="C2239" s="10" t="str">
        <f>"FES1162631642"</f>
        <v>FES1162631642</v>
      </c>
      <c r="D2239" s="10" t="s">
        <v>19</v>
      </c>
      <c r="E2239" s="10" t="s">
        <v>216</v>
      </c>
      <c r="F2239" s="10" t="str">
        <f>"2170636049 "</f>
        <v xml:space="preserve">2170636049 </v>
      </c>
      <c r="G2239" s="10" t="str">
        <f t="shared" si="62"/>
        <v>ON1</v>
      </c>
      <c r="H2239" s="10" t="s">
        <v>21</v>
      </c>
      <c r="I2239" s="10" t="s">
        <v>110</v>
      </c>
      <c r="J2239" s="10" t="str">
        <f>""</f>
        <v/>
      </c>
      <c r="K2239" s="10" t="str">
        <f>"PFES1162631642_0001"</f>
        <v>PFES1162631642_0001</v>
      </c>
      <c r="L2239" s="10">
        <v>1</v>
      </c>
      <c r="M2239" s="10">
        <v>1</v>
      </c>
    </row>
    <row r="2240" spans="1:13">
      <c r="A2240" s="8">
        <v>43277</v>
      </c>
      <c r="B2240" s="9">
        <v>0.60833333333333328</v>
      </c>
      <c r="C2240" s="10" t="str">
        <f>"FES1162631626"</f>
        <v>FES1162631626</v>
      </c>
      <c r="D2240" s="10" t="s">
        <v>19</v>
      </c>
      <c r="E2240" s="10" t="s">
        <v>345</v>
      </c>
      <c r="F2240" s="10" t="str">
        <f>"2170638529 "</f>
        <v xml:space="preserve">2170638529 </v>
      </c>
      <c r="G2240" s="10" t="str">
        <f t="shared" si="62"/>
        <v>ON1</v>
      </c>
      <c r="H2240" s="10" t="s">
        <v>21</v>
      </c>
      <c r="I2240" s="10" t="s">
        <v>228</v>
      </c>
      <c r="J2240" s="10" t="str">
        <f>""</f>
        <v/>
      </c>
      <c r="K2240" s="10" t="str">
        <f>"PFES1162631626_0001"</f>
        <v>PFES1162631626_0001</v>
      </c>
      <c r="L2240" s="10">
        <v>1</v>
      </c>
      <c r="M2240" s="10">
        <v>2</v>
      </c>
    </row>
    <row r="2241" spans="1:13">
      <c r="A2241" s="8">
        <v>43277</v>
      </c>
      <c r="B2241" s="9">
        <v>0.60833333333333328</v>
      </c>
      <c r="C2241" s="10" t="str">
        <f>"FES1162631655"</f>
        <v>FES1162631655</v>
      </c>
      <c r="D2241" s="10" t="s">
        <v>19</v>
      </c>
      <c r="E2241" s="10" t="s">
        <v>252</v>
      </c>
      <c r="F2241" s="10" t="str">
        <f>"2170636243 "</f>
        <v xml:space="preserve">2170636243 </v>
      </c>
      <c r="G2241" s="10" t="str">
        <f t="shared" si="62"/>
        <v>ON1</v>
      </c>
      <c r="H2241" s="10" t="s">
        <v>21</v>
      </c>
      <c r="I2241" s="10" t="s">
        <v>253</v>
      </c>
      <c r="J2241" s="10" t="str">
        <f>""</f>
        <v/>
      </c>
      <c r="K2241" s="10" t="str">
        <f>"PFES1162631655_0001"</f>
        <v>PFES1162631655_0001</v>
      </c>
      <c r="L2241" s="10">
        <v>1</v>
      </c>
      <c r="M2241" s="10">
        <v>1</v>
      </c>
    </row>
    <row r="2242" spans="1:13">
      <c r="A2242" s="8">
        <v>43277</v>
      </c>
      <c r="B2242" s="9">
        <v>0.60833333333333328</v>
      </c>
      <c r="C2242" s="10" t="str">
        <f>"FES1162631684"</f>
        <v>FES1162631684</v>
      </c>
      <c r="D2242" s="10" t="s">
        <v>19</v>
      </c>
      <c r="E2242" s="10" t="s">
        <v>193</v>
      </c>
      <c r="F2242" s="10" t="str">
        <f>"2170636509 "</f>
        <v xml:space="preserve">2170636509 </v>
      </c>
      <c r="G2242" s="10" t="str">
        <f t="shared" si="62"/>
        <v>ON1</v>
      </c>
      <c r="H2242" s="10" t="s">
        <v>21</v>
      </c>
      <c r="I2242" s="10" t="s">
        <v>30</v>
      </c>
      <c r="J2242" s="10" t="str">
        <f>""</f>
        <v/>
      </c>
      <c r="K2242" s="10" t="str">
        <f>"PFES1162631684_0001"</f>
        <v>PFES1162631684_0001</v>
      </c>
      <c r="L2242" s="10">
        <v>1</v>
      </c>
      <c r="M2242" s="10">
        <v>1</v>
      </c>
    </row>
    <row r="2243" spans="1:13">
      <c r="A2243" s="8">
        <v>43277</v>
      </c>
      <c r="B2243" s="9">
        <v>0.60763888888888895</v>
      </c>
      <c r="C2243" s="10" t="str">
        <f>"FES1162631571"</f>
        <v>FES1162631571</v>
      </c>
      <c r="D2243" s="10" t="s">
        <v>19</v>
      </c>
      <c r="E2243" s="10" t="s">
        <v>445</v>
      </c>
      <c r="F2243" s="10" t="str">
        <f>"217063741 "</f>
        <v xml:space="preserve">217063741 </v>
      </c>
      <c r="G2243" s="10" t="str">
        <f t="shared" si="62"/>
        <v>ON1</v>
      </c>
      <c r="H2243" s="10" t="s">
        <v>21</v>
      </c>
      <c r="I2243" s="10" t="s">
        <v>446</v>
      </c>
      <c r="J2243" s="10" t="str">
        <f>""</f>
        <v/>
      </c>
      <c r="K2243" s="10" t="str">
        <f>"PFES1162631571_0001"</f>
        <v>PFES1162631571_0001</v>
      </c>
      <c r="L2243" s="10">
        <v>1</v>
      </c>
      <c r="M2243" s="10">
        <v>1</v>
      </c>
    </row>
    <row r="2244" spans="1:13">
      <c r="A2244" s="8">
        <v>43277</v>
      </c>
      <c r="B2244" s="9">
        <v>0.60763888888888895</v>
      </c>
      <c r="C2244" s="10" t="str">
        <f>"FES1162631744"</f>
        <v>FES1162631744</v>
      </c>
      <c r="D2244" s="10" t="s">
        <v>19</v>
      </c>
      <c r="E2244" s="10" t="s">
        <v>105</v>
      </c>
      <c r="F2244" s="10" t="str">
        <f>"2170637272 "</f>
        <v xml:space="preserve">2170637272 </v>
      </c>
      <c r="G2244" s="10" t="str">
        <f t="shared" si="62"/>
        <v>ON1</v>
      </c>
      <c r="H2244" s="10" t="s">
        <v>21</v>
      </c>
      <c r="I2244" s="10" t="s">
        <v>106</v>
      </c>
      <c r="J2244" s="10" t="str">
        <f>""</f>
        <v/>
      </c>
      <c r="K2244" s="10" t="str">
        <f>"PFES1162631744_0001"</f>
        <v>PFES1162631744_0001</v>
      </c>
      <c r="L2244" s="10">
        <v>1</v>
      </c>
      <c r="M2244" s="10">
        <v>3</v>
      </c>
    </row>
    <row r="2245" spans="1:13">
      <c r="A2245" s="8">
        <v>43277</v>
      </c>
      <c r="B2245" s="9">
        <v>0.60763888888888895</v>
      </c>
      <c r="C2245" s="10" t="str">
        <f>"FES1162631683"</f>
        <v>FES1162631683</v>
      </c>
      <c r="D2245" s="10" t="s">
        <v>19</v>
      </c>
      <c r="E2245" s="10" t="s">
        <v>430</v>
      </c>
      <c r="F2245" s="10" t="str">
        <f>"21706364796 "</f>
        <v xml:space="preserve">21706364796 </v>
      </c>
      <c r="G2245" s="10" t="str">
        <f t="shared" si="62"/>
        <v>ON1</v>
      </c>
      <c r="H2245" s="10" t="s">
        <v>21</v>
      </c>
      <c r="I2245" s="10" t="s">
        <v>42</v>
      </c>
      <c r="J2245" s="10" t="str">
        <f>""</f>
        <v/>
      </c>
      <c r="K2245" s="10" t="str">
        <f>"PFES1162631683_0001"</f>
        <v>PFES1162631683_0001</v>
      </c>
      <c r="L2245" s="10">
        <v>1</v>
      </c>
      <c r="M2245" s="10">
        <v>1</v>
      </c>
    </row>
    <row r="2246" spans="1:13">
      <c r="A2246" s="8">
        <v>43277</v>
      </c>
      <c r="B2246" s="9">
        <v>0.60763888888888895</v>
      </c>
      <c r="C2246" s="10" t="str">
        <f>"FES1162631562"</f>
        <v>FES1162631562</v>
      </c>
      <c r="D2246" s="10" t="s">
        <v>19</v>
      </c>
      <c r="E2246" s="10" t="s">
        <v>550</v>
      </c>
      <c r="F2246" s="10" t="str">
        <f>"2170638459 "</f>
        <v xml:space="preserve">2170638459 </v>
      </c>
      <c r="G2246" s="10" t="str">
        <f t="shared" si="62"/>
        <v>ON1</v>
      </c>
      <c r="H2246" s="10" t="s">
        <v>21</v>
      </c>
      <c r="I2246" s="10" t="s">
        <v>439</v>
      </c>
      <c r="J2246" s="10" t="str">
        <f>""</f>
        <v/>
      </c>
      <c r="K2246" s="10" t="str">
        <f>"PFES1162631562_0001"</f>
        <v>PFES1162631562_0001</v>
      </c>
      <c r="L2246" s="10">
        <v>1</v>
      </c>
      <c r="M2246" s="10">
        <v>1</v>
      </c>
    </row>
    <row r="2247" spans="1:13">
      <c r="A2247" s="8">
        <v>43277</v>
      </c>
      <c r="B2247" s="9">
        <v>0.6069444444444444</v>
      </c>
      <c r="C2247" s="10" t="str">
        <f>"FES1162631703"</f>
        <v>FES1162631703</v>
      </c>
      <c r="D2247" s="10" t="s">
        <v>19</v>
      </c>
      <c r="E2247" s="10" t="s">
        <v>261</v>
      </c>
      <c r="F2247" s="10" t="str">
        <f>"217063062178 "</f>
        <v xml:space="preserve">217063062178 </v>
      </c>
      <c r="G2247" s="10" t="str">
        <f t="shared" si="62"/>
        <v>ON1</v>
      </c>
      <c r="H2247" s="10" t="s">
        <v>21</v>
      </c>
      <c r="I2247" s="10" t="s">
        <v>423</v>
      </c>
      <c r="J2247" s="10" t="str">
        <f>""</f>
        <v/>
      </c>
      <c r="K2247" s="10" t="str">
        <f>"PFES1162631703_0001"</f>
        <v>PFES1162631703_0001</v>
      </c>
      <c r="L2247" s="10">
        <v>1</v>
      </c>
      <c r="M2247" s="10">
        <v>1</v>
      </c>
    </row>
    <row r="2248" spans="1:13">
      <c r="A2248" s="8">
        <v>43277</v>
      </c>
      <c r="B2248" s="9">
        <v>0.6069444444444444</v>
      </c>
      <c r="C2248" s="10" t="str">
        <f>"FES1162631653"</f>
        <v>FES1162631653</v>
      </c>
      <c r="D2248" s="10" t="s">
        <v>19</v>
      </c>
      <c r="E2248" s="10" t="s">
        <v>372</v>
      </c>
      <c r="F2248" s="10" t="str">
        <f>"2170636208 "</f>
        <v xml:space="preserve">2170636208 </v>
      </c>
      <c r="G2248" s="10" t="str">
        <f t="shared" si="62"/>
        <v>ON1</v>
      </c>
      <c r="H2248" s="10" t="s">
        <v>21</v>
      </c>
      <c r="I2248" s="10" t="s">
        <v>93</v>
      </c>
      <c r="J2248" s="10" t="str">
        <f>""</f>
        <v/>
      </c>
      <c r="K2248" s="10" t="str">
        <f>"PFES1162631653_0001"</f>
        <v>PFES1162631653_0001</v>
      </c>
      <c r="L2248" s="10">
        <v>1</v>
      </c>
      <c r="M2248" s="10">
        <v>1</v>
      </c>
    </row>
    <row r="2249" spans="1:13">
      <c r="A2249" s="8">
        <v>43277</v>
      </c>
      <c r="B2249" s="9">
        <v>0.6069444444444444</v>
      </c>
      <c r="C2249" s="10" t="str">
        <f>"FES1162631752"</f>
        <v>FES1162631752</v>
      </c>
      <c r="D2249" s="10" t="s">
        <v>19</v>
      </c>
      <c r="E2249" s="10" t="s">
        <v>481</v>
      </c>
      <c r="F2249" s="10" t="str">
        <f>"2170638532 "</f>
        <v xml:space="preserve">2170638532 </v>
      </c>
      <c r="G2249" s="10" t="str">
        <f t="shared" si="62"/>
        <v>ON1</v>
      </c>
      <c r="H2249" s="10" t="s">
        <v>21</v>
      </c>
      <c r="I2249" s="10" t="s">
        <v>79</v>
      </c>
      <c r="J2249" s="10" t="str">
        <f>""</f>
        <v/>
      </c>
      <c r="K2249" s="10" t="str">
        <f>"PFES1162631752_0001"</f>
        <v>PFES1162631752_0001</v>
      </c>
      <c r="L2249" s="10">
        <v>1</v>
      </c>
      <c r="M2249" s="10">
        <v>1</v>
      </c>
    </row>
    <row r="2250" spans="1:13">
      <c r="A2250" s="8">
        <v>43277</v>
      </c>
      <c r="B2250" s="9">
        <v>0.60625000000000007</v>
      </c>
      <c r="C2250" s="10" t="str">
        <f>"FES1162631690"</f>
        <v>FES1162631690</v>
      </c>
      <c r="D2250" s="10" t="s">
        <v>19</v>
      </c>
      <c r="E2250" s="10" t="s">
        <v>145</v>
      </c>
      <c r="F2250" s="10" t="str">
        <f>"2170636565 "</f>
        <v xml:space="preserve">2170636565 </v>
      </c>
      <c r="G2250" s="10" t="str">
        <f t="shared" si="62"/>
        <v>ON1</v>
      </c>
      <c r="H2250" s="10" t="s">
        <v>21</v>
      </c>
      <c r="I2250" s="10" t="s">
        <v>146</v>
      </c>
      <c r="J2250" s="10" t="str">
        <f>""</f>
        <v/>
      </c>
      <c r="K2250" s="10" t="str">
        <f>"PFES1162631690_0001"</f>
        <v>PFES1162631690_0001</v>
      </c>
      <c r="L2250" s="10">
        <v>1</v>
      </c>
      <c r="M2250" s="10">
        <v>2</v>
      </c>
    </row>
    <row r="2251" spans="1:13">
      <c r="A2251" s="8">
        <v>43277</v>
      </c>
      <c r="B2251" s="9">
        <v>0.60625000000000007</v>
      </c>
      <c r="C2251" s="10" t="str">
        <f>"FES1162631707"</f>
        <v>FES1162631707</v>
      </c>
      <c r="D2251" s="10" t="s">
        <v>19</v>
      </c>
      <c r="E2251" s="10" t="s">
        <v>912</v>
      </c>
      <c r="F2251" s="10" t="str">
        <f>"2170635327 "</f>
        <v xml:space="preserve">2170635327 </v>
      </c>
      <c r="G2251" s="10" t="str">
        <f t="shared" si="62"/>
        <v>ON1</v>
      </c>
      <c r="H2251" s="10" t="s">
        <v>21</v>
      </c>
      <c r="I2251" s="10" t="s">
        <v>913</v>
      </c>
      <c r="J2251" s="10" t="str">
        <f>""</f>
        <v/>
      </c>
      <c r="K2251" s="10" t="str">
        <f>"PFES1162631707_0001"</f>
        <v>PFES1162631707_0001</v>
      </c>
      <c r="L2251" s="10">
        <v>1</v>
      </c>
      <c r="M2251" s="10">
        <v>1</v>
      </c>
    </row>
    <row r="2252" spans="1:13">
      <c r="A2252" s="8">
        <v>43277</v>
      </c>
      <c r="B2252" s="9">
        <v>0.60625000000000007</v>
      </c>
      <c r="C2252" s="10" t="str">
        <f>"FES1162631638"</f>
        <v>FES1162631638</v>
      </c>
      <c r="D2252" s="10" t="s">
        <v>19</v>
      </c>
      <c r="E2252" s="10" t="s">
        <v>312</v>
      </c>
      <c r="F2252" s="10" t="str">
        <f>"2170636005 "</f>
        <v xml:space="preserve">2170636005 </v>
      </c>
      <c r="G2252" s="10" t="str">
        <f t="shared" si="62"/>
        <v>ON1</v>
      </c>
      <c r="H2252" s="10" t="s">
        <v>21</v>
      </c>
      <c r="I2252" s="10" t="s">
        <v>313</v>
      </c>
      <c r="J2252" s="10" t="str">
        <f>""</f>
        <v/>
      </c>
      <c r="K2252" s="10" t="str">
        <f>"PFES1162631638_0001"</f>
        <v>PFES1162631638_0001</v>
      </c>
      <c r="L2252" s="10">
        <v>1</v>
      </c>
      <c r="M2252" s="10">
        <v>1</v>
      </c>
    </row>
    <row r="2253" spans="1:13">
      <c r="A2253" s="8">
        <v>43277</v>
      </c>
      <c r="B2253" s="9">
        <v>0.60625000000000007</v>
      </c>
      <c r="C2253" s="10" t="str">
        <f>"FES1162631720"</f>
        <v>FES1162631720</v>
      </c>
      <c r="D2253" s="10" t="s">
        <v>19</v>
      </c>
      <c r="E2253" s="10" t="s">
        <v>372</v>
      </c>
      <c r="F2253" s="10" t="str">
        <f>"2170635500 "</f>
        <v xml:space="preserve">2170635500 </v>
      </c>
      <c r="G2253" s="10" t="str">
        <f t="shared" si="62"/>
        <v>ON1</v>
      </c>
      <c r="H2253" s="10" t="s">
        <v>21</v>
      </c>
      <c r="I2253" s="10" t="s">
        <v>93</v>
      </c>
      <c r="J2253" s="10" t="str">
        <f>""</f>
        <v/>
      </c>
      <c r="K2253" s="10" t="str">
        <f>"PFES1162631720_0001"</f>
        <v>PFES1162631720_0001</v>
      </c>
      <c r="L2253" s="10">
        <v>1</v>
      </c>
      <c r="M2253" s="10">
        <v>1</v>
      </c>
    </row>
    <row r="2254" spans="1:13">
      <c r="A2254" s="8">
        <v>43277</v>
      </c>
      <c r="B2254" s="9">
        <v>0.60625000000000007</v>
      </c>
      <c r="C2254" s="10" t="str">
        <f>"FES1162631812"</f>
        <v>FES1162631812</v>
      </c>
      <c r="D2254" s="10" t="s">
        <v>19</v>
      </c>
      <c r="E2254" s="10" t="s">
        <v>574</v>
      </c>
      <c r="F2254" s="10" t="str">
        <f>"2170638616 "</f>
        <v xml:space="preserve">2170638616 </v>
      </c>
      <c r="G2254" s="10" t="str">
        <f t="shared" si="62"/>
        <v>ON1</v>
      </c>
      <c r="H2254" s="10" t="s">
        <v>21</v>
      </c>
      <c r="I2254" s="10" t="s">
        <v>104</v>
      </c>
      <c r="J2254" s="10" t="str">
        <f>""</f>
        <v/>
      </c>
      <c r="K2254" s="10" t="str">
        <f>"PFES1162631812_0001"</f>
        <v>PFES1162631812_0001</v>
      </c>
      <c r="L2254" s="10">
        <v>1</v>
      </c>
      <c r="M2254" s="10">
        <v>1</v>
      </c>
    </row>
    <row r="2255" spans="1:13">
      <c r="A2255" s="8">
        <v>43277</v>
      </c>
      <c r="B2255" s="9">
        <v>0.60555555555555551</v>
      </c>
      <c r="C2255" s="10" t="str">
        <f>"FES1162631795"</f>
        <v>FES1162631795</v>
      </c>
      <c r="D2255" s="10" t="s">
        <v>19</v>
      </c>
      <c r="E2255" s="10" t="s">
        <v>74</v>
      </c>
      <c r="F2255" s="10" t="str">
        <f>"2170638595 "</f>
        <v xml:space="preserve">2170638595 </v>
      </c>
      <c r="G2255" s="10" t="str">
        <f t="shared" si="62"/>
        <v>ON1</v>
      </c>
      <c r="H2255" s="10" t="s">
        <v>21</v>
      </c>
      <c r="I2255" s="10" t="s">
        <v>75</v>
      </c>
      <c r="J2255" s="10" t="str">
        <f>""</f>
        <v/>
      </c>
      <c r="K2255" s="10" t="str">
        <f>"PFES1162631795_0001"</f>
        <v>PFES1162631795_0001</v>
      </c>
      <c r="L2255" s="10">
        <v>1</v>
      </c>
      <c r="M2255" s="10">
        <v>1</v>
      </c>
    </row>
    <row r="2256" spans="1:13">
      <c r="A2256" s="8">
        <v>43277</v>
      </c>
      <c r="B2256" s="9">
        <v>0.60555555555555551</v>
      </c>
      <c r="C2256" s="10" t="str">
        <f>"FES1162631722"</f>
        <v>FES1162631722</v>
      </c>
      <c r="D2256" s="10" t="s">
        <v>19</v>
      </c>
      <c r="E2256" s="10" t="s">
        <v>372</v>
      </c>
      <c r="F2256" s="10" t="str">
        <f>"2170635507 "</f>
        <v xml:space="preserve">2170635507 </v>
      </c>
      <c r="G2256" s="10" t="str">
        <f t="shared" si="62"/>
        <v>ON1</v>
      </c>
      <c r="H2256" s="10" t="s">
        <v>21</v>
      </c>
      <c r="I2256" s="10" t="s">
        <v>93</v>
      </c>
      <c r="J2256" s="10" t="str">
        <f>""</f>
        <v/>
      </c>
      <c r="K2256" s="10" t="str">
        <f>"PFES1162631722_0001"</f>
        <v>PFES1162631722_0001</v>
      </c>
      <c r="L2256" s="10">
        <v>1</v>
      </c>
      <c r="M2256" s="10">
        <v>1</v>
      </c>
    </row>
    <row r="2257" spans="1:13">
      <c r="A2257" s="8">
        <v>43277</v>
      </c>
      <c r="B2257" s="9">
        <v>0.60555555555555551</v>
      </c>
      <c r="C2257" s="10" t="str">
        <f>"FES1162631721"</f>
        <v>FES1162631721</v>
      </c>
      <c r="D2257" s="10" t="s">
        <v>19</v>
      </c>
      <c r="E2257" s="10" t="s">
        <v>372</v>
      </c>
      <c r="F2257" s="10" t="str">
        <f>"2170635503 "</f>
        <v xml:space="preserve">2170635503 </v>
      </c>
      <c r="G2257" s="10" t="str">
        <f t="shared" si="62"/>
        <v>ON1</v>
      </c>
      <c r="H2257" s="10" t="s">
        <v>21</v>
      </c>
      <c r="I2257" s="10" t="s">
        <v>93</v>
      </c>
      <c r="J2257" s="10" t="str">
        <f>""</f>
        <v/>
      </c>
      <c r="K2257" s="10" t="str">
        <f>"PFES1162631721_0001"</f>
        <v>PFES1162631721_0001</v>
      </c>
      <c r="L2257" s="10">
        <v>1</v>
      </c>
      <c r="M2257" s="10">
        <v>1</v>
      </c>
    </row>
    <row r="2258" spans="1:13">
      <c r="A2258" s="8">
        <v>43277</v>
      </c>
      <c r="B2258" s="9">
        <v>0.60486111111111118</v>
      </c>
      <c r="C2258" s="10" t="str">
        <f>"FES1162631641"</f>
        <v>FES1162631641</v>
      </c>
      <c r="D2258" s="10" t="s">
        <v>19</v>
      </c>
      <c r="E2258" s="10" t="s">
        <v>67</v>
      </c>
      <c r="F2258" s="10" t="str">
        <f>"2170636029 "</f>
        <v xml:space="preserve">2170636029 </v>
      </c>
      <c r="G2258" s="10" t="str">
        <f t="shared" si="62"/>
        <v>ON1</v>
      </c>
      <c r="H2258" s="10" t="s">
        <v>21</v>
      </c>
      <c r="I2258" s="10" t="s">
        <v>397</v>
      </c>
      <c r="J2258" s="10" t="str">
        <f>""</f>
        <v/>
      </c>
      <c r="K2258" s="10" t="str">
        <f>"PFES1162631641_0001"</f>
        <v>PFES1162631641_0001</v>
      </c>
      <c r="L2258" s="10">
        <v>1</v>
      </c>
      <c r="M2258" s="10">
        <v>1</v>
      </c>
    </row>
    <row r="2259" spans="1:13">
      <c r="A2259" s="8">
        <v>43277</v>
      </c>
      <c r="B2259" s="9">
        <v>0.60486111111111118</v>
      </c>
      <c r="C2259" s="10" t="str">
        <f>"FES1162631750"</f>
        <v>FES1162631750</v>
      </c>
      <c r="D2259" s="10" t="s">
        <v>19</v>
      </c>
      <c r="E2259" s="10" t="s">
        <v>899</v>
      </c>
      <c r="F2259" s="10" t="str">
        <f>"2170638541 "</f>
        <v xml:space="preserve">2170638541 </v>
      </c>
      <c r="G2259" s="10" t="str">
        <f t="shared" si="62"/>
        <v>ON1</v>
      </c>
      <c r="H2259" s="10" t="s">
        <v>21</v>
      </c>
      <c r="I2259" s="10" t="s">
        <v>46</v>
      </c>
      <c r="J2259" s="10" t="str">
        <f>""</f>
        <v/>
      </c>
      <c r="K2259" s="10" t="str">
        <f>"PFES1162631750_0001"</f>
        <v>PFES1162631750_0001</v>
      </c>
      <c r="L2259" s="10">
        <v>1</v>
      </c>
      <c r="M2259" s="10">
        <v>3</v>
      </c>
    </row>
    <row r="2260" spans="1:13">
      <c r="A2260" s="8">
        <v>43277</v>
      </c>
      <c r="B2260" s="9">
        <v>0.60486111111111118</v>
      </c>
      <c r="C2260" s="10" t="str">
        <f>"FES1162631723"</f>
        <v>FES1162631723</v>
      </c>
      <c r="D2260" s="10" t="s">
        <v>19</v>
      </c>
      <c r="E2260" s="10" t="s">
        <v>372</v>
      </c>
      <c r="F2260" s="10" t="str">
        <f>"2170635510 "</f>
        <v xml:space="preserve">2170635510 </v>
      </c>
      <c r="G2260" s="10" t="str">
        <f t="shared" si="62"/>
        <v>ON1</v>
      </c>
      <c r="H2260" s="10" t="s">
        <v>21</v>
      </c>
      <c r="I2260" s="10" t="s">
        <v>93</v>
      </c>
      <c r="J2260" s="10" t="str">
        <f>""</f>
        <v/>
      </c>
      <c r="K2260" s="10" t="str">
        <f>"PFES1162631723_0001"</f>
        <v>PFES1162631723_0001</v>
      </c>
      <c r="L2260" s="10">
        <v>1</v>
      </c>
      <c r="M2260" s="10">
        <v>1</v>
      </c>
    </row>
    <row r="2261" spans="1:13">
      <c r="A2261" s="8">
        <v>43277</v>
      </c>
      <c r="B2261" s="9">
        <v>0.60486111111111118</v>
      </c>
      <c r="C2261" s="10" t="str">
        <f>"FES1162631700"</f>
        <v>FES1162631700</v>
      </c>
      <c r="D2261" s="10" t="s">
        <v>19</v>
      </c>
      <c r="E2261" s="10" t="s">
        <v>316</v>
      </c>
      <c r="F2261" s="10" t="str">
        <f>"2170638533 "</f>
        <v xml:space="preserve">2170638533 </v>
      </c>
      <c r="G2261" s="10" t="str">
        <f t="shared" si="62"/>
        <v>ON1</v>
      </c>
      <c r="H2261" s="10" t="s">
        <v>21</v>
      </c>
      <c r="I2261" s="10" t="s">
        <v>317</v>
      </c>
      <c r="J2261" s="10" t="str">
        <f>""</f>
        <v/>
      </c>
      <c r="K2261" s="10" t="str">
        <f>"PFES1162631700_0001"</f>
        <v>PFES1162631700_0001</v>
      </c>
      <c r="L2261" s="10">
        <v>1</v>
      </c>
      <c r="M2261" s="10">
        <v>1</v>
      </c>
    </row>
    <row r="2262" spans="1:13">
      <c r="A2262" s="8">
        <v>43277</v>
      </c>
      <c r="B2262" s="9">
        <v>0.60416666666666663</v>
      </c>
      <c r="C2262" s="10" t="str">
        <f>"FES1162631729"</f>
        <v>FES1162631729</v>
      </c>
      <c r="D2262" s="10" t="s">
        <v>19</v>
      </c>
      <c r="E2262" s="10" t="s">
        <v>312</v>
      </c>
      <c r="F2262" s="10" t="str">
        <f>"2170635641 "</f>
        <v xml:space="preserve">2170635641 </v>
      </c>
      <c r="G2262" s="10" t="str">
        <f t="shared" si="62"/>
        <v>ON1</v>
      </c>
      <c r="H2262" s="10" t="s">
        <v>21</v>
      </c>
      <c r="I2262" s="10" t="s">
        <v>313</v>
      </c>
      <c r="J2262" s="10" t="str">
        <f>""</f>
        <v/>
      </c>
      <c r="K2262" s="10" t="str">
        <f>"PFES1162631729_0001"</f>
        <v>PFES1162631729_0001</v>
      </c>
      <c r="L2262" s="10">
        <v>1</v>
      </c>
      <c r="M2262" s="10">
        <v>1</v>
      </c>
    </row>
    <row r="2263" spans="1:13">
      <c r="A2263" s="8">
        <v>43277</v>
      </c>
      <c r="B2263" s="9">
        <v>0.60416666666666663</v>
      </c>
      <c r="C2263" s="10" t="str">
        <f>"FES1162631661"</f>
        <v>FES1162631661</v>
      </c>
      <c r="D2263" s="10" t="s">
        <v>19</v>
      </c>
      <c r="E2263" s="10" t="s">
        <v>372</v>
      </c>
      <c r="F2263" s="10" t="str">
        <f>"2170636305 "</f>
        <v xml:space="preserve">2170636305 </v>
      </c>
      <c r="G2263" s="10" t="str">
        <f t="shared" si="62"/>
        <v>ON1</v>
      </c>
      <c r="H2263" s="10" t="s">
        <v>21</v>
      </c>
      <c r="I2263" s="10" t="s">
        <v>93</v>
      </c>
      <c r="J2263" s="10" t="str">
        <f>""</f>
        <v/>
      </c>
      <c r="K2263" s="10" t="str">
        <f>"PFES1162631661_0001"</f>
        <v>PFES1162631661_0001</v>
      </c>
      <c r="L2263" s="10">
        <v>1</v>
      </c>
      <c r="M2263" s="10">
        <v>1</v>
      </c>
    </row>
    <row r="2264" spans="1:13">
      <c r="A2264" s="8">
        <v>43277</v>
      </c>
      <c r="B2264" s="9">
        <v>0.60416666666666663</v>
      </c>
      <c r="C2264" s="10" t="str">
        <f>"FES1162631618"</f>
        <v>FES1162631618</v>
      </c>
      <c r="D2264" s="10" t="s">
        <v>19</v>
      </c>
      <c r="E2264" s="10" t="s">
        <v>409</v>
      </c>
      <c r="F2264" s="10" t="str">
        <f>"2170638509 "</f>
        <v xml:space="preserve">2170638509 </v>
      </c>
      <c r="G2264" s="10" t="str">
        <f t="shared" si="62"/>
        <v>ON1</v>
      </c>
      <c r="H2264" s="10" t="s">
        <v>21</v>
      </c>
      <c r="I2264" s="10" t="s">
        <v>265</v>
      </c>
      <c r="J2264" s="10" t="str">
        <f>""</f>
        <v/>
      </c>
      <c r="K2264" s="10" t="str">
        <f>"PFES1162631618_0001"</f>
        <v>PFES1162631618_0001</v>
      </c>
      <c r="L2264" s="10">
        <v>1</v>
      </c>
      <c r="M2264" s="10">
        <v>1</v>
      </c>
    </row>
    <row r="2265" spans="1:13">
      <c r="A2265" s="8">
        <v>43277</v>
      </c>
      <c r="B2265" s="9">
        <v>0.60347222222222219</v>
      </c>
      <c r="C2265" s="10" t="str">
        <f>"FES1162631030"</f>
        <v>FES1162631030</v>
      </c>
      <c r="D2265" s="10" t="s">
        <v>19</v>
      </c>
      <c r="E2265" s="10" t="s">
        <v>379</v>
      </c>
      <c r="F2265" s="10" t="str">
        <f>"2170637226 "</f>
        <v xml:space="preserve">2170637226 </v>
      </c>
      <c r="G2265" s="10" t="str">
        <f>"DBC"</f>
        <v>DBC</v>
      </c>
      <c r="H2265" s="10" t="s">
        <v>21</v>
      </c>
      <c r="I2265" s="10" t="s">
        <v>589</v>
      </c>
      <c r="J2265" s="10" t="str">
        <f>""</f>
        <v/>
      </c>
      <c r="K2265" s="10" t="str">
        <f>"PFES1162631030_0001"</f>
        <v>PFES1162631030_0001</v>
      </c>
      <c r="L2265" s="10">
        <v>2</v>
      </c>
      <c r="M2265" s="10">
        <v>24</v>
      </c>
    </row>
    <row r="2266" spans="1:13">
      <c r="A2266" s="8">
        <v>43277</v>
      </c>
      <c r="B2266" s="9">
        <v>0.59791666666666665</v>
      </c>
      <c r="C2266" s="10" t="str">
        <f>"FES1162631572"</f>
        <v>FES1162631572</v>
      </c>
      <c r="D2266" s="10" t="s">
        <v>19</v>
      </c>
      <c r="E2266" s="10" t="s">
        <v>445</v>
      </c>
      <c r="F2266" s="10" t="str">
        <f>"2170638474 "</f>
        <v xml:space="preserve">2170638474 </v>
      </c>
      <c r="G2266" s="10" t="str">
        <f t="shared" ref="G2266:G2329" si="63">"ON1"</f>
        <v>ON1</v>
      </c>
      <c r="H2266" s="10" t="s">
        <v>21</v>
      </c>
      <c r="I2266" s="10" t="s">
        <v>446</v>
      </c>
      <c r="J2266" s="10" t="str">
        <f>""</f>
        <v/>
      </c>
      <c r="K2266" s="10" t="str">
        <f>"PFES1162631572_0001"</f>
        <v>PFES1162631572_0001</v>
      </c>
      <c r="L2266" s="10">
        <v>1</v>
      </c>
      <c r="M2266" s="10">
        <v>1</v>
      </c>
    </row>
    <row r="2267" spans="1:13">
      <c r="A2267" s="8">
        <v>43277</v>
      </c>
      <c r="B2267" s="9">
        <v>0.59722222222222221</v>
      </c>
      <c r="C2267" s="10" t="str">
        <f>"FES1162631621"</f>
        <v>FES1162631621</v>
      </c>
      <c r="D2267" s="10" t="s">
        <v>19</v>
      </c>
      <c r="E2267" s="10" t="s">
        <v>366</v>
      </c>
      <c r="F2267" s="10" t="str">
        <f>"2170638620 "</f>
        <v xml:space="preserve">2170638620 </v>
      </c>
      <c r="G2267" s="10" t="str">
        <f t="shared" si="63"/>
        <v>ON1</v>
      </c>
      <c r="H2267" s="10" t="s">
        <v>21</v>
      </c>
      <c r="I2267" s="10" t="s">
        <v>367</v>
      </c>
      <c r="J2267" s="10" t="str">
        <f>""</f>
        <v/>
      </c>
      <c r="K2267" s="10" t="str">
        <f>"PFES1162631621_0001"</f>
        <v>PFES1162631621_0001</v>
      </c>
      <c r="L2267" s="10">
        <v>1</v>
      </c>
      <c r="M2267" s="10">
        <v>1</v>
      </c>
    </row>
    <row r="2268" spans="1:13">
      <c r="A2268" s="8">
        <v>43277</v>
      </c>
      <c r="B2268" s="9">
        <v>0.57986111111111105</v>
      </c>
      <c r="C2268" s="10" t="str">
        <f>"FES1162631733"</f>
        <v>FES1162631733</v>
      </c>
      <c r="D2268" s="10" t="s">
        <v>19</v>
      </c>
      <c r="E2268" s="10" t="s">
        <v>314</v>
      </c>
      <c r="F2268" s="10" t="str">
        <f>"2170635716 "</f>
        <v xml:space="preserve">2170635716 </v>
      </c>
      <c r="G2268" s="10" t="str">
        <f t="shared" si="63"/>
        <v>ON1</v>
      </c>
      <c r="H2268" s="10" t="s">
        <v>21</v>
      </c>
      <c r="I2268" s="10" t="s">
        <v>57</v>
      </c>
      <c r="J2268" s="10" t="str">
        <f>""</f>
        <v/>
      </c>
      <c r="K2268" s="10" t="str">
        <f>"PFES1162631733_0001"</f>
        <v>PFES1162631733_0001</v>
      </c>
      <c r="L2268" s="10">
        <v>1</v>
      </c>
      <c r="M2268" s="10">
        <v>1</v>
      </c>
    </row>
    <row r="2269" spans="1:13">
      <c r="A2269" s="8">
        <v>43277</v>
      </c>
      <c r="B2269" s="9">
        <v>0.57916666666666672</v>
      </c>
      <c r="C2269" s="10" t="str">
        <f>"FES1162631755"</f>
        <v>FES1162631755</v>
      </c>
      <c r="D2269" s="10" t="s">
        <v>19</v>
      </c>
      <c r="E2269" s="10" t="s">
        <v>703</v>
      </c>
      <c r="F2269" s="10" t="str">
        <f>"2170638554 "</f>
        <v xml:space="preserve">2170638554 </v>
      </c>
      <c r="G2269" s="10" t="str">
        <f t="shared" si="63"/>
        <v>ON1</v>
      </c>
      <c r="H2269" s="10" t="s">
        <v>21</v>
      </c>
      <c r="I2269" s="10" t="s">
        <v>61</v>
      </c>
      <c r="J2269" s="10" t="str">
        <f>""</f>
        <v/>
      </c>
      <c r="K2269" s="10" t="str">
        <f>"PFES1162631755_0001"</f>
        <v>PFES1162631755_0001</v>
      </c>
      <c r="L2269" s="10">
        <v>1</v>
      </c>
      <c r="M2269" s="10">
        <v>1</v>
      </c>
    </row>
    <row r="2270" spans="1:13">
      <c r="A2270" s="8">
        <v>43277</v>
      </c>
      <c r="B2270" s="9">
        <v>0.57916666666666672</v>
      </c>
      <c r="C2270" s="10" t="str">
        <f>"FES1162631796"</f>
        <v>FES1162631796</v>
      </c>
      <c r="D2270" s="10" t="s">
        <v>19</v>
      </c>
      <c r="E2270" s="10" t="s">
        <v>95</v>
      </c>
      <c r="F2270" s="10" t="str">
        <f>"2170638597 "</f>
        <v xml:space="preserve">2170638597 </v>
      </c>
      <c r="G2270" s="10" t="str">
        <f t="shared" si="63"/>
        <v>ON1</v>
      </c>
      <c r="H2270" s="10" t="s">
        <v>21</v>
      </c>
      <c r="I2270" s="10" t="s">
        <v>96</v>
      </c>
      <c r="J2270" s="10" t="str">
        <f>""</f>
        <v/>
      </c>
      <c r="K2270" s="10" t="str">
        <f>"PFES1162631796_0001"</f>
        <v>PFES1162631796_0001</v>
      </c>
      <c r="L2270" s="10">
        <v>1</v>
      </c>
      <c r="M2270" s="10">
        <v>1</v>
      </c>
    </row>
    <row r="2271" spans="1:13">
      <c r="A2271" s="8">
        <v>43277</v>
      </c>
      <c r="B2271" s="9">
        <v>0.57847222222222217</v>
      </c>
      <c r="C2271" s="10" t="str">
        <f>"FES1162631633"</f>
        <v>FES1162631633</v>
      </c>
      <c r="D2271" s="10" t="s">
        <v>19</v>
      </c>
      <c r="E2271" s="10" t="s">
        <v>60</v>
      </c>
      <c r="F2271" s="10" t="str">
        <f>"2170634812 "</f>
        <v xml:space="preserve">2170634812 </v>
      </c>
      <c r="G2271" s="10" t="str">
        <f t="shared" si="63"/>
        <v>ON1</v>
      </c>
      <c r="H2271" s="10" t="s">
        <v>21</v>
      </c>
      <c r="I2271" s="10" t="s">
        <v>61</v>
      </c>
      <c r="J2271" s="10" t="str">
        <f>""</f>
        <v/>
      </c>
      <c r="K2271" s="10" t="str">
        <f>"PFES1162631633_0001"</f>
        <v>PFES1162631633_0001</v>
      </c>
      <c r="L2271" s="10">
        <v>1</v>
      </c>
      <c r="M2271" s="10">
        <v>1</v>
      </c>
    </row>
    <row r="2272" spans="1:13">
      <c r="A2272" s="8">
        <v>43277</v>
      </c>
      <c r="B2272" s="9">
        <v>0.57847222222222217</v>
      </c>
      <c r="C2272" s="10" t="str">
        <f>"FES1162631713"</f>
        <v>FES1162631713</v>
      </c>
      <c r="D2272" s="10" t="s">
        <v>19</v>
      </c>
      <c r="E2272" s="10" t="s">
        <v>95</v>
      </c>
      <c r="F2272" s="10" t="str">
        <f>"2170635436 "</f>
        <v xml:space="preserve">2170635436 </v>
      </c>
      <c r="G2272" s="10" t="str">
        <f t="shared" si="63"/>
        <v>ON1</v>
      </c>
      <c r="H2272" s="10" t="s">
        <v>21</v>
      </c>
      <c r="I2272" s="10" t="s">
        <v>96</v>
      </c>
      <c r="J2272" s="10" t="str">
        <f>""</f>
        <v/>
      </c>
      <c r="K2272" s="10" t="str">
        <f>"PFES1162631713_0001"</f>
        <v>PFES1162631713_0001</v>
      </c>
      <c r="L2272" s="10">
        <v>1</v>
      </c>
      <c r="M2272" s="10">
        <v>1</v>
      </c>
    </row>
    <row r="2273" spans="1:13">
      <c r="A2273" s="8">
        <v>43277</v>
      </c>
      <c r="B2273" s="9">
        <v>0.57777777777777783</v>
      </c>
      <c r="C2273" s="10" t="str">
        <f>"FES1162631814"</f>
        <v>FES1162631814</v>
      </c>
      <c r="D2273" s="10" t="s">
        <v>19</v>
      </c>
      <c r="E2273" s="10" t="s">
        <v>883</v>
      </c>
      <c r="F2273" s="10" t="str">
        <f>"2170638618 "</f>
        <v xml:space="preserve">2170638618 </v>
      </c>
      <c r="G2273" s="10" t="str">
        <f t="shared" si="63"/>
        <v>ON1</v>
      </c>
      <c r="H2273" s="10" t="s">
        <v>21</v>
      </c>
      <c r="I2273" s="10" t="s">
        <v>146</v>
      </c>
      <c r="J2273" s="10" t="str">
        <f>""</f>
        <v/>
      </c>
      <c r="K2273" s="10" t="str">
        <f>"PFES1162631814_0001"</f>
        <v>PFES1162631814_0001</v>
      </c>
      <c r="L2273" s="10">
        <v>1</v>
      </c>
      <c r="M2273" s="10">
        <v>1</v>
      </c>
    </row>
    <row r="2274" spans="1:13">
      <c r="A2274" s="8">
        <v>43277</v>
      </c>
      <c r="B2274" s="9">
        <v>0.57777777777777783</v>
      </c>
      <c r="C2274" s="10" t="str">
        <f>"FES1162631595"</f>
        <v>FES1162631595</v>
      </c>
      <c r="D2274" s="10" t="s">
        <v>19</v>
      </c>
      <c r="E2274" s="10" t="s">
        <v>278</v>
      </c>
      <c r="F2274" s="10" t="str">
        <f>"2170638454 "</f>
        <v xml:space="preserve">2170638454 </v>
      </c>
      <c r="G2274" s="10" t="str">
        <f t="shared" si="63"/>
        <v>ON1</v>
      </c>
      <c r="H2274" s="10" t="s">
        <v>21</v>
      </c>
      <c r="I2274" s="10" t="s">
        <v>279</v>
      </c>
      <c r="J2274" s="10" t="str">
        <f>""</f>
        <v/>
      </c>
      <c r="K2274" s="10" t="str">
        <f>"PFES1162631595_0001"</f>
        <v>PFES1162631595_0001</v>
      </c>
      <c r="L2274" s="10">
        <v>1</v>
      </c>
      <c r="M2274" s="10">
        <v>1</v>
      </c>
    </row>
    <row r="2275" spans="1:13">
      <c r="A2275" s="8">
        <v>43277</v>
      </c>
      <c r="B2275" s="9">
        <v>0.57708333333333328</v>
      </c>
      <c r="C2275" s="10" t="str">
        <f>"FES1162631548"</f>
        <v>FES1162631548</v>
      </c>
      <c r="D2275" s="10" t="s">
        <v>19</v>
      </c>
      <c r="E2275" s="10" t="s">
        <v>140</v>
      </c>
      <c r="F2275" s="10" t="str">
        <f>"2170638434 "</f>
        <v xml:space="preserve">2170638434 </v>
      </c>
      <c r="G2275" s="10" t="str">
        <f t="shared" si="63"/>
        <v>ON1</v>
      </c>
      <c r="H2275" s="10" t="s">
        <v>21</v>
      </c>
      <c r="I2275" s="10" t="s">
        <v>141</v>
      </c>
      <c r="J2275" s="10" t="str">
        <f>""</f>
        <v/>
      </c>
      <c r="K2275" s="10" t="str">
        <f>"PFES1162631548_0001"</f>
        <v>PFES1162631548_0001</v>
      </c>
      <c r="L2275" s="10">
        <v>1</v>
      </c>
      <c r="M2275" s="10">
        <v>1</v>
      </c>
    </row>
    <row r="2276" spans="1:13">
      <c r="A2276" s="8">
        <v>43277</v>
      </c>
      <c r="B2276" s="9">
        <v>0.57152777777777775</v>
      </c>
      <c r="C2276" s="10" t="str">
        <f>"FES1162631509"</f>
        <v>FES1162631509</v>
      </c>
      <c r="D2276" s="10" t="s">
        <v>19</v>
      </c>
      <c r="E2276" s="10" t="s">
        <v>986</v>
      </c>
      <c r="F2276" s="10" t="str">
        <f>"2170636648 "</f>
        <v xml:space="preserve">2170636648 </v>
      </c>
      <c r="G2276" s="10" t="str">
        <f t="shared" si="63"/>
        <v>ON1</v>
      </c>
      <c r="H2276" s="10" t="s">
        <v>21</v>
      </c>
      <c r="I2276" s="10" t="s">
        <v>987</v>
      </c>
      <c r="J2276" s="10" t="str">
        <f>""</f>
        <v/>
      </c>
      <c r="K2276" s="10" t="str">
        <f>"PFES1162631509_0001"</f>
        <v>PFES1162631509_0001</v>
      </c>
      <c r="L2276" s="10">
        <v>1</v>
      </c>
      <c r="M2276" s="10">
        <v>2</v>
      </c>
    </row>
    <row r="2277" spans="1:13">
      <c r="A2277" s="8">
        <v>43277</v>
      </c>
      <c r="B2277" s="9">
        <v>0.57013888888888886</v>
      </c>
      <c r="C2277" s="10" t="str">
        <f>"FES1162631615"</f>
        <v>FES1162631615</v>
      </c>
      <c r="D2277" s="10" t="s">
        <v>19</v>
      </c>
      <c r="E2277" s="10" t="s">
        <v>332</v>
      </c>
      <c r="F2277" s="10" t="str">
        <f>"2170638501 "</f>
        <v xml:space="preserve">2170638501 </v>
      </c>
      <c r="G2277" s="10" t="str">
        <f t="shared" si="63"/>
        <v>ON1</v>
      </c>
      <c r="H2277" s="10" t="s">
        <v>21</v>
      </c>
      <c r="I2277" s="10" t="s">
        <v>333</v>
      </c>
      <c r="J2277" s="10" t="str">
        <f>""</f>
        <v/>
      </c>
      <c r="K2277" s="10" t="str">
        <f>"PFES1162631615_0001"</f>
        <v>PFES1162631615_0001</v>
      </c>
      <c r="L2277" s="10">
        <v>1</v>
      </c>
      <c r="M2277" s="10">
        <v>6</v>
      </c>
    </row>
    <row r="2278" spans="1:13">
      <c r="A2278" s="8">
        <v>43277</v>
      </c>
      <c r="B2278" s="9">
        <v>0.56874999999999998</v>
      </c>
      <c r="C2278" s="10" t="str">
        <f>"FES1162631671"</f>
        <v>FES1162631671</v>
      </c>
      <c r="D2278" s="10" t="s">
        <v>19</v>
      </c>
      <c r="E2278" s="10" t="s">
        <v>988</v>
      </c>
      <c r="F2278" s="10" t="str">
        <f>"2170636387 "</f>
        <v xml:space="preserve">2170636387 </v>
      </c>
      <c r="G2278" s="10" t="str">
        <f t="shared" si="63"/>
        <v>ON1</v>
      </c>
      <c r="H2278" s="10" t="s">
        <v>21</v>
      </c>
      <c r="I2278" s="10" t="s">
        <v>42</v>
      </c>
      <c r="J2278" s="10" t="str">
        <f>""</f>
        <v/>
      </c>
      <c r="K2278" s="10" t="str">
        <f>"PFES1162631671_0001"</f>
        <v>PFES1162631671_0001</v>
      </c>
      <c r="L2278" s="10">
        <v>1</v>
      </c>
      <c r="M2278" s="10">
        <v>3</v>
      </c>
    </row>
    <row r="2279" spans="1:13">
      <c r="A2279" s="8">
        <v>43277</v>
      </c>
      <c r="B2279" s="9">
        <v>0.56597222222222221</v>
      </c>
      <c r="C2279" s="10" t="str">
        <f>"FES1162631551"</f>
        <v>FES1162631551</v>
      </c>
      <c r="D2279" s="10" t="s">
        <v>19</v>
      </c>
      <c r="E2279" s="10" t="s">
        <v>387</v>
      </c>
      <c r="F2279" s="10" t="str">
        <f>"2170638438 "</f>
        <v xml:space="preserve">2170638438 </v>
      </c>
      <c r="G2279" s="10" t="str">
        <f t="shared" si="63"/>
        <v>ON1</v>
      </c>
      <c r="H2279" s="10" t="s">
        <v>21</v>
      </c>
      <c r="I2279" s="10" t="s">
        <v>69</v>
      </c>
      <c r="J2279" s="10" t="str">
        <f>""</f>
        <v/>
      </c>
      <c r="K2279" s="10" t="str">
        <f>"PFES1162631551_0001"</f>
        <v>PFES1162631551_0001</v>
      </c>
      <c r="L2279" s="10">
        <v>1</v>
      </c>
      <c r="M2279" s="10">
        <v>1</v>
      </c>
    </row>
    <row r="2280" spans="1:13">
      <c r="A2280" s="8">
        <v>43277</v>
      </c>
      <c r="B2280" s="9">
        <v>0.56527777777777777</v>
      </c>
      <c r="C2280" s="10" t="str">
        <f>"FES1162631632"</f>
        <v>FES1162631632</v>
      </c>
      <c r="D2280" s="10" t="s">
        <v>19</v>
      </c>
      <c r="E2280" s="10" t="s">
        <v>989</v>
      </c>
      <c r="F2280" s="10" t="str">
        <f>"2170633409 "</f>
        <v xml:space="preserve">2170633409 </v>
      </c>
      <c r="G2280" s="10" t="str">
        <f t="shared" si="63"/>
        <v>ON1</v>
      </c>
      <c r="H2280" s="10" t="s">
        <v>21</v>
      </c>
      <c r="I2280" s="10" t="s">
        <v>104</v>
      </c>
      <c r="J2280" s="10" t="str">
        <f>""</f>
        <v/>
      </c>
      <c r="K2280" s="10" t="str">
        <f>"PFES1162631632_0001"</f>
        <v>PFES1162631632_0001</v>
      </c>
      <c r="L2280" s="10">
        <v>1</v>
      </c>
      <c r="M2280" s="10">
        <v>3</v>
      </c>
    </row>
    <row r="2281" spans="1:13">
      <c r="A2281" s="8">
        <v>43277</v>
      </c>
      <c r="B2281" s="9">
        <v>0.56527777777777777</v>
      </c>
      <c r="C2281" s="10" t="str">
        <f>"FES1162631666"</f>
        <v>FES1162631666</v>
      </c>
      <c r="D2281" s="10" t="s">
        <v>19</v>
      </c>
      <c r="E2281" s="10" t="s">
        <v>535</v>
      </c>
      <c r="F2281" s="10" t="str">
        <f>"2170636343 "</f>
        <v xml:space="preserve">2170636343 </v>
      </c>
      <c r="G2281" s="10" t="str">
        <f t="shared" si="63"/>
        <v>ON1</v>
      </c>
      <c r="H2281" s="10" t="s">
        <v>21</v>
      </c>
      <c r="I2281" s="10" t="s">
        <v>146</v>
      </c>
      <c r="J2281" s="10" t="str">
        <f>""</f>
        <v/>
      </c>
      <c r="K2281" s="10" t="str">
        <f>"PFES1162631666_0001"</f>
        <v>PFES1162631666_0001</v>
      </c>
      <c r="L2281" s="10">
        <v>1</v>
      </c>
      <c r="M2281" s="10">
        <v>1</v>
      </c>
    </row>
    <row r="2282" spans="1:13">
      <c r="A2282" s="8">
        <v>43277</v>
      </c>
      <c r="B2282" s="9">
        <v>0.56527777777777777</v>
      </c>
      <c r="C2282" s="10" t="str">
        <f>"FES1162631540"</f>
        <v>FES1162631540</v>
      </c>
      <c r="D2282" s="10" t="s">
        <v>19</v>
      </c>
      <c r="E2282" s="10" t="s">
        <v>938</v>
      </c>
      <c r="F2282" s="10" t="str">
        <f>"2170638420 "</f>
        <v xml:space="preserve">2170638420 </v>
      </c>
      <c r="G2282" s="10" t="str">
        <f t="shared" si="63"/>
        <v>ON1</v>
      </c>
      <c r="H2282" s="10" t="s">
        <v>21</v>
      </c>
      <c r="I2282" s="10" t="s">
        <v>93</v>
      </c>
      <c r="J2282" s="10" t="str">
        <f>""</f>
        <v/>
      </c>
      <c r="K2282" s="10" t="str">
        <f>"PFES1162631540_0001"</f>
        <v>PFES1162631540_0001</v>
      </c>
      <c r="L2282" s="10">
        <v>1</v>
      </c>
      <c r="M2282" s="10">
        <v>1</v>
      </c>
    </row>
    <row r="2283" spans="1:13">
      <c r="A2283" s="8">
        <v>43277</v>
      </c>
      <c r="B2283" s="9">
        <v>0.56458333333333333</v>
      </c>
      <c r="C2283" s="10" t="str">
        <f>"FES1162631628"</f>
        <v>FES1162631628</v>
      </c>
      <c r="D2283" s="10" t="s">
        <v>19</v>
      </c>
      <c r="E2283" s="10" t="s">
        <v>315</v>
      </c>
      <c r="F2283" s="10" t="str">
        <f>"217063168 "</f>
        <v xml:space="preserve">217063168 </v>
      </c>
      <c r="G2283" s="10" t="str">
        <f t="shared" si="63"/>
        <v>ON1</v>
      </c>
      <c r="H2283" s="10" t="s">
        <v>21</v>
      </c>
      <c r="I2283" s="10" t="s">
        <v>104</v>
      </c>
      <c r="J2283" s="10" t="str">
        <f>""</f>
        <v/>
      </c>
      <c r="K2283" s="10" t="str">
        <f>"PFES1162631628_0001"</f>
        <v>PFES1162631628_0001</v>
      </c>
      <c r="L2283" s="10">
        <v>1</v>
      </c>
      <c r="M2283" s="10">
        <v>1</v>
      </c>
    </row>
    <row r="2284" spans="1:13">
      <c r="A2284" s="8">
        <v>43277</v>
      </c>
      <c r="B2284" s="9">
        <v>0.56458333333333333</v>
      </c>
      <c r="C2284" s="10" t="str">
        <f>"FES1162631652"</f>
        <v>FES1162631652</v>
      </c>
      <c r="D2284" s="10" t="s">
        <v>19</v>
      </c>
      <c r="E2284" s="10" t="s">
        <v>315</v>
      </c>
      <c r="F2284" s="10" t="str">
        <f>"217063620 "</f>
        <v xml:space="preserve">217063620 </v>
      </c>
      <c r="G2284" s="10" t="str">
        <f t="shared" si="63"/>
        <v>ON1</v>
      </c>
      <c r="H2284" s="10" t="s">
        <v>21</v>
      </c>
      <c r="I2284" s="10" t="s">
        <v>104</v>
      </c>
      <c r="J2284" s="10" t="str">
        <f>""</f>
        <v/>
      </c>
      <c r="K2284" s="10" t="str">
        <f>"PFES1162631652_0001"</f>
        <v>PFES1162631652_0001</v>
      </c>
      <c r="L2284" s="10">
        <v>1</v>
      </c>
      <c r="M2284" s="10">
        <v>1</v>
      </c>
    </row>
    <row r="2285" spans="1:13">
      <c r="A2285" s="8">
        <v>43277</v>
      </c>
      <c r="B2285" s="9">
        <v>0.56388888888888888</v>
      </c>
      <c r="C2285" s="10" t="str">
        <f>"FES1162631646"</f>
        <v>FES1162631646</v>
      </c>
      <c r="D2285" s="10" t="s">
        <v>19</v>
      </c>
      <c r="E2285" s="10" t="s">
        <v>95</v>
      </c>
      <c r="F2285" s="10" t="str">
        <f>"2170636153 "</f>
        <v xml:space="preserve">2170636153 </v>
      </c>
      <c r="G2285" s="10" t="str">
        <f t="shared" si="63"/>
        <v>ON1</v>
      </c>
      <c r="H2285" s="10" t="s">
        <v>21</v>
      </c>
      <c r="I2285" s="10" t="s">
        <v>96</v>
      </c>
      <c r="J2285" s="10" t="str">
        <f>""</f>
        <v/>
      </c>
      <c r="K2285" s="10" t="str">
        <f>"PFES1162631646_0001"</f>
        <v>PFES1162631646_0001</v>
      </c>
      <c r="L2285" s="10">
        <v>1</v>
      </c>
      <c r="M2285" s="10">
        <v>7</v>
      </c>
    </row>
    <row r="2286" spans="1:13">
      <c r="A2286" s="8">
        <v>43277</v>
      </c>
      <c r="B2286" s="9">
        <v>0.56388888888888888</v>
      </c>
      <c r="C2286" s="10" t="str">
        <f>"FES1162631677"</f>
        <v>FES1162631677</v>
      </c>
      <c r="D2286" s="10" t="s">
        <v>19</v>
      </c>
      <c r="E2286" s="10" t="s">
        <v>635</v>
      </c>
      <c r="F2286" s="10" t="str">
        <f>"2170636436 "</f>
        <v xml:space="preserve">2170636436 </v>
      </c>
      <c r="G2286" s="10" t="str">
        <f t="shared" si="63"/>
        <v>ON1</v>
      </c>
      <c r="H2286" s="10" t="s">
        <v>21</v>
      </c>
      <c r="I2286" s="10" t="s">
        <v>636</v>
      </c>
      <c r="J2286" s="10" t="str">
        <f>""</f>
        <v/>
      </c>
      <c r="K2286" s="10" t="str">
        <f>"PFES1162631677_0001"</f>
        <v>PFES1162631677_0001</v>
      </c>
      <c r="L2286" s="10">
        <v>1</v>
      </c>
      <c r="M2286" s="10">
        <v>1</v>
      </c>
    </row>
    <row r="2287" spans="1:13">
      <c r="A2287" s="8">
        <v>43277</v>
      </c>
      <c r="B2287" s="9">
        <v>0.56388888888888888</v>
      </c>
      <c r="C2287" s="10" t="str">
        <f>"FES1162631504"</f>
        <v>FES1162631504</v>
      </c>
      <c r="D2287" s="10" t="s">
        <v>19</v>
      </c>
      <c r="E2287" s="10" t="s">
        <v>373</v>
      </c>
      <c r="F2287" s="10" t="str">
        <f>"2170634618 "</f>
        <v xml:space="preserve">2170634618 </v>
      </c>
      <c r="G2287" s="10" t="str">
        <f t="shared" si="63"/>
        <v>ON1</v>
      </c>
      <c r="H2287" s="10" t="s">
        <v>21</v>
      </c>
      <c r="I2287" s="10" t="s">
        <v>75</v>
      </c>
      <c r="J2287" s="10" t="str">
        <f>""</f>
        <v/>
      </c>
      <c r="K2287" s="10" t="str">
        <f>"PFES1162631504_0001"</f>
        <v>PFES1162631504_0001</v>
      </c>
      <c r="L2287" s="10">
        <v>1</v>
      </c>
      <c r="M2287" s="10">
        <v>1</v>
      </c>
    </row>
    <row r="2288" spans="1:13">
      <c r="A2288" s="8">
        <v>43277</v>
      </c>
      <c r="B2288" s="9">
        <v>0.56319444444444444</v>
      </c>
      <c r="C2288" s="10" t="str">
        <f>"FES1162631541"</f>
        <v>FES1162631541</v>
      </c>
      <c r="D2288" s="10" t="s">
        <v>19</v>
      </c>
      <c r="E2288" s="10" t="s">
        <v>291</v>
      </c>
      <c r="F2288" s="10" t="str">
        <f>"2170638421 "</f>
        <v xml:space="preserve">2170638421 </v>
      </c>
      <c r="G2288" s="10" t="str">
        <f t="shared" si="63"/>
        <v>ON1</v>
      </c>
      <c r="H2288" s="10" t="s">
        <v>21</v>
      </c>
      <c r="I2288" s="10" t="s">
        <v>131</v>
      </c>
      <c r="J2288" s="10" t="str">
        <f>""</f>
        <v/>
      </c>
      <c r="K2288" s="10" t="str">
        <f>"PFES1162631541_0001"</f>
        <v>PFES1162631541_0001</v>
      </c>
      <c r="L2288" s="10">
        <v>1</v>
      </c>
      <c r="M2288" s="10">
        <v>1</v>
      </c>
    </row>
    <row r="2289" spans="1:13">
      <c r="A2289" s="8">
        <v>43277</v>
      </c>
      <c r="B2289" s="9">
        <v>0.56319444444444444</v>
      </c>
      <c r="C2289" s="10" t="str">
        <f>"FES1162631532"</f>
        <v>FES1162631532</v>
      </c>
      <c r="D2289" s="10" t="s">
        <v>19</v>
      </c>
      <c r="E2289" s="10" t="s">
        <v>990</v>
      </c>
      <c r="F2289" s="10" t="str">
        <f>"2170638195 "</f>
        <v xml:space="preserve">2170638195 </v>
      </c>
      <c r="G2289" s="10" t="str">
        <f t="shared" si="63"/>
        <v>ON1</v>
      </c>
      <c r="H2289" s="10" t="s">
        <v>21</v>
      </c>
      <c r="I2289" s="10" t="s">
        <v>916</v>
      </c>
      <c r="J2289" s="10" t="str">
        <f>""</f>
        <v/>
      </c>
      <c r="K2289" s="10" t="str">
        <f>"PFES1162631532_0001"</f>
        <v>PFES1162631532_0001</v>
      </c>
      <c r="L2289" s="10">
        <v>1</v>
      </c>
      <c r="M2289" s="10">
        <v>1</v>
      </c>
    </row>
    <row r="2290" spans="1:13">
      <c r="A2290" s="8">
        <v>43277</v>
      </c>
      <c r="B2290" s="9">
        <v>0.5625</v>
      </c>
      <c r="C2290" s="10" t="str">
        <f>"FES1162631617"</f>
        <v>FES1162631617</v>
      </c>
      <c r="D2290" s="10" t="s">
        <v>19</v>
      </c>
      <c r="E2290" s="10" t="s">
        <v>388</v>
      </c>
      <c r="F2290" s="10" t="str">
        <f>"2170638506 "</f>
        <v xml:space="preserve">2170638506 </v>
      </c>
      <c r="G2290" s="10" t="str">
        <f t="shared" si="63"/>
        <v>ON1</v>
      </c>
      <c r="H2290" s="10" t="s">
        <v>21</v>
      </c>
      <c r="I2290" s="10" t="s">
        <v>389</v>
      </c>
      <c r="J2290" s="10" t="str">
        <f>""</f>
        <v/>
      </c>
      <c r="K2290" s="10" t="str">
        <f>"PFES1162631617_0001"</f>
        <v>PFES1162631617_0001</v>
      </c>
      <c r="L2290" s="10">
        <v>1</v>
      </c>
      <c r="M2290" s="10">
        <v>7</v>
      </c>
    </row>
    <row r="2291" spans="1:13">
      <c r="A2291" s="8">
        <v>43277</v>
      </c>
      <c r="B2291" s="9">
        <v>0.5625</v>
      </c>
      <c r="C2291" s="10" t="str">
        <f>"FES1162631581"</f>
        <v>FES1162631581</v>
      </c>
      <c r="D2291" s="10" t="s">
        <v>19</v>
      </c>
      <c r="E2291" s="10" t="s">
        <v>481</v>
      </c>
      <c r="F2291" s="10" t="str">
        <f>"2170638484 "</f>
        <v xml:space="preserve">2170638484 </v>
      </c>
      <c r="G2291" s="10" t="str">
        <f t="shared" si="63"/>
        <v>ON1</v>
      </c>
      <c r="H2291" s="10" t="s">
        <v>21</v>
      </c>
      <c r="I2291" s="10" t="s">
        <v>79</v>
      </c>
      <c r="J2291" s="10" t="str">
        <f>""</f>
        <v/>
      </c>
      <c r="K2291" s="10" t="str">
        <f>"PFES1162631581_0001"</f>
        <v>PFES1162631581_0001</v>
      </c>
      <c r="L2291" s="10">
        <v>1</v>
      </c>
      <c r="M2291" s="10">
        <v>1</v>
      </c>
    </row>
    <row r="2292" spans="1:13">
      <c r="A2292" s="8">
        <v>43277</v>
      </c>
      <c r="B2292" s="9">
        <v>0.56180555555555556</v>
      </c>
      <c r="C2292" s="10" t="str">
        <f>"FES1162631526"</f>
        <v>FES1162631526</v>
      </c>
      <c r="D2292" s="10" t="s">
        <v>19</v>
      </c>
      <c r="E2292" s="10" t="s">
        <v>489</v>
      </c>
      <c r="F2292" s="10" t="str">
        <f>"2170637855 "</f>
        <v xml:space="preserve">2170637855 </v>
      </c>
      <c r="G2292" s="10" t="str">
        <f t="shared" si="63"/>
        <v>ON1</v>
      </c>
      <c r="H2292" s="10" t="s">
        <v>21</v>
      </c>
      <c r="I2292" s="10" t="s">
        <v>487</v>
      </c>
      <c r="J2292" s="10" t="str">
        <f>""</f>
        <v/>
      </c>
      <c r="K2292" s="10" t="str">
        <f>"PFES1162631526_0001"</f>
        <v>PFES1162631526_0001</v>
      </c>
      <c r="L2292" s="10">
        <v>1</v>
      </c>
      <c r="M2292" s="10">
        <v>1</v>
      </c>
    </row>
    <row r="2293" spans="1:13">
      <c r="A2293" s="8">
        <v>43277</v>
      </c>
      <c r="B2293" s="9">
        <v>0.56111111111111112</v>
      </c>
      <c r="C2293" s="10" t="str">
        <f>"FES1162631505"</f>
        <v>FES1162631505</v>
      </c>
      <c r="D2293" s="10" t="s">
        <v>19</v>
      </c>
      <c r="E2293" s="10" t="s">
        <v>745</v>
      </c>
      <c r="F2293" s="10" t="str">
        <f>"2170635698 "</f>
        <v xml:space="preserve">2170635698 </v>
      </c>
      <c r="G2293" s="10" t="str">
        <f t="shared" si="63"/>
        <v>ON1</v>
      </c>
      <c r="H2293" s="10" t="s">
        <v>21</v>
      </c>
      <c r="I2293" s="10" t="s">
        <v>309</v>
      </c>
      <c r="J2293" s="10" t="str">
        <f>""</f>
        <v/>
      </c>
      <c r="K2293" s="10" t="str">
        <f>"PFES1162631505_0001"</f>
        <v>PFES1162631505_0001</v>
      </c>
      <c r="L2293" s="10">
        <v>1</v>
      </c>
      <c r="M2293" s="10">
        <v>1</v>
      </c>
    </row>
    <row r="2294" spans="1:13">
      <c r="A2294" s="8">
        <v>43277</v>
      </c>
      <c r="B2294" s="9">
        <v>0.56111111111111112</v>
      </c>
      <c r="C2294" s="10" t="str">
        <f>"FES1162631687"</f>
        <v>FES1162631687</v>
      </c>
      <c r="D2294" s="10" t="s">
        <v>19</v>
      </c>
      <c r="E2294" s="10" t="s">
        <v>193</v>
      </c>
      <c r="F2294" s="10" t="str">
        <f>"2170636540 "</f>
        <v xml:space="preserve">2170636540 </v>
      </c>
      <c r="G2294" s="10" t="str">
        <f t="shared" si="63"/>
        <v>ON1</v>
      </c>
      <c r="H2294" s="10" t="s">
        <v>21</v>
      </c>
      <c r="I2294" s="10" t="s">
        <v>30</v>
      </c>
      <c r="J2294" s="10" t="str">
        <f>""</f>
        <v/>
      </c>
      <c r="K2294" s="10" t="str">
        <f>"PFES1162631687_0001"</f>
        <v>PFES1162631687_0001</v>
      </c>
      <c r="L2294" s="10">
        <v>1</v>
      </c>
      <c r="M2294" s="10">
        <v>13</v>
      </c>
    </row>
    <row r="2295" spans="1:13">
      <c r="A2295" s="8">
        <v>43277</v>
      </c>
      <c r="B2295" s="9">
        <v>0.56111111111111112</v>
      </c>
      <c r="C2295" s="10" t="str">
        <f>"FES1162631502"</f>
        <v>FES1162631502</v>
      </c>
      <c r="D2295" s="10" t="s">
        <v>19</v>
      </c>
      <c r="E2295" s="10" t="s">
        <v>175</v>
      </c>
      <c r="F2295" s="10" t="str">
        <f>"2170634138 "</f>
        <v xml:space="preserve">2170634138 </v>
      </c>
      <c r="G2295" s="10" t="str">
        <f t="shared" si="63"/>
        <v>ON1</v>
      </c>
      <c r="H2295" s="10" t="s">
        <v>21</v>
      </c>
      <c r="I2295" s="10" t="s">
        <v>176</v>
      </c>
      <c r="J2295" s="10" t="str">
        <f>""</f>
        <v/>
      </c>
      <c r="K2295" s="10" t="str">
        <f>"PFES1162631502_0001"</f>
        <v>PFES1162631502_0001</v>
      </c>
      <c r="L2295" s="10">
        <v>1</v>
      </c>
      <c r="M2295" s="10">
        <v>1</v>
      </c>
    </row>
    <row r="2296" spans="1:13">
      <c r="A2296" s="8">
        <v>43277</v>
      </c>
      <c r="B2296" s="9">
        <v>0.56041666666666667</v>
      </c>
      <c r="C2296" s="10" t="str">
        <f>"FES1162631644"</f>
        <v>FES1162631644</v>
      </c>
      <c r="D2296" s="10" t="s">
        <v>19</v>
      </c>
      <c r="E2296" s="10" t="s">
        <v>857</v>
      </c>
      <c r="F2296" s="10" t="str">
        <f>"2170636093 "</f>
        <v xml:space="preserve">2170636093 </v>
      </c>
      <c r="G2296" s="10" t="str">
        <f t="shared" si="63"/>
        <v>ON1</v>
      </c>
      <c r="H2296" s="10" t="s">
        <v>21</v>
      </c>
      <c r="I2296" s="10" t="s">
        <v>858</v>
      </c>
      <c r="J2296" s="10" t="str">
        <f>""</f>
        <v/>
      </c>
      <c r="K2296" s="10" t="str">
        <f>"PFES1162631644_0001"</f>
        <v>PFES1162631644_0001</v>
      </c>
      <c r="L2296" s="10">
        <v>1</v>
      </c>
      <c r="M2296" s="10">
        <v>1</v>
      </c>
    </row>
    <row r="2297" spans="1:13">
      <c r="A2297" s="8">
        <v>43277</v>
      </c>
      <c r="B2297" s="9">
        <v>0.55972222222222223</v>
      </c>
      <c r="C2297" s="10" t="str">
        <f>"FES1162631563"</f>
        <v>FES1162631563</v>
      </c>
      <c r="D2297" s="10" t="s">
        <v>19</v>
      </c>
      <c r="E2297" s="10" t="s">
        <v>135</v>
      </c>
      <c r="F2297" s="10" t="str">
        <f>"2170638461 "</f>
        <v xml:space="preserve">2170638461 </v>
      </c>
      <c r="G2297" s="10" t="str">
        <f t="shared" si="63"/>
        <v>ON1</v>
      </c>
      <c r="H2297" s="10" t="s">
        <v>21</v>
      </c>
      <c r="I2297" s="10" t="s">
        <v>136</v>
      </c>
      <c r="J2297" s="10" t="str">
        <f>""</f>
        <v/>
      </c>
      <c r="K2297" s="10" t="str">
        <f>"PFES1162631563_0001"</f>
        <v>PFES1162631563_0001</v>
      </c>
      <c r="L2297" s="10">
        <v>1</v>
      </c>
      <c r="M2297" s="10">
        <v>1</v>
      </c>
    </row>
    <row r="2298" spans="1:13">
      <c r="A2298" s="8">
        <v>43277</v>
      </c>
      <c r="B2298" s="9">
        <v>0.55972222222222223</v>
      </c>
      <c r="C2298" s="10" t="str">
        <f>"FES1162631610"</f>
        <v>FES1162631610</v>
      </c>
      <c r="D2298" s="10" t="s">
        <v>19</v>
      </c>
      <c r="E2298" s="10" t="s">
        <v>145</v>
      </c>
      <c r="F2298" s="10" t="str">
        <f>"2170637755 "</f>
        <v xml:space="preserve">2170637755 </v>
      </c>
      <c r="G2298" s="10" t="str">
        <f t="shared" si="63"/>
        <v>ON1</v>
      </c>
      <c r="H2298" s="10" t="s">
        <v>21</v>
      </c>
      <c r="I2298" s="10" t="s">
        <v>146</v>
      </c>
      <c r="J2298" s="10" t="str">
        <f>""</f>
        <v/>
      </c>
      <c r="K2298" s="10" t="str">
        <f>"PFES1162631610_0001"</f>
        <v>PFES1162631610_0001</v>
      </c>
      <c r="L2298" s="10">
        <v>1</v>
      </c>
      <c r="M2298" s="10">
        <v>3</v>
      </c>
    </row>
    <row r="2299" spans="1:13">
      <c r="A2299" s="8">
        <v>43277</v>
      </c>
      <c r="B2299" s="9">
        <v>0.55972222222222223</v>
      </c>
      <c r="C2299" s="10" t="str">
        <f>"FES1162631560"</f>
        <v>FES1162631560</v>
      </c>
      <c r="D2299" s="10" t="s">
        <v>19</v>
      </c>
      <c r="E2299" s="10" t="s">
        <v>135</v>
      </c>
      <c r="F2299" s="10" t="str">
        <f>"2170638456 "</f>
        <v xml:space="preserve">2170638456 </v>
      </c>
      <c r="G2299" s="10" t="str">
        <f t="shared" si="63"/>
        <v>ON1</v>
      </c>
      <c r="H2299" s="10" t="s">
        <v>21</v>
      </c>
      <c r="I2299" s="10" t="s">
        <v>136</v>
      </c>
      <c r="J2299" s="10" t="str">
        <f>""</f>
        <v/>
      </c>
      <c r="K2299" s="10" t="str">
        <f>"PFES1162631560_0001"</f>
        <v>PFES1162631560_0001</v>
      </c>
      <c r="L2299" s="10">
        <v>1</v>
      </c>
      <c r="M2299" s="10">
        <v>1</v>
      </c>
    </row>
    <row r="2300" spans="1:13">
      <c r="A2300" s="8">
        <v>43277</v>
      </c>
      <c r="B2300" s="9">
        <v>0.55972222222222223</v>
      </c>
      <c r="C2300" s="10" t="str">
        <f>"FES1162631592"</f>
        <v>FES1162631592</v>
      </c>
      <c r="D2300" s="10" t="s">
        <v>19</v>
      </c>
      <c r="E2300" s="10" t="s">
        <v>419</v>
      </c>
      <c r="F2300" s="10" t="str">
        <f>"2170635819 "</f>
        <v xml:space="preserve">2170635819 </v>
      </c>
      <c r="G2300" s="10" t="str">
        <f t="shared" si="63"/>
        <v>ON1</v>
      </c>
      <c r="H2300" s="10" t="s">
        <v>21</v>
      </c>
      <c r="I2300" s="10" t="s">
        <v>420</v>
      </c>
      <c r="J2300" s="10" t="str">
        <f>""</f>
        <v/>
      </c>
      <c r="K2300" s="10" t="str">
        <f>"PFES1162631592_0001"</f>
        <v>PFES1162631592_0001</v>
      </c>
      <c r="L2300" s="10">
        <v>1</v>
      </c>
      <c r="M2300" s="10">
        <v>1</v>
      </c>
    </row>
    <row r="2301" spans="1:13">
      <c r="A2301" s="8">
        <v>43277</v>
      </c>
      <c r="B2301" s="9">
        <v>0.55902777777777779</v>
      </c>
      <c r="C2301" s="10" t="str">
        <f>"FES1162631689"</f>
        <v>FES1162631689</v>
      </c>
      <c r="D2301" s="10" t="s">
        <v>19</v>
      </c>
      <c r="E2301" s="10" t="s">
        <v>615</v>
      </c>
      <c r="F2301" s="10" t="str">
        <f>"2170636557 "</f>
        <v xml:space="preserve">2170636557 </v>
      </c>
      <c r="G2301" s="10" t="str">
        <f t="shared" si="63"/>
        <v>ON1</v>
      </c>
      <c r="H2301" s="10" t="s">
        <v>21</v>
      </c>
      <c r="I2301" s="10" t="s">
        <v>112</v>
      </c>
      <c r="J2301" s="10" t="str">
        <f>""</f>
        <v/>
      </c>
      <c r="K2301" s="10" t="str">
        <f>"PFES1162631689_0001"</f>
        <v>PFES1162631689_0001</v>
      </c>
      <c r="L2301" s="10">
        <v>1</v>
      </c>
      <c r="M2301" s="10">
        <v>1</v>
      </c>
    </row>
    <row r="2302" spans="1:13">
      <c r="A2302" s="8">
        <v>43277</v>
      </c>
      <c r="B2302" s="9">
        <v>0.55833333333333335</v>
      </c>
      <c r="C2302" s="10" t="str">
        <f>"FES1162631675"</f>
        <v>FES1162631675</v>
      </c>
      <c r="D2302" s="10" t="s">
        <v>19</v>
      </c>
      <c r="E2302" s="10" t="s">
        <v>37</v>
      </c>
      <c r="F2302" s="10" t="str">
        <f>"2170636431 "</f>
        <v xml:space="preserve">2170636431 </v>
      </c>
      <c r="G2302" s="10" t="str">
        <f t="shared" si="63"/>
        <v>ON1</v>
      </c>
      <c r="H2302" s="10" t="s">
        <v>21</v>
      </c>
      <c r="I2302" s="10" t="s">
        <v>38</v>
      </c>
      <c r="J2302" s="10" t="str">
        <f>""</f>
        <v/>
      </c>
      <c r="K2302" s="10" t="str">
        <f>"PFES1162631675_0001"</f>
        <v>PFES1162631675_0001</v>
      </c>
      <c r="L2302" s="10">
        <v>1</v>
      </c>
      <c r="M2302" s="10">
        <v>1</v>
      </c>
    </row>
    <row r="2303" spans="1:13">
      <c r="A2303" s="8">
        <v>43277</v>
      </c>
      <c r="B2303" s="9">
        <v>0.55833333333333335</v>
      </c>
      <c r="C2303" s="10" t="str">
        <f>"FES1162631619"</f>
        <v>FES1162631619</v>
      </c>
      <c r="D2303" s="10" t="s">
        <v>19</v>
      </c>
      <c r="E2303" s="10" t="s">
        <v>95</v>
      </c>
      <c r="F2303" s="10" t="str">
        <f>"2170638510 "</f>
        <v xml:space="preserve">2170638510 </v>
      </c>
      <c r="G2303" s="10" t="str">
        <f t="shared" si="63"/>
        <v>ON1</v>
      </c>
      <c r="H2303" s="10" t="s">
        <v>21</v>
      </c>
      <c r="I2303" s="10" t="s">
        <v>96</v>
      </c>
      <c r="J2303" s="10" t="str">
        <f>""</f>
        <v/>
      </c>
      <c r="K2303" s="10" t="str">
        <f>"PFES1162631619_0001"</f>
        <v>PFES1162631619_0001</v>
      </c>
      <c r="L2303" s="10">
        <v>1</v>
      </c>
      <c r="M2303" s="10">
        <v>2</v>
      </c>
    </row>
    <row r="2304" spans="1:13">
      <c r="A2304" s="8">
        <v>43277</v>
      </c>
      <c r="B2304" s="9">
        <v>0.55833333333333335</v>
      </c>
      <c r="C2304" s="10" t="str">
        <f>"FES1162631597"</f>
        <v>FES1162631597</v>
      </c>
      <c r="D2304" s="10" t="s">
        <v>19</v>
      </c>
      <c r="E2304" s="10" t="s">
        <v>335</v>
      </c>
      <c r="F2304" s="10" t="str">
        <f>"2170638487 "</f>
        <v xml:space="preserve">2170638487 </v>
      </c>
      <c r="G2304" s="10" t="str">
        <f t="shared" si="63"/>
        <v>ON1</v>
      </c>
      <c r="H2304" s="10" t="s">
        <v>21</v>
      </c>
      <c r="I2304" s="10" t="s">
        <v>336</v>
      </c>
      <c r="J2304" s="10" t="str">
        <f>""</f>
        <v/>
      </c>
      <c r="K2304" s="10" t="str">
        <f>"PFES1162631597_0001"</f>
        <v>PFES1162631597_0001</v>
      </c>
      <c r="L2304" s="10">
        <v>1</v>
      </c>
      <c r="M2304" s="10">
        <v>1</v>
      </c>
    </row>
    <row r="2305" spans="1:13">
      <c r="A2305" s="8">
        <v>43277</v>
      </c>
      <c r="B2305" s="9">
        <v>0.55833333333333335</v>
      </c>
      <c r="C2305" s="10" t="str">
        <f>"FES1162631547"</f>
        <v>FES1162631547</v>
      </c>
      <c r="D2305" s="10" t="s">
        <v>19</v>
      </c>
      <c r="E2305" s="10" t="s">
        <v>991</v>
      </c>
      <c r="F2305" s="10" t="str">
        <f>"2170638432 "</f>
        <v xml:space="preserve">2170638432 </v>
      </c>
      <c r="G2305" s="10" t="str">
        <f t="shared" si="63"/>
        <v>ON1</v>
      </c>
      <c r="H2305" s="10" t="s">
        <v>21</v>
      </c>
      <c r="I2305" s="10" t="s">
        <v>903</v>
      </c>
      <c r="J2305" s="10" t="str">
        <f>""</f>
        <v/>
      </c>
      <c r="K2305" s="10" t="str">
        <f>"PFES1162631547_0001"</f>
        <v>PFES1162631547_0001</v>
      </c>
      <c r="L2305" s="10">
        <v>1</v>
      </c>
      <c r="M2305" s="10">
        <v>1</v>
      </c>
    </row>
    <row r="2306" spans="1:13">
      <c r="A2306" s="8">
        <v>43277</v>
      </c>
      <c r="B2306" s="9">
        <v>0.55763888888888891</v>
      </c>
      <c r="C2306" s="10" t="str">
        <f>"FES1162631546"</f>
        <v>FES1162631546</v>
      </c>
      <c r="D2306" s="10" t="s">
        <v>19</v>
      </c>
      <c r="E2306" s="10" t="s">
        <v>991</v>
      </c>
      <c r="F2306" s="10" t="str">
        <f>"2170638431 "</f>
        <v xml:space="preserve">2170638431 </v>
      </c>
      <c r="G2306" s="10" t="str">
        <f t="shared" si="63"/>
        <v>ON1</v>
      </c>
      <c r="H2306" s="10" t="s">
        <v>21</v>
      </c>
      <c r="I2306" s="10" t="s">
        <v>903</v>
      </c>
      <c r="J2306" s="10" t="str">
        <f>""</f>
        <v/>
      </c>
      <c r="K2306" s="10" t="str">
        <f>"PFES1162631546_0001"</f>
        <v>PFES1162631546_0001</v>
      </c>
      <c r="L2306" s="10">
        <v>1</v>
      </c>
      <c r="M2306" s="10">
        <v>1</v>
      </c>
    </row>
    <row r="2307" spans="1:13">
      <c r="A2307" s="8">
        <v>43277</v>
      </c>
      <c r="B2307" s="9">
        <v>0.55763888888888891</v>
      </c>
      <c r="C2307" s="10" t="str">
        <f>"FES1162631635"</f>
        <v>FES1162631635</v>
      </c>
      <c r="D2307" s="10" t="s">
        <v>19</v>
      </c>
      <c r="E2307" s="10" t="s">
        <v>124</v>
      </c>
      <c r="F2307" s="10" t="str">
        <f>"2170635388 "</f>
        <v xml:space="preserve">2170635388 </v>
      </c>
      <c r="G2307" s="10" t="str">
        <f t="shared" si="63"/>
        <v>ON1</v>
      </c>
      <c r="H2307" s="10" t="s">
        <v>21</v>
      </c>
      <c r="I2307" s="10" t="s">
        <v>40</v>
      </c>
      <c r="J2307" s="10" t="str">
        <f>""</f>
        <v/>
      </c>
      <c r="K2307" s="10" t="str">
        <f>"PFES1162631635_0001"</f>
        <v>PFES1162631635_0001</v>
      </c>
      <c r="L2307" s="10">
        <v>1</v>
      </c>
      <c r="M2307" s="10">
        <v>1</v>
      </c>
    </row>
    <row r="2308" spans="1:13">
      <c r="A2308" s="8">
        <v>43277</v>
      </c>
      <c r="B2308" s="9">
        <v>0.55694444444444446</v>
      </c>
      <c r="C2308" s="10" t="str">
        <f>"FES1162631616"</f>
        <v>FES1162631616</v>
      </c>
      <c r="D2308" s="10" t="s">
        <v>19</v>
      </c>
      <c r="E2308" s="10" t="s">
        <v>159</v>
      </c>
      <c r="F2308" s="10" t="str">
        <f>"2170638505 "</f>
        <v xml:space="preserve">2170638505 </v>
      </c>
      <c r="G2308" s="10" t="str">
        <f t="shared" si="63"/>
        <v>ON1</v>
      </c>
      <c r="H2308" s="10" t="s">
        <v>21</v>
      </c>
      <c r="I2308" s="10" t="s">
        <v>160</v>
      </c>
      <c r="J2308" s="10" t="str">
        <f>""</f>
        <v/>
      </c>
      <c r="K2308" s="10" t="str">
        <f>"PFES1162631616_0001"</f>
        <v>PFES1162631616_0001</v>
      </c>
      <c r="L2308" s="10">
        <v>1</v>
      </c>
      <c r="M2308" s="10">
        <v>1</v>
      </c>
    </row>
    <row r="2309" spans="1:13">
      <c r="A2309" s="8">
        <v>43277</v>
      </c>
      <c r="B2309" s="9">
        <v>0.55694444444444446</v>
      </c>
      <c r="C2309" s="10" t="str">
        <f>"FES1162631645"</f>
        <v>FES1162631645</v>
      </c>
      <c r="D2309" s="10" t="s">
        <v>19</v>
      </c>
      <c r="E2309" s="10" t="s">
        <v>95</v>
      </c>
      <c r="F2309" s="10" t="str">
        <f>"2170636152 "</f>
        <v xml:space="preserve">2170636152 </v>
      </c>
      <c r="G2309" s="10" t="str">
        <f t="shared" si="63"/>
        <v>ON1</v>
      </c>
      <c r="H2309" s="10" t="s">
        <v>21</v>
      </c>
      <c r="I2309" s="10" t="s">
        <v>96</v>
      </c>
      <c r="J2309" s="10" t="str">
        <f>""</f>
        <v/>
      </c>
      <c r="K2309" s="10" t="str">
        <f>"PFES1162631645_0001"</f>
        <v>PFES1162631645_0001</v>
      </c>
      <c r="L2309" s="10">
        <v>1</v>
      </c>
      <c r="M2309" s="10">
        <v>1</v>
      </c>
    </row>
    <row r="2310" spans="1:13">
      <c r="A2310" s="8">
        <v>43277</v>
      </c>
      <c r="B2310" s="9">
        <v>0.55694444444444446</v>
      </c>
      <c r="C2310" s="10" t="str">
        <f>"FES1162631724"</f>
        <v>FES1162631724</v>
      </c>
      <c r="D2310" s="10" t="s">
        <v>19</v>
      </c>
      <c r="E2310" s="10" t="s">
        <v>302</v>
      </c>
      <c r="F2310" s="10" t="str">
        <f>"2170635512 "</f>
        <v xml:space="preserve">2170635512 </v>
      </c>
      <c r="G2310" s="10" t="str">
        <f t="shared" si="63"/>
        <v>ON1</v>
      </c>
      <c r="H2310" s="10" t="s">
        <v>21</v>
      </c>
      <c r="I2310" s="10" t="s">
        <v>303</v>
      </c>
      <c r="J2310" s="10" t="str">
        <f>""</f>
        <v/>
      </c>
      <c r="K2310" s="10" t="str">
        <f>"PFES1162631724_0001"</f>
        <v>PFES1162631724_0001</v>
      </c>
      <c r="L2310" s="10">
        <v>1</v>
      </c>
      <c r="M2310" s="10">
        <v>1</v>
      </c>
    </row>
    <row r="2311" spans="1:13">
      <c r="A2311" s="8">
        <v>43277</v>
      </c>
      <c r="B2311" s="9">
        <v>0.55625000000000002</v>
      </c>
      <c r="C2311" s="10" t="str">
        <f>"FES1162631630"</f>
        <v>FES1162631630</v>
      </c>
      <c r="D2311" s="10" t="s">
        <v>19</v>
      </c>
      <c r="E2311" s="10" t="s">
        <v>169</v>
      </c>
      <c r="F2311" s="10" t="str">
        <f>"2170633189 "</f>
        <v xml:space="preserve">2170633189 </v>
      </c>
      <c r="G2311" s="10" t="str">
        <f t="shared" si="63"/>
        <v>ON1</v>
      </c>
      <c r="H2311" s="10" t="s">
        <v>21</v>
      </c>
      <c r="I2311" s="10" t="s">
        <v>170</v>
      </c>
      <c r="J2311" s="10" t="str">
        <f>""</f>
        <v/>
      </c>
      <c r="K2311" s="10" t="str">
        <f>"PFES1162631630_0001"</f>
        <v>PFES1162631630_0001</v>
      </c>
      <c r="L2311" s="10">
        <v>1</v>
      </c>
      <c r="M2311" s="10">
        <v>1</v>
      </c>
    </row>
    <row r="2312" spans="1:13">
      <c r="A2312" s="8">
        <v>43277</v>
      </c>
      <c r="B2312" s="9">
        <v>0.55625000000000002</v>
      </c>
      <c r="C2312" s="10" t="str">
        <f>"FES1162631579"</f>
        <v>FES1162631579</v>
      </c>
      <c r="D2312" s="10" t="s">
        <v>19</v>
      </c>
      <c r="E2312" s="10" t="s">
        <v>992</v>
      </c>
      <c r="F2312" s="10" t="str">
        <f>"2170638476 "</f>
        <v xml:space="preserve">2170638476 </v>
      </c>
      <c r="G2312" s="10" t="str">
        <f t="shared" si="63"/>
        <v>ON1</v>
      </c>
      <c r="H2312" s="10" t="s">
        <v>21</v>
      </c>
      <c r="I2312" s="10" t="s">
        <v>993</v>
      </c>
      <c r="J2312" s="10" t="str">
        <f>""</f>
        <v/>
      </c>
      <c r="K2312" s="10" t="str">
        <f>"PFES1162631579_0001"</f>
        <v>PFES1162631579_0001</v>
      </c>
      <c r="L2312" s="10">
        <v>1</v>
      </c>
      <c r="M2312" s="10">
        <v>1</v>
      </c>
    </row>
    <row r="2313" spans="1:13">
      <c r="A2313" s="8">
        <v>43277</v>
      </c>
      <c r="B2313" s="9">
        <v>0.55555555555555558</v>
      </c>
      <c r="C2313" s="10" t="str">
        <f>"FES1162631676"</f>
        <v>FES1162631676</v>
      </c>
      <c r="D2313" s="10" t="s">
        <v>19</v>
      </c>
      <c r="E2313" s="10" t="s">
        <v>635</v>
      </c>
      <c r="F2313" s="10" t="str">
        <f>"2170636434 "</f>
        <v xml:space="preserve">2170636434 </v>
      </c>
      <c r="G2313" s="10" t="str">
        <f t="shared" si="63"/>
        <v>ON1</v>
      </c>
      <c r="H2313" s="10" t="s">
        <v>21</v>
      </c>
      <c r="I2313" s="10" t="s">
        <v>636</v>
      </c>
      <c r="J2313" s="10" t="str">
        <f>""</f>
        <v/>
      </c>
      <c r="K2313" s="10" t="str">
        <f>"PFES1162631676_0001"</f>
        <v>PFES1162631676_0001</v>
      </c>
      <c r="L2313" s="10">
        <v>1</v>
      </c>
      <c r="M2313" s="10">
        <v>1</v>
      </c>
    </row>
    <row r="2314" spans="1:13">
      <c r="A2314" s="8">
        <v>43277</v>
      </c>
      <c r="B2314" s="9">
        <v>0.55555555555555558</v>
      </c>
      <c r="C2314" s="10" t="str">
        <f>"FES1162631575"</f>
        <v>FES1162631575</v>
      </c>
      <c r="D2314" s="10" t="s">
        <v>19</v>
      </c>
      <c r="E2314" s="10" t="s">
        <v>178</v>
      </c>
      <c r="F2314" s="10" t="str">
        <f>"1162631576 "</f>
        <v xml:space="preserve">1162631576 </v>
      </c>
      <c r="G2314" s="10" t="str">
        <f t="shared" si="63"/>
        <v>ON1</v>
      </c>
      <c r="H2314" s="10" t="s">
        <v>21</v>
      </c>
      <c r="I2314" s="10" t="s">
        <v>93</v>
      </c>
      <c r="J2314" s="10"/>
      <c r="K2314" s="10" t="str">
        <f>"PFES1162631575_0001"</f>
        <v>PFES1162631575_0001</v>
      </c>
      <c r="L2314" s="10">
        <v>1</v>
      </c>
      <c r="M2314" s="10">
        <v>2</v>
      </c>
    </row>
    <row r="2315" spans="1:13">
      <c r="A2315" s="8">
        <v>43277</v>
      </c>
      <c r="B2315" s="9">
        <v>0.55555555555555558</v>
      </c>
      <c r="C2315" s="10" t="str">
        <f>"FES1162631663"</f>
        <v>FES1162631663</v>
      </c>
      <c r="D2315" s="10" t="s">
        <v>19</v>
      </c>
      <c r="E2315" s="10" t="s">
        <v>443</v>
      </c>
      <c r="F2315" s="10" t="str">
        <f>"2170636309 "</f>
        <v xml:space="preserve">2170636309 </v>
      </c>
      <c r="G2315" s="10" t="str">
        <f t="shared" si="63"/>
        <v>ON1</v>
      </c>
      <c r="H2315" s="10" t="s">
        <v>21</v>
      </c>
      <c r="I2315" s="10" t="s">
        <v>389</v>
      </c>
      <c r="J2315" s="10" t="str">
        <f>""</f>
        <v/>
      </c>
      <c r="K2315" s="10" t="str">
        <f>"PFES1162631663_0001"</f>
        <v>PFES1162631663_0001</v>
      </c>
      <c r="L2315" s="10">
        <v>1</v>
      </c>
      <c r="M2315" s="10">
        <v>1</v>
      </c>
    </row>
    <row r="2316" spans="1:13">
      <c r="A2316" s="8">
        <v>43277</v>
      </c>
      <c r="B2316" s="9">
        <v>0.55486111111111114</v>
      </c>
      <c r="C2316" s="10" t="str">
        <f>"FES1162631678"</f>
        <v>FES1162631678</v>
      </c>
      <c r="D2316" s="10" t="s">
        <v>19</v>
      </c>
      <c r="E2316" s="10" t="s">
        <v>56</v>
      </c>
      <c r="F2316" s="10" t="str">
        <f>"2170636453 "</f>
        <v xml:space="preserve">2170636453 </v>
      </c>
      <c r="G2316" s="10" t="str">
        <f t="shared" si="63"/>
        <v>ON1</v>
      </c>
      <c r="H2316" s="10" t="s">
        <v>21</v>
      </c>
      <c r="I2316" s="10" t="s">
        <v>57</v>
      </c>
      <c r="J2316" s="10" t="str">
        <f>""</f>
        <v/>
      </c>
      <c r="K2316" s="10" t="str">
        <f>"PFES1162631678_0001"</f>
        <v>PFES1162631678_0001</v>
      </c>
      <c r="L2316" s="10">
        <v>1</v>
      </c>
      <c r="M2316" s="10">
        <v>1</v>
      </c>
    </row>
    <row r="2317" spans="1:13">
      <c r="A2317" s="8">
        <v>43277</v>
      </c>
      <c r="B2317" s="9">
        <v>0.55486111111111114</v>
      </c>
      <c r="C2317" s="10" t="str">
        <f>"FES1162631568"</f>
        <v>FES1162631568</v>
      </c>
      <c r="D2317" s="10" t="s">
        <v>19</v>
      </c>
      <c r="E2317" s="10" t="s">
        <v>335</v>
      </c>
      <c r="F2317" s="10" t="str">
        <f>"2170638468 "</f>
        <v xml:space="preserve">2170638468 </v>
      </c>
      <c r="G2317" s="10" t="str">
        <f t="shared" si="63"/>
        <v>ON1</v>
      </c>
      <c r="H2317" s="10" t="s">
        <v>21</v>
      </c>
      <c r="I2317" s="10" t="s">
        <v>336</v>
      </c>
      <c r="J2317" s="10" t="str">
        <f>""</f>
        <v/>
      </c>
      <c r="K2317" s="10" t="str">
        <f>"PFES1162631568_0001"</f>
        <v>PFES1162631568_0001</v>
      </c>
      <c r="L2317" s="10">
        <v>1</v>
      </c>
      <c r="M2317" s="10">
        <v>1</v>
      </c>
    </row>
    <row r="2318" spans="1:13">
      <c r="A2318" s="8">
        <v>43277</v>
      </c>
      <c r="B2318" s="9">
        <v>0.5541666666666667</v>
      </c>
      <c r="C2318" s="10" t="str">
        <f>"FES1162631593"</f>
        <v>FES1162631593</v>
      </c>
      <c r="D2318" s="10" t="s">
        <v>19</v>
      </c>
      <c r="E2318" s="10" t="s">
        <v>252</v>
      </c>
      <c r="F2318" s="10" t="str">
        <f>"2170636483 "</f>
        <v xml:space="preserve">2170636483 </v>
      </c>
      <c r="G2318" s="10" t="str">
        <f t="shared" si="63"/>
        <v>ON1</v>
      </c>
      <c r="H2318" s="10" t="s">
        <v>21</v>
      </c>
      <c r="I2318" s="10" t="s">
        <v>253</v>
      </c>
      <c r="J2318" s="10" t="str">
        <f>""</f>
        <v/>
      </c>
      <c r="K2318" s="10" t="str">
        <f>"PFES1162631593_0001"</f>
        <v>PFES1162631593_0001</v>
      </c>
      <c r="L2318" s="10">
        <v>1</v>
      </c>
      <c r="M2318" s="10">
        <v>1</v>
      </c>
    </row>
    <row r="2319" spans="1:13">
      <c r="A2319" s="8">
        <v>43277</v>
      </c>
      <c r="B2319" s="9">
        <v>0.5541666666666667</v>
      </c>
      <c r="C2319" s="10" t="str">
        <f>"FES1162631739"</f>
        <v>FES1162631739</v>
      </c>
      <c r="D2319" s="10" t="s">
        <v>19</v>
      </c>
      <c r="E2319" s="10" t="s">
        <v>635</v>
      </c>
      <c r="F2319" s="10" t="str">
        <f>"2170636436 "</f>
        <v xml:space="preserve">2170636436 </v>
      </c>
      <c r="G2319" s="10" t="str">
        <f t="shared" si="63"/>
        <v>ON1</v>
      </c>
      <c r="H2319" s="10" t="s">
        <v>21</v>
      </c>
      <c r="I2319" s="10" t="s">
        <v>636</v>
      </c>
      <c r="J2319" s="10" t="str">
        <f>""</f>
        <v/>
      </c>
      <c r="K2319" s="10" t="str">
        <f>"PFES1162631739_0001"</f>
        <v>PFES1162631739_0001</v>
      </c>
      <c r="L2319" s="10">
        <v>1</v>
      </c>
      <c r="M2319" s="10">
        <v>1</v>
      </c>
    </row>
    <row r="2320" spans="1:13">
      <c r="A2320" s="8">
        <v>43277</v>
      </c>
      <c r="B2320" s="9">
        <v>0.55347222222222225</v>
      </c>
      <c r="C2320" s="10" t="str">
        <f>"FES1162631500"</f>
        <v>FES1162631500</v>
      </c>
      <c r="D2320" s="10" t="s">
        <v>19</v>
      </c>
      <c r="E2320" s="10" t="s">
        <v>811</v>
      </c>
      <c r="F2320" s="10" t="str">
        <f>"2170632934 "</f>
        <v xml:space="preserve">2170632934 </v>
      </c>
      <c r="G2320" s="10" t="str">
        <f t="shared" si="63"/>
        <v>ON1</v>
      </c>
      <c r="H2320" s="10" t="s">
        <v>21</v>
      </c>
      <c r="I2320" s="10" t="s">
        <v>222</v>
      </c>
      <c r="J2320" s="10" t="str">
        <f>""</f>
        <v/>
      </c>
      <c r="K2320" s="10" t="str">
        <f>"PFES1162631500_0001"</f>
        <v>PFES1162631500_0001</v>
      </c>
      <c r="L2320" s="10">
        <v>1</v>
      </c>
      <c r="M2320" s="10">
        <v>1</v>
      </c>
    </row>
    <row r="2321" spans="1:13">
      <c r="A2321" s="8">
        <v>43277</v>
      </c>
      <c r="B2321" s="9">
        <v>0.55277777777777781</v>
      </c>
      <c r="C2321" s="10" t="str">
        <f>"FES1162631701"</f>
        <v>FES1162631701</v>
      </c>
      <c r="D2321" s="10" t="s">
        <v>19</v>
      </c>
      <c r="E2321" s="10" t="s">
        <v>178</v>
      </c>
      <c r="F2321" s="10" t="str">
        <f>"2170638463 "</f>
        <v xml:space="preserve">2170638463 </v>
      </c>
      <c r="G2321" s="10" t="str">
        <f t="shared" si="63"/>
        <v>ON1</v>
      </c>
      <c r="H2321" s="10" t="s">
        <v>21</v>
      </c>
      <c r="I2321" s="10" t="s">
        <v>93</v>
      </c>
      <c r="J2321" s="10" t="str">
        <f>""</f>
        <v/>
      </c>
      <c r="K2321" s="10" t="str">
        <f>"PFES1162631701_0001"</f>
        <v>PFES1162631701_0001</v>
      </c>
      <c r="L2321" s="10">
        <v>1</v>
      </c>
      <c r="M2321" s="10">
        <v>1</v>
      </c>
    </row>
    <row r="2322" spans="1:13">
      <c r="A2322" s="8">
        <v>43277</v>
      </c>
      <c r="B2322" s="9">
        <v>0.55069444444444449</v>
      </c>
      <c r="C2322" s="10" t="str">
        <f>"FES1162631529"</f>
        <v>FES1162631529</v>
      </c>
      <c r="D2322" s="10" t="s">
        <v>19</v>
      </c>
      <c r="E2322" s="10" t="s">
        <v>581</v>
      </c>
      <c r="F2322" s="10" t="str">
        <f>"2170638126 "</f>
        <v xml:space="preserve">2170638126 </v>
      </c>
      <c r="G2322" s="10" t="str">
        <f t="shared" si="63"/>
        <v>ON1</v>
      </c>
      <c r="H2322" s="10" t="s">
        <v>21</v>
      </c>
      <c r="I2322" s="10" t="s">
        <v>582</v>
      </c>
      <c r="J2322" s="10" t="str">
        <f>""</f>
        <v/>
      </c>
      <c r="K2322" s="10" t="str">
        <f>"PFES1162631529_0001"</f>
        <v>PFES1162631529_0001</v>
      </c>
      <c r="L2322" s="10">
        <v>1</v>
      </c>
      <c r="M2322" s="10">
        <v>10</v>
      </c>
    </row>
    <row r="2323" spans="1:13">
      <c r="A2323" s="8">
        <v>43277</v>
      </c>
      <c r="B2323" s="9">
        <v>0.54861111111111105</v>
      </c>
      <c r="C2323" s="10" t="str">
        <f>"FES1162631528"</f>
        <v>FES1162631528</v>
      </c>
      <c r="D2323" s="10" t="s">
        <v>19</v>
      </c>
      <c r="E2323" s="10" t="s">
        <v>377</v>
      </c>
      <c r="F2323" s="10" t="str">
        <f>"2170638106 "</f>
        <v xml:space="preserve">2170638106 </v>
      </c>
      <c r="G2323" s="10" t="str">
        <f t="shared" si="63"/>
        <v>ON1</v>
      </c>
      <c r="H2323" s="10" t="s">
        <v>21</v>
      </c>
      <c r="I2323" s="10" t="s">
        <v>378</v>
      </c>
      <c r="J2323" s="10" t="str">
        <f>""</f>
        <v/>
      </c>
      <c r="K2323" s="10" t="str">
        <f>"PFES1162631528_0001"</f>
        <v>PFES1162631528_0001</v>
      </c>
      <c r="L2323" s="10">
        <v>1</v>
      </c>
      <c r="M2323" s="10">
        <v>13</v>
      </c>
    </row>
    <row r="2324" spans="1:13">
      <c r="A2324" s="8">
        <v>43277</v>
      </c>
      <c r="B2324" s="9">
        <v>0.54722222222222217</v>
      </c>
      <c r="C2324" s="10" t="str">
        <f>"FES1162631512"</f>
        <v>FES1162631512</v>
      </c>
      <c r="D2324" s="10" t="s">
        <v>19</v>
      </c>
      <c r="E2324" s="10" t="s">
        <v>92</v>
      </c>
      <c r="F2324" s="10" t="str">
        <f>"2170636959 "</f>
        <v xml:space="preserve">2170636959 </v>
      </c>
      <c r="G2324" s="10" t="str">
        <f t="shared" si="63"/>
        <v>ON1</v>
      </c>
      <c r="H2324" s="10" t="s">
        <v>21</v>
      </c>
      <c r="I2324" s="10" t="s">
        <v>93</v>
      </c>
      <c r="J2324" s="10" t="str">
        <f>""</f>
        <v/>
      </c>
      <c r="K2324" s="10" t="str">
        <f>"PFES1162631512_0001"</f>
        <v>PFES1162631512_0001</v>
      </c>
      <c r="L2324" s="10">
        <v>1</v>
      </c>
      <c r="M2324" s="10">
        <v>5</v>
      </c>
    </row>
    <row r="2325" spans="1:13">
      <c r="A2325" s="8">
        <v>43277</v>
      </c>
      <c r="B2325" s="9">
        <v>0.54583333333333328</v>
      </c>
      <c r="C2325" s="10" t="str">
        <f>"FES1162631513"</f>
        <v>FES1162631513</v>
      </c>
      <c r="D2325" s="10" t="s">
        <v>19</v>
      </c>
      <c r="E2325" s="10" t="s">
        <v>364</v>
      </c>
      <c r="F2325" s="10" t="str">
        <f>"2170636990 "</f>
        <v xml:space="preserve">2170636990 </v>
      </c>
      <c r="G2325" s="10" t="str">
        <f t="shared" si="63"/>
        <v>ON1</v>
      </c>
      <c r="H2325" s="10" t="s">
        <v>21</v>
      </c>
      <c r="I2325" s="10" t="s">
        <v>146</v>
      </c>
      <c r="J2325" s="10" t="str">
        <f>""</f>
        <v/>
      </c>
      <c r="K2325" s="10" t="str">
        <f>"PFES1162631513_0001"</f>
        <v>PFES1162631513_0001</v>
      </c>
      <c r="L2325" s="10">
        <v>1</v>
      </c>
      <c r="M2325" s="10">
        <v>14</v>
      </c>
    </row>
    <row r="2326" spans="1:13">
      <c r="A2326" s="8">
        <v>43277</v>
      </c>
      <c r="B2326" s="9">
        <v>0.54513888888888895</v>
      </c>
      <c r="C2326" s="10" t="str">
        <f>"FES1162631614"</f>
        <v>FES1162631614</v>
      </c>
      <c r="D2326" s="10" t="s">
        <v>19</v>
      </c>
      <c r="E2326" s="10" t="s">
        <v>232</v>
      </c>
      <c r="F2326" s="10" t="str">
        <f>"2170638500 "</f>
        <v xml:space="preserve">2170638500 </v>
      </c>
      <c r="G2326" s="10" t="str">
        <f t="shared" si="63"/>
        <v>ON1</v>
      </c>
      <c r="H2326" s="10" t="s">
        <v>21</v>
      </c>
      <c r="I2326" s="10" t="s">
        <v>233</v>
      </c>
      <c r="J2326" s="10" t="str">
        <f>""</f>
        <v/>
      </c>
      <c r="K2326" s="10" t="str">
        <f>"PFES1162631614_0001"</f>
        <v>PFES1162631614_0001</v>
      </c>
      <c r="L2326" s="10">
        <v>1</v>
      </c>
      <c r="M2326" s="10">
        <v>4</v>
      </c>
    </row>
    <row r="2327" spans="1:13">
      <c r="A2327" s="8">
        <v>43277</v>
      </c>
      <c r="B2327" s="9">
        <v>0.54375000000000007</v>
      </c>
      <c r="C2327" s="10" t="str">
        <f>"FES1162631558"</f>
        <v>FES1162631558</v>
      </c>
      <c r="D2327" s="10" t="s">
        <v>19</v>
      </c>
      <c r="E2327" s="10" t="s">
        <v>143</v>
      </c>
      <c r="F2327" s="10" t="str">
        <f>"2170638453 "</f>
        <v xml:space="preserve">2170638453 </v>
      </c>
      <c r="G2327" s="10" t="str">
        <f t="shared" si="63"/>
        <v>ON1</v>
      </c>
      <c r="H2327" s="10" t="s">
        <v>21</v>
      </c>
      <c r="I2327" s="10" t="s">
        <v>144</v>
      </c>
      <c r="J2327" s="10" t="str">
        <f>""</f>
        <v/>
      </c>
      <c r="K2327" s="10" t="str">
        <f>"PFES1162631558_0001"</f>
        <v>PFES1162631558_0001</v>
      </c>
      <c r="L2327" s="10">
        <v>1</v>
      </c>
      <c r="M2327" s="10">
        <v>3</v>
      </c>
    </row>
    <row r="2328" spans="1:13">
      <c r="A2328" s="8">
        <v>43277</v>
      </c>
      <c r="B2328" s="9">
        <v>0.54305555555555551</v>
      </c>
      <c r="C2328" s="10" t="str">
        <f>"FES1162631583"</f>
        <v>FES1162631583</v>
      </c>
      <c r="D2328" s="10" t="s">
        <v>19</v>
      </c>
      <c r="E2328" s="10" t="s">
        <v>149</v>
      </c>
      <c r="F2328" s="10" t="str">
        <f>"2170629611 "</f>
        <v xml:space="preserve">2170629611 </v>
      </c>
      <c r="G2328" s="10" t="str">
        <f t="shared" si="63"/>
        <v>ON1</v>
      </c>
      <c r="H2328" s="10" t="s">
        <v>21</v>
      </c>
      <c r="I2328" s="10" t="s">
        <v>96</v>
      </c>
      <c r="J2328" s="10" t="str">
        <f>""</f>
        <v/>
      </c>
      <c r="K2328" s="10" t="str">
        <f>"PFES1162631583_0001"</f>
        <v>PFES1162631583_0001</v>
      </c>
      <c r="L2328" s="10">
        <v>1</v>
      </c>
      <c r="M2328" s="10">
        <v>16</v>
      </c>
    </row>
    <row r="2329" spans="1:13">
      <c r="A2329" s="8">
        <v>43277</v>
      </c>
      <c r="B2329" s="9">
        <v>0.54236111111111118</v>
      </c>
      <c r="C2329" s="10" t="str">
        <f>"FES1162631506"</f>
        <v>FES1162631506</v>
      </c>
      <c r="D2329" s="10" t="s">
        <v>19</v>
      </c>
      <c r="E2329" s="10" t="s">
        <v>67</v>
      </c>
      <c r="F2329" s="10" t="str">
        <f>"2170635702 "</f>
        <v xml:space="preserve">2170635702 </v>
      </c>
      <c r="G2329" s="10" t="str">
        <f t="shared" si="63"/>
        <v>ON1</v>
      </c>
      <c r="H2329" s="10" t="s">
        <v>21</v>
      </c>
      <c r="I2329" s="10" t="s">
        <v>146</v>
      </c>
      <c r="J2329" s="10" t="str">
        <f>""</f>
        <v/>
      </c>
      <c r="K2329" s="10" t="str">
        <f>"PFES1162631506_0001"</f>
        <v>PFES1162631506_0001</v>
      </c>
      <c r="L2329" s="10">
        <v>1</v>
      </c>
      <c r="M2329" s="10">
        <v>2</v>
      </c>
    </row>
    <row r="2330" spans="1:13">
      <c r="A2330" s="8">
        <v>43277</v>
      </c>
      <c r="B2330" s="9">
        <v>0.54097222222222219</v>
      </c>
      <c r="C2330" s="10" t="str">
        <f>"FES1162631519"</f>
        <v>FES1162631519</v>
      </c>
      <c r="D2330" s="10" t="s">
        <v>19</v>
      </c>
      <c r="E2330" s="10" t="s">
        <v>700</v>
      </c>
      <c r="F2330" s="10" t="str">
        <f>"2170637619 "</f>
        <v xml:space="preserve">2170637619 </v>
      </c>
      <c r="G2330" s="10" t="str">
        <f t="shared" ref="G2330:G2366" si="64">"ON1"</f>
        <v>ON1</v>
      </c>
      <c r="H2330" s="10" t="s">
        <v>21</v>
      </c>
      <c r="I2330" s="10" t="s">
        <v>272</v>
      </c>
      <c r="J2330" s="10" t="str">
        <f>""</f>
        <v/>
      </c>
      <c r="K2330" s="10" t="str">
        <f>"PFES1162631519_0001"</f>
        <v>PFES1162631519_0001</v>
      </c>
      <c r="L2330" s="10">
        <v>1</v>
      </c>
      <c r="M2330" s="10">
        <v>4</v>
      </c>
    </row>
    <row r="2331" spans="1:13">
      <c r="A2331" s="8">
        <v>43277</v>
      </c>
      <c r="B2331" s="9">
        <v>0.54027777777777775</v>
      </c>
      <c r="C2331" s="10" t="str">
        <f>"FES1162631534"</f>
        <v>FES1162631534</v>
      </c>
      <c r="D2331" s="10" t="s">
        <v>19</v>
      </c>
      <c r="E2331" s="10" t="s">
        <v>994</v>
      </c>
      <c r="F2331" s="10" t="str">
        <f>"2170638266 "</f>
        <v xml:space="preserve">2170638266 </v>
      </c>
      <c r="G2331" s="10" t="str">
        <f t="shared" si="64"/>
        <v>ON1</v>
      </c>
      <c r="H2331" s="10" t="s">
        <v>21</v>
      </c>
      <c r="I2331" s="10" t="s">
        <v>483</v>
      </c>
      <c r="J2331" s="10" t="str">
        <f>""</f>
        <v/>
      </c>
      <c r="K2331" s="10" t="str">
        <f>"PFES1162631534_0001"</f>
        <v>PFES1162631534_0001</v>
      </c>
      <c r="L2331" s="10">
        <v>1</v>
      </c>
      <c r="M2331" s="10">
        <v>4</v>
      </c>
    </row>
    <row r="2332" spans="1:13">
      <c r="A2332" s="8">
        <v>43277</v>
      </c>
      <c r="B2332" s="9">
        <v>0.5395833333333333</v>
      </c>
      <c r="C2332" s="10" t="str">
        <f>"FES1162631587"</f>
        <v>FES1162631587</v>
      </c>
      <c r="D2332" s="10" t="s">
        <v>19</v>
      </c>
      <c r="E2332" s="10" t="s">
        <v>132</v>
      </c>
      <c r="F2332" s="10" t="str">
        <f>"2170633179 "</f>
        <v xml:space="preserve">2170633179 </v>
      </c>
      <c r="G2332" s="10" t="str">
        <f t="shared" si="64"/>
        <v>ON1</v>
      </c>
      <c r="H2332" s="10" t="s">
        <v>21</v>
      </c>
      <c r="I2332" s="10" t="s">
        <v>69</v>
      </c>
      <c r="J2332" s="10" t="str">
        <f>""</f>
        <v/>
      </c>
      <c r="K2332" s="10" t="str">
        <f>"PFES1162631587_0001"</f>
        <v>PFES1162631587_0001</v>
      </c>
      <c r="L2332" s="10">
        <v>1</v>
      </c>
      <c r="M2332" s="10">
        <v>1</v>
      </c>
    </row>
    <row r="2333" spans="1:13">
      <c r="A2333" s="8">
        <v>43277</v>
      </c>
      <c r="B2333" s="9">
        <v>0.5395833333333333</v>
      </c>
      <c r="C2333" s="10" t="str">
        <f>"FES1162631570"</f>
        <v>FES1162631570</v>
      </c>
      <c r="D2333" s="10" t="s">
        <v>19</v>
      </c>
      <c r="E2333" s="10" t="s">
        <v>995</v>
      </c>
      <c r="F2333" s="10" t="str">
        <f>"2170638470 "</f>
        <v xml:space="preserve">2170638470 </v>
      </c>
      <c r="G2333" s="10" t="str">
        <f t="shared" si="64"/>
        <v>ON1</v>
      </c>
      <c r="H2333" s="10" t="s">
        <v>21</v>
      </c>
      <c r="I2333" s="10" t="s">
        <v>131</v>
      </c>
      <c r="J2333" s="10" t="str">
        <f>""</f>
        <v/>
      </c>
      <c r="K2333" s="10" t="str">
        <f>"PFES1162631570_0001"</f>
        <v>PFES1162631570_0001</v>
      </c>
      <c r="L2333" s="10">
        <v>1</v>
      </c>
      <c r="M2333" s="10">
        <v>1</v>
      </c>
    </row>
    <row r="2334" spans="1:13">
      <c r="A2334" s="8">
        <v>43277</v>
      </c>
      <c r="B2334" s="9">
        <v>0.53888888888888886</v>
      </c>
      <c r="C2334" s="10" t="str">
        <f>"FES1162631511"</f>
        <v>FES1162631511</v>
      </c>
      <c r="D2334" s="10" t="s">
        <v>19</v>
      </c>
      <c r="E2334" s="10" t="s">
        <v>744</v>
      </c>
      <c r="F2334" s="10" t="str">
        <f>"2170636852 "</f>
        <v xml:space="preserve">2170636852 </v>
      </c>
      <c r="G2334" s="10" t="str">
        <f t="shared" si="64"/>
        <v>ON1</v>
      </c>
      <c r="H2334" s="10" t="s">
        <v>21</v>
      </c>
      <c r="I2334" s="10" t="s">
        <v>209</v>
      </c>
      <c r="J2334" s="10" t="str">
        <f>""</f>
        <v/>
      </c>
      <c r="K2334" s="10" t="str">
        <f>"PFES1162631511_0001"</f>
        <v>PFES1162631511_0001</v>
      </c>
      <c r="L2334" s="10">
        <v>1</v>
      </c>
      <c r="M2334" s="10">
        <v>6</v>
      </c>
    </row>
    <row r="2335" spans="1:13">
      <c r="A2335" s="8">
        <v>43277</v>
      </c>
      <c r="B2335" s="9">
        <v>0.53888888888888886</v>
      </c>
      <c r="C2335" s="10" t="str">
        <f>"FES1162631590"</f>
        <v>FES1162631590</v>
      </c>
      <c r="D2335" s="10" t="s">
        <v>19</v>
      </c>
      <c r="E2335" s="10" t="s">
        <v>996</v>
      </c>
      <c r="F2335" s="10" t="str">
        <f>"2170634787 "</f>
        <v xml:space="preserve">2170634787 </v>
      </c>
      <c r="G2335" s="10" t="str">
        <f t="shared" si="64"/>
        <v>ON1</v>
      </c>
      <c r="H2335" s="10" t="s">
        <v>21</v>
      </c>
      <c r="I2335" s="10" t="s">
        <v>93</v>
      </c>
      <c r="J2335" s="10" t="str">
        <f>""</f>
        <v/>
      </c>
      <c r="K2335" s="10" t="str">
        <f>"PFES1162631590_0001"</f>
        <v>PFES1162631590_0001</v>
      </c>
      <c r="L2335" s="10">
        <v>1</v>
      </c>
      <c r="M2335" s="10">
        <v>1</v>
      </c>
    </row>
    <row r="2336" spans="1:13">
      <c r="A2336" s="8">
        <v>43277</v>
      </c>
      <c r="B2336" s="9">
        <v>0.53888888888888886</v>
      </c>
      <c r="C2336" s="10" t="str">
        <f>"FES1162631596"</f>
        <v>FES1162631596</v>
      </c>
      <c r="D2336" s="10" t="s">
        <v>19</v>
      </c>
      <c r="E2336" s="10" t="s">
        <v>67</v>
      </c>
      <c r="F2336" s="10" t="str">
        <f>"2170638485 "</f>
        <v xml:space="preserve">2170638485 </v>
      </c>
      <c r="G2336" s="10" t="str">
        <f t="shared" si="64"/>
        <v>ON1</v>
      </c>
      <c r="H2336" s="10" t="s">
        <v>21</v>
      </c>
      <c r="I2336" s="10" t="s">
        <v>397</v>
      </c>
      <c r="J2336" s="10" t="str">
        <f>""</f>
        <v/>
      </c>
      <c r="K2336" s="10" t="str">
        <f>"PFES1162631596_0001"</f>
        <v>PFES1162631596_0001</v>
      </c>
      <c r="L2336" s="10">
        <v>1</v>
      </c>
      <c r="M2336" s="10">
        <v>1</v>
      </c>
    </row>
    <row r="2337" spans="1:13">
      <c r="A2337" s="8">
        <v>43277</v>
      </c>
      <c r="B2337" s="9">
        <v>0.53819444444444442</v>
      </c>
      <c r="C2337" s="10" t="str">
        <f>"FES1162631589"</f>
        <v>FES1162631589</v>
      </c>
      <c r="D2337" s="10" t="s">
        <v>19</v>
      </c>
      <c r="E2337" s="10" t="s">
        <v>731</v>
      </c>
      <c r="F2337" s="10" t="str">
        <f>"2170634664 "</f>
        <v xml:space="preserve">2170634664 </v>
      </c>
      <c r="G2337" s="10" t="str">
        <f t="shared" si="64"/>
        <v>ON1</v>
      </c>
      <c r="H2337" s="10" t="s">
        <v>21</v>
      </c>
      <c r="I2337" s="10" t="s">
        <v>96</v>
      </c>
      <c r="J2337" s="10" t="str">
        <f>""</f>
        <v/>
      </c>
      <c r="K2337" s="10" t="str">
        <f>"PFES1162631589_0001"</f>
        <v>PFES1162631589_0001</v>
      </c>
      <c r="L2337" s="10">
        <v>1</v>
      </c>
      <c r="M2337" s="10">
        <v>1</v>
      </c>
    </row>
    <row r="2338" spans="1:13">
      <c r="A2338" s="8">
        <v>43277</v>
      </c>
      <c r="B2338" s="9">
        <v>0.53819444444444442</v>
      </c>
      <c r="C2338" s="10" t="str">
        <f>"FES1162631598"</f>
        <v>FES1162631598</v>
      </c>
      <c r="D2338" s="10" t="s">
        <v>19</v>
      </c>
      <c r="E2338" s="10" t="s">
        <v>137</v>
      </c>
      <c r="F2338" s="10" t="str">
        <f>"2170638488 "</f>
        <v xml:space="preserve">2170638488 </v>
      </c>
      <c r="G2338" s="10" t="str">
        <f t="shared" si="64"/>
        <v>ON1</v>
      </c>
      <c r="H2338" s="10" t="s">
        <v>21</v>
      </c>
      <c r="I2338" s="10" t="s">
        <v>93</v>
      </c>
      <c r="J2338" s="10" t="str">
        <f>""</f>
        <v/>
      </c>
      <c r="K2338" s="10" t="str">
        <f>"PFES1162631598_0001"</f>
        <v>PFES1162631598_0001</v>
      </c>
      <c r="L2338" s="10">
        <v>1</v>
      </c>
      <c r="M2338" s="10">
        <v>1</v>
      </c>
    </row>
    <row r="2339" spans="1:13">
      <c r="A2339" s="8">
        <v>43277</v>
      </c>
      <c r="B2339" s="9">
        <v>0.53819444444444442</v>
      </c>
      <c r="C2339" s="10" t="str">
        <f>"FES1162631549"</f>
        <v>FES1162631549</v>
      </c>
      <c r="D2339" s="10" t="s">
        <v>19</v>
      </c>
      <c r="E2339" s="10" t="s">
        <v>864</v>
      </c>
      <c r="F2339" s="10" t="str">
        <f>"2170638436 "</f>
        <v xml:space="preserve">2170638436 </v>
      </c>
      <c r="G2339" s="10" t="str">
        <f t="shared" si="64"/>
        <v>ON1</v>
      </c>
      <c r="H2339" s="10" t="s">
        <v>21</v>
      </c>
      <c r="I2339" s="10" t="s">
        <v>71</v>
      </c>
      <c r="J2339" s="10" t="str">
        <f>""</f>
        <v/>
      </c>
      <c r="K2339" s="10" t="str">
        <f>"PFES1162631549_0001"</f>
        <v>PFES1162631549_0001</v>
      </c>
      <c r="L2339" s="10">
        <v>1</v>
      </c>
      <c r="M2339" s="10">
        <v>9</v>
      </c>
    </row>
    <row r="2340" spans="1:13">
      <c r="A2340" s="8">
        <v>43277</v>
      </c>
      <c r="B2340" s="9">
        <v>0.53749999999999998</v>
      </c>
      <c r="C2340" s="10" t="str">
        <f>"FES1162631620"</f>
        <v>FES1162631620</v>
      </c>
      <c r="D2340" s="10" t="s">
        <v>19</v>
      </c>
      <c r="E2340" s="10" t="s">
        <v>105</v>
      </c>
      <c r="F2340" s="10" t="str">
        <f>"2170638515 "</f>
        <v xml:space="preserve">2170638515 </v>
      </c>
      <c r="G2340" s="10" t="str">
        <f t="shared" si="64"/>
        <v>ON1</v>
      </c>
      <c r="H2340" s="10" t="s">
        <v>21</v>
      </c>
      <c r="I2340" s="10" t="s">
        <v>106</v>
      </c>
      <c r="J2340" s="10" t="str">
        <f>""</f>
        <v/>
      </c>
      <c r="K2340" s="10" t="str">
        <f>"PFES1162631620_0001"</f>
        <v>PFES1162631620_0001</v>
      </c>
      <c r="L2340" s="10">
        <v>1</v>
      </c>
      <c r="M2340" s="10">
        <v>1</v>
      </c>
    </row>
    <row r="2341" spans="1:13">
      <c r="A2341" s="8">
        <v>43277</v>
      </c>
      <c r="B2341" s="9">
        <v>0.53749999999999998</v>
      </c>
      <c r="C2341" s="10" t="str">
        <f>"FES1162631594"</f>
        <v>FES1162631594</v>
      </c>
      <c r="D2341" s="10" t="s">
        <v>19</v>
      </c>
      <c r="E2341" s="10" t="s">
        <v>302</v>
      </c>
      <c r="F2341" s="10" t="str">
        <f>"21706377773 "</f>
        <v xml:space="preserve">21706377773 </v>
      </c>
      <c r="G2341" s="10" t="str">
        <f t="shared" si="64"/>
        <v>ON1</v>
      </c>
      <c r="H2341" s="10" t="s">
        <v>21</v>
      </c>
      <c r="I2341" s="10" t="s">
        <v>303</v>
      </c>
      <c r="J2341" s="10" t="str">
        <f>""</f>
        <v/>
      </c>
      <c r="K2341" s="10" t="str">
        <f>"PFES1162631594_0001"</f>
        <v>PFES1162631594_0001</v>
      </c>
      <c r="L2341" s="10">
        <v>1</v>
      </c>
      <c r="M2341" s="10">
        <v>1</v>
      </c>
    </row>
    <row r="2342" spans="1:13">
      <c r="A2342" s="8">
        <v>43277</v>
      </c>
      <c r="B2342" s="9">
        <v>0.53749999999999998</v>
      </c>
      <c r="C2342" s="10" t="str">
        <f>"FES1162631522"</f>
        <v>FES1162631522</v>
      </c>
      <c r="D2342" s="10" t="s">
        <v>19</v>
      </c>
      <c r="E2342" s="10" t="s">
        <v>302</v>
      </c>
      <c r="F2342" s="10" t="str">
        <f>"2170637773 "</f>
        <v xml:space="preserve">2170637773 </v>
      </c>
      <c r="G2342" s="10" t="str">
        <f t="shared" si="64"/>
        <v>ON1</v>
      </c>
      <c r="H2342" s="10" t="s">
        <v>21</v>
      </c>
      <c r="I2342" s="10" t="s">
        <v>303</v>
      </c>
      <c r="J2342" s="10" t="str">
        <f>""</f>
        <v/>
      </c>
      <c r="K2342" s="10" t="str">
        <f>"PFES1162631522_0001"</f>
        <v>PFES1162631522_0001</v>
      </c>
      <c r="L2342" s="10">
        <v>1</v>
      </c>
      <c r="M2342" s="10">
        <v>1</v>
      </c>
    </row>
    <row r="2343" spans="1:13">
      <c r="A2343" s="8">
        <v>43277</v>
      </c>
      <c r="B2343" s="9">
        <v>0.53680555555555554</v>
      </c>
      <c r="C2343" s="10" t="str">
        <f>"FES1162631604"</f>
        <v>FES1162631604</v>
      </c>
      <c r="D2343" s="10" t="s">
        <v>19</v>
      </c>
      <c r="E2343" s="10" t="s">
        <v>95</v>
      </c>
      <c r="F2343" s="10" t="str">
        <f>"2170638491 "</f>
        <v xml:space="preserve">2170638491 </v>
      </c>
      <c r="G2343" s="10" t="str">
        <f t="shared" si="64"/>
        <v>ON1</v>
      </c>
      <c r="H2343" s="10" t="s">
        <v>21</v>
      </c>
      <c r="I2343" s="10" t="s">
        <v>96</v>
      </c>
      <c r="J2343" s="10" t="str">
        <f>""</f>
        <v/>
      </c>
      <c r="K2343" s="10" t="str">
        <f>"PFES1162631604_0001"</f>
        <v>PFES1162631604_0001</v>
      </c>
      <c r="L2343" s="10">
        <v>1</v>
      </c>
      <c r="M2343" s="10">
        <v>1</v>
      </c>
    </row>
    <row r="2344" spans="1:13">
      <c r="A2344" s="8">
        <v>43277</v>
      </c>
      <c r="B2344" s="9">
        <v>0.53680555555555554</v>
      </c>
      <c r="C2344" s="10" t="str">
        <f>"FES1162631510"</f>
        <v>FES1162631510</v>
      </c>
      <c r="D2344" s="10" t="s">
        <v>19</v>
      </c>
      <c r="E2344" s="10" t="s">
        <v>540</v>
      </c>
      <c r="F2344" s="10" t="str">
        <f>"2170636836 "</f>
        <v xml:space="preserve">2170636836 </v>
      </c>
      <c r="G2344" s="10" t="str">
        <f t="shared" si="64"/>
        <v>ON1</v>
      </c>
      <c r="H2344" s="10" t="s">
        <v>21</v>
      </c>
      <c r="I2344" s="10" t="s">
        <v>55</v>
      </c>
      <c r="J2344" s="10" t="str">
        <f>""</f>
        <v/>
      </c>
      <c r="K2344" s="10" t="str">
        <f>"PFES1162631510_0001"</f>
        <v>PFES1162631510_0001</v>
      </c>
      <c r="L2344" s="10">
        <v>1</v>
      </c>
      <c r="M2344" s="10">
        <v>1</v>
      </c>
    </row>
    <row r="2345" spans="1:13">
      <c r="A2345" s="8">
        <v>43277</v>
      </c>
      <c r="B2345" s="9">
        <v>0.53680555555555554</v>
      </c>
      <c r="C2345" s="10" t="str">
        <f>"FES1162631501"</f>
        <v>FES1162631501</v>
      </c>
      <c r="D2345" s="10" t="s">
        <v>19</v>
      </c>
      <c r="E2345" s="10" t="s">
        <v>229</v>
      </c>
      <c r="F2345" s="10" t="str">
        <f>"2170633057 "</f>
        <v xml:space="preserve">2170633057 </v>
      </c>
      <c r="G2345" s="10" t="str">
        <f t="shared" si="64"/>
        <v>ON1</v>
      </c>
      <c r="H2345" s="10" t="s">
        <v>21</v>
      </c>
      <c r="I2345" s="10" t="s">
        <v>230</v>
      </c>
      <c r="J2345" s="10" t="str">
        <f>""</f>
        <v/>
      </c>
      <c r="K2345" s="10" t="str">
        <f>"PFES1162631501_0001"</f>
        <v>PFES1162631501_0001</v>
      </c>
      <c r="L2345" s="10">
        <v>1</v>
      </c>
      <c r="M2345" s="10">
        <v>6</v>
      </c>
    </row>
    <row r="2346" spans="1:13">
      <c r="A2346" s="8">
        <v>43277</v>
      </c>
      <c r="B2346" s="9">
        <v>0.53611111111111109</v>
      </c>
      <c r="C2346" s="10" t="str">
        <f>"FES1162631523"</f>
        <v>FES1162631523</v>
      </c>
      <c r="D2346" s="10" t="s">
        <v>19</v>
      </c>
      <c r="E2346" s="10" t="s">
        <v>60</v>
      </c>
      <c r="F2346" s="10" t="str">
        <f>"2170637778 "</f>
        <v xml:space="preserve">2170637778 </v>
      </c>
      <c r="G2346" s="10" t="str">
        <f t="shared" si="64"/>
        <v>ON1</v>
      </c>
      <c r="H2346" s="10" t="s">
        <v>21</v>
      </c>
      <c r="I2346" s="10" t="s">
        <v>61</v>
      </c>
      <c r="J2346" s="10" t="str">
        <f>""</f>
        <v/>
      </c>
      <c r="K2346" s="10" t="str">
        <f>"PFES1162631523_0001"</f>
        <v>PFES1162631523_0001</v>
      </c>
      <c r="L2346" s="10">
        <v>1</v>
      </c>
      <c r="M2346" s="10">
        <v>1</v>
      </c>
    </row>
    <row r="2347" spans="1:13">
      <c r="A2347" s="8">
        <v>43277</v>
      </c>
      <c r="B2347" s="9">
        <v>0.53611111111111109</v>
      </c>
      <c r="C2347" s="10" t="str">
        <f>"FES1162631591"</f>
        <v>FES1162631591</v>
      </c>
      <c r="D2347" s="10" t="s">
        <v>19</v>
      </c>
      <c r="E2347" s="10" t="s">
        <v>60</v>
      </c>
      <c r="F2347" s="10" t="str">
        <f>"2170634812 "</f>
        <v xml:space="preserve">2170634812 </v>
      </c>
      <c r="G2347" s="10" t="str">
        <f t="shared" si="64"/>
        <v>ON1</v>
      </c>
      <c r="H2347" s="10" t="s">
        <v>21</v>
      </c>
      <c r="I2347" s="10" t="s">
        <v>61</v>
      </c>
      <c r="J2347" s="10" t="str">
        <f>""</f>
        <v/>
      </c>
      <c r="K2347" s="10" t="str">
        <f>"PFES1162631591_0001"</f>
        <v>PFES1162631591_0001</v>
      </c>
      <c r="L2347" s="10">
        <v>1</v>
      </c>
      <c r="M2347" s="10">
        <v>1</v>
      </c>
    </row>
    <row r="2348" spans="1:13">
      <c r="A2348" s="8">
        <v>43277</v>
      </c>
      <c r="B2348" s="9">
        <v>0.53541666666666665</v>
      </c>
      <c r="C2348" s="10" t="str">
        <f>"FES1162631499"</f>
        <v>FES1162631499</v>
      </c>
      <c r="D2348" s="10" t="s">
        <v>19</v>
      </c>
      <c r="E2348" s="10" t="s">
        <v>315</v>
      </c>
      <c r="F2348" s="10" t="str">
        <f>"2170631468 "</f>
        <v xml:space="preserve">2170631468 </v>
      </c>
      <c r="G2348" s="10" t="str">
        <f t="shared" si="64"/>
        <v>ON1</v>
      </c>
      <c r="H2348" s="10" t="s">
        <v>21</v>
      </c>
      <c r="I2348" s="10" t="s">
        <v>104</v>
      </c>
      <c r="J2348" s="10" t="str">
        <f>""</f>
        <v/>
      </c>
      <c r="K2348" s="10" t="str">
        <f>"PFES1162631499_0001"</f>
        <v>PFES1162631499_0001</v>
      </c>
      <c r="L2348" s="10">
        <v>1</v>
      </c>
      <c r="M2348" s="10">
        <v>1</v>
      </c>
    </row>
    <row r="2349" spans="1:13">
      <c r="A2349" s="8">
        <v>43277</v>
      </c>
      <c r="B2349" s="9">
        <v>0.53541666666666665</v>
      </c>
      <c r="C2349" s="10" t="str">
        <f>"FES1162631527"</f>
        <v>FES1162631527</v>
      </c>
      <c r="D2349" s="10" t="s">
        <v>19</v>
      </c>
      <c r="E2349" s="10" t="s">
        <v>539</v>
      </c>
      <c r="F2349" s="10" t="str">
        <f>"2170637865 "</f>
        <v xml:space="preserve">2170637865 </v>
      </c>
      <c r="G2349" s="10" t="str">
        <f t="shared" si="64"/>
        <v>ON1</v>
      </c>
      <c r="H2349" s="10" t="s">
        <v>21</v>
      </c>
      <c r="I2349" s="10" t="s">
        <v>96</v>
      </c>
      <c r="J2349" s="10" t="str">
        <f>""</f>
        <v/>
      </c>
      <c r="K2349" s="10" t="str">
        <f>"PFES1162631527_0001"</f>
        <v>PFES1162631527_0001</v>
      </c>
      <c r="L2349" s="10">
        <v>1</v>
      </c>
      <c r="M2349" s="10">
        <v>1</v>
      </c>
    </row>
    <row r="2350" spans="1:13">
      <c r="A2350" s="8">
        <v>43277</v>
      </c>
      <c r="B2350" s="9">
        <v>0.53541666666666665</v>
      </c>
      <c r="C2350" s="10" t="str">
        <f>"FES1162631503"</f>
        <v>FES1162631503</v>
      </c>
      <c r="D2350" s="10" t="s">
        <v>19</v>
      </c>
      <c r="E2350" s="10" t="s">
        <v>364</v>
      </c>
      <c r="F2350" s="10" t="str">
        <f>"2170634225 "</f>
        <v xml:space="preserve">2170634225 </v>
      </c>
      <c r="G2350" s="10" t="str">
        <f t="shared" si="64"/>
        <v>ON1</v>
      </c>
      <c r="H2350" s="10" t="s">
        <v>21</v>
      </c>
      <c r="I2350" s="10" t="s">
        <v>146</v>
      </c>
      <c r="J2350" s="10" t="str">
        <f>""</f>
        <v/>
      </c>
      <c r="K2350" s="10" t="str">
        <f>"PFES1162631503_0001"</f>
        <v>PFES1162631503_0001</v>
      </c>
      <c r="L2350" s="10">
        <v>1</v>
      </c>
      <c r="M2350" s="10">
        <v>1</v>
      </c>
    </row>
    <row r="2351" spans="1:13">
      <c r="A2351" s="8">
        <v>43277</v>
      </c>
      <c r="B2351" s="9">
        <v>0.53472222222222221</v>
      </c>
      <c r="C2351" s="10" t="str">
        <f>"FES1162631553"</f>
        <v>FES1162631553</v>
      </c>
      <c r="D2351" s="10" t="s">
        <v>19</v>
      </c>
      <c r="E2351" s="10" t="s">
        <v>60</v>
      </c>
      <c r="F2351" s="10" t="str">
        <f>"2170638445 "</f>
        <v xml:space="preserve">2170638445 </v>
      </c>
      <c r="G2351" s="10" t="str">
        <f t="shared" si="64"/>
        <v>ON1</v>
      </c>
      <c r="H2351" s="10" t="s">
        <v>21</v>
      </c>
      <c r="I2351" s="10" t="s">
        <v>61</v>
      </c>
      <c r="J2351" s="10" t="str">
        <f>""</f>
        <v/>
      </c>
      <c r="K2351" s="10" t="str">
        <f>"PFES1162631553_0001"</f>
        <v>PFES1162631553_0001</v>
      </c>
      <c r="L2351" s="10">
        <v>1</v>
      </c>
      <c r="M2351" s="10">
        <v>11</v>
      </c>
    </row>
    <row r="2352" spans="1:13">
      <c r="A2352" s="8">
        <v>43277</v>
      </c>
      <c r="B2352" s="9">
        <v>0.53472222222222221</v>
      </c>
      <c r="C2352" s="10" t="str">
        <f>"FES1162631609"</f>
        <v>FES1162631609</v>
      </c>
      <c r="D2352" s="10" t="s">
        <v>19</v>
      </c>
      <c r="E2352" s="10" t="s">
        <v>145</v>
      </c>
      <c r="F2352" s="10" t="str">
        <f>"2170637308 "</f>
        <v xml:space="preserve">2170637308 </v>
      </c>
      <c r="G2352" s="10" t="str">
        <f t="shared" si="64"/>
        <v>ON1</v>
      </c>
      <c r="H2352" s="10" t="s">
        <v>21</v>
      </c>
      <c r="I2352" s="10" t="s">
        <v>146</v>
      </c>
      <c r="J2352" s="10" t="str">
        <f>""</f>
        <v/>
      </c>
      <c r="K2352" s="10" t="str">
        <f>"PFES1162631609_0001"</f>
        <v>PFES1162631609_0001</v>
      </c>
      <c r="L2352" s="10">
        <v>1</v>
      </c>
      <c r="M2352" s="10">
        <v>1</v>
      </c>
    </row>
    <row r="2353" spans="1:13">
      <c r="A2353" s="8">
        <v>43277</v>
      </c>
      <c r="B2353" s="9">
        <v>0.53402777777777777</v>
      </c>
      <c r="C2353" s="10" t="str">
        <f>"FES1162631600"</f>
        <v>FES1162631600</v>
      </c>
      <c r="D2353" s="10" t="s">
        <v>19</v>
      </c>
      <c r="E2353" s="10" t="s">
        <v>732</v>
      </c>
      <c r="F2353" s="10" t="str">
        <f>"2170638397 "</f>
        <v xml:space="preserve">2170638397 </v>
      </c>
      <c r="G2353" s="10" t="str">
        <f t="shared" si="64"/>
        <v>ON1</v>
      </c>
      <c r="H2353" s="10" t="s">
        <v>21</v>
      </c>
      <c r="I2353" s="10" t="s">
        <v>55</v>
      </c>
      <c r="J2353" s="10" t="str">
        <f>""</f>
        <v/>
      </c>
      <c r="K2353" s="10" t="str">
        <f>"PFES1162631600_0001"</f>
        <v>PFES1162631600_0001</v>
      </c>
      <c r="L2353" s="10">
        <v>1</v>
      </c>
      <c r="M2353" s="10">
        <v>1</v>
      </c>
    </row>
    <row r="2354" spans="1:13">
      <c r="A2354" s="8">
        <v>43277</v>
      </c>
      <c r="B2354" s="9">
        <v>0.53402777777777777</v>
      </c>
      <c r="C2354" s="10" t="str">
        <f>"FES1162631515"</f>
        <v>FES1162631515</v>
      </c>
      <c r="D2354" s="10" t="s">
        <v>19</v>
      </c>
      <c r="E2354" s="10" t="s">
        <v>361</v>
      </c>
      <c r="F2354" s="10" t="str">
        <f>"2170637146 "</f>
        <v xml:space="preserve">2170637146 </v>
      </c>
      <c r="G2354" s="10" t="str">
        <f t="shared" si="64"/>
        <v>ON1</v>
      </c>
      <c r="H2354" s="10" t="s">
        <v>21</v>
      </c>
      <c r="I2354" s="10" t="s">
        <v>57</v>
      </c>
      <c r="J2354" s="10" t="str">
        <f>""</f>
        <v/>
      </c>
      <c r="K2354" s="10" t="str">
        <f>"PFES1162631515_0001"</f>
        <v>PFES1162631515_0001</v>
      </c>
      <c r="L2354" s="10">
        <v>1</v>
      </c>
      <c r="M2354" s="10">
        <v>1</v>
      </c>
    </row>
    <row r="2355" spans="1:13">
      <c r="A2355" s="8">
        <v>43277</v>
      </c>
      <c r="B2355" s="9">
        <v>0.52152777777777781</v>
      </c>
      <c r="C2355" s="10" t="str">
        <f>"FES1162631536"</f>
        <v>FES1162631536</v>
      </c>
      <c r="D2355" s="10" t="s">
        <v>19</v>
      </c>
      <c r="E2355" s="10" t="s">
        <v>997</v>
      </c>
      <c r="F2355" s="10" t="str">
        <f>"2170638369 "</f>
        <v xml:space="preserve">2170638369 </v>
      </c>
      <c r="G2355" s="10" t="str">
        <f t="shared" si="64"/>
        <v>ON1</v>
      </c>
      <c r="H2355" s="10" t="s">
        <v>21</v>
      </c>
      <c r="I2355" s="10" t="s">
        <v>998</v>
      </c>
      <c r="J2355" s="10" t="str">
        <f>""</f>
        <v/>
      </c>
      <c r="K2355" s="10" t="str">
        <f>"PFES1162631536_0001"</f>
        <v>PFES1162631536_0001</v>
      </c>
      <c r="L2355" s="10">
        <v>1</v>
      </c>
      <c r="M2355" s="10">
        <v>1</v>
      </c>
    </row>
    <row r="2356" spans="1:13">
      <c r="A2356" s="8">
        <v>43277</v>
      </c>
      <c r="B2356" s="9">
        <v>0.52083333333333337</v>
      </c>
      <c r="C2356" s="10" t="str">
        <f>"FES1162631584"</f>
        <v>FES1162631584</v>
      </c>
      <c r="D2356" s="10" t="s">
        <v>19</v>
      </c>
      <c r="E2356" s="10" t="s">
        <v>891</v>
      </c>
      <c r="F2356" s="10" t="str">
        <f>"2170630677 "</f>
        <v xml:space="preserve">2170630677 </v>
      </c>
      <c r="G2356" s="10" t="str">
        <f t="shared" si="64"/>
        <v>ON1</v>
      </c>
      <c r="H2356" s="10" t="s">
        <v>21</v>
      </c>
      <c r="I2356" s="10" t="s">
        <v>32</v>
      </c>
      <c r="J2356" s="10" t="str">
        <f>""</f>
        <v/>
      </c>
      <c r="K2356" s="10" t="str">
        <f>"PFES1162631584_0001"</f>
        <v>PFES1162631584_0001</v>
      </c>
      <c r="L2356" s="10">
        <v>1</v>
      </c>
      <c r="M2356" s="10">
        <v>1</v>
      </c>
    </row>
    <row r="2357" spans="1:13">
      <c r="A2357" s="8">
        <v>43277</v>
      </c>
      <c r="B2357" s="9">
        <v>0.52083333333333337</v>
      </c>
      <c r="C2357" s="10" t="str">
        <f>"FES1162631582"</f>
        <v>FES1162631582</v>
      </c>
      <c r="D2357" s="10" t="s">
        <v>19</v>
      </c>
      <c r="E2357" s="10" t="s">
        <v>760</v>
      </c>
      <c r="F2357" s="10" t="str">
        <f>"2170621702 "</f>
        <v xml:space="preserve">2170621702 </v>
      </c>
      <c r="G2357" s="10" t="str">
        <f t="shared" si="64"/>
        <v>ON1</v>
      </c>
      <c r="H2357" s="10" t="s">
        <v>21</v>
      </c>
      <c r="I2357" s="10" t="s">
        <v>604</v>
      </c>
      <c r="J2357" s="10" t="str">
        <f>""</f>
        <v/>
      </c>
      <c r="K2357" s="10" t="str">
        <f>"PFES1162631582_0001"</f>
        <v>PFES1162631582_0001</v>
      </c>
      <c r="L2357" s="10">
        <v>1</v>
      </c>
      <c r="M2357" s="10">
        <v>1</v>
      </c>
    </row>
    <row r="2358" spans="1:13">
      <c r="A2358" s="8">
        <v>43277</v>
      </c>
      <c r="B2358" s="9">
        <v>0.52013888888888882</v>
      </c>
      <c r="C2358" s="10" t="str">
        <f>"FES1162631567"</f>
        <v>FES1162631567</v>
      </c>
      <c r="D2358" s="10" t="s">
        <v>19</v>
      </c>
      <c r="E2358" s="10" t="s">
        <v>278</v>
      </c>
      <c r="F2358" s="10" t="str">
        <f>"217038462 "</f>
        <v xml:space="preserve">217038462 </v>
      </c>
      <c r="G2358" s="10" t="str">
        <f t="shared" si="64"/>
        <v>ON1</v>
      </c>
      <c r="H2358" s="10" t="s">
        <v>21</v>
      </c>
      <c r="I2358" s="10" t="s">
        <v>279</v>
      </c>
      <c r="J2358" s="10" t="str">
        <f>""</f>
        <v/>
      </c>
      <c r="K2358" s="10" t="str">
        <f>"PFES1162631567_0001"</f>
        <v>PFES1162631567_0001</v>
      </c>
      <c r="L2358" s="10">
        <v>1</v>
      </c>
      <c r="M2358" s="10">
        <v>1</v>
      </c>
    </row>
    <row r="2359" spans="1:13">
      <c r="A2359" s="8">
        <v>43277</v>
      </c>
      <c r="B2359" s="9">
        <v>0.52013888888888882</v>
      </c>
      <c r="C2359" s="10" t="str">
        <f>"FES1162631602"</f>
        <v>FES1162631602</v>
      </c>
      <c r="D2359" s="10" t="s">
        <v>19</v>
      </c>
      <c r="E2359" s="10" t="s">
        <v>999</v>
      </c>
      <c r="F2359" s="10" t="str">
        <f>"2170638433 "</f>
        <v xml:space="preserve">2170638433 </v>
      </c>
      <c r="G2359" s="10" t="str">
        <f t="shared" si="64"/>
        <v>ON1</v>
      </c>
      <c r="H2359" s="10" t="s">
        <v>21</v>
      </c>
      <c r="I2359" s="10" t="s">
        <v>1000</v>
      </c>
      <c r="J2359" s="10" t="str">
        <f>""</f>
        <v/>
      </c>
      <c r="K2359" s="10" t="str">
        <f>"PFES1162631602_0001"</f>
        <v>PFES1162631602_0001</v>
      </c>
      <c r="L2359" s="10">
        <v>1</v>
      </c>
      <c r="M2359" s="10">
        <v>1</v>
      </c>
    </row>
    <row r="2360" spans="1:13">
      <c r="A2360" s="8">
        <v>43277</v>
      </c>
      <c r="B2360" s="9">
        <v>0.51944444444444449</v>
      </c>
      <c r="C2360" s="10" t="str">
        <f>"FES1162631508"</f>
        <v>FES1162631508</v>
      </c>
      <c r="D2360" s="10" t="s">
        <v>19</v>
      </c>
      <c r="E2360" s="10" t="s">
        <v>338</v>
      </c>
      <c r="F2360" s="10" t="str">
        <f>"2170636409 "</f>
        <v xml:space="preserve">2170636409 </v>
      </c>
      <c r="G2360" s="10" t="str">
        <f t="shared" si="64"/>
        <v>ON1</v>
      </c>
      <c r="H2360" s="10" t="s">
        <v>21</v>
      </c>
      <c r="I2360" s="10" t="s">
        <v>331</v>
      </c>
      <c r="J2360" s="10" t="str">
        <f>""</f>
        <v/>
      </c>
      <c r="K2360" s="10" t="str">
        <f>"PFES1162631508_0001"</f>
        <v>PFES1162631508_0001</v>
      </c>
      <c r="L2360" s="10">
        <v>1</v>
      </c>
      <c r="M2360" s="10">
        <v>1</v>
      </c>
    </row>
    <row r="2361" spans="1:13">
      <c r="A2361" s="8">
        <v>43277</v>
      </c>
      <c r="B2361" s="9">
        <v>0.51874999999999993</v>
      </c>
      <c r="C2361" s="10" t="str">
        <f>"FES1162631555"</f>
        <v>FES1162631555</v>
      </c>
      <c r="D2361" s="10" t="s">
        <v>19</v>
      </c>
      <c r="E2361" s="10" t="s">
        <v>306</v>
      </c>
      <c r="F2361" s="10" t="str">
        <f>"2170638448 "</f>
        <v xml:space="preserve">2170638448 </v>
      </c>
      <c r="G2361" s="10" t="str">
        <f t="shared" si="64"/>
        <v>ON1</v>
      </c>
      <c r="H2361" s="10" t="s">
        <v>21</v>
      </c>
      <c r="I2361" s="10" t="s">
        <v>36</v>
      </c>
      <c r="J2361" s="10" t="str">
        <f>""</f>
        <v/>
      </c>
      <c r="K2361" s="10" t="str">
        <f>"PFES1162631555_0001"</f>
        <v>PFES1162631555_0001</v>
      </c>
      <c r="L2361" s="10">
        <v>1</v>
      </c>
      <c r="M2361" s="10">
        <v>1</v>
      </c>
    </row>
    <row r="2362" spans="1:13">
      <c r="A2362" s="8">
        <v>43277</v>
      </c>
      <c r="B2362" s="9">
        <v>0.51874999999999993</v>
      </c>
      <c r="C2362" s="10" t="str">
        <f>"FES1162631537"</f>
        <v>FES1162631537</v>
      </c>
      <c r="D2362" s="10" t="s">
        <v>19</v>
      </c>
      <c r="E2362" s="10" t="s">
        <v>461</v>
      </c>
      <c r="F2362" s="10" t="str">
        <f>"2170638145 "</f>
        <v xml:space="preserve">2170638145 </v>
      </c>
      <c r="G2362" s="10" t="str">
        <f t="shared" si="64"/>
        <v>ON1</v>
      </c>
      <c r="H2362" s="10" t="s">
        <v>21</v>
      </c>
      <c r="I2362" s="10" t="s">
        <v>32</v>
      </c>
      <c r="J2362" s="10" t="str">
        <f>""</f>
        <v/>
      </c>
      <c r="K2362" s="10" t="str">
        <f>"PFES1162631537_0001"</f>
        <v>PFES1162631537_0001</v>
      </c>
      <c r="L2362" s="10">
        <v>1</v>
      </c>
      <c r="M2362" s="10">
        <v>1</v>
      </c>
    </row>
    <row r="2363" spans="1:13">
      <c r="A2363" s="8">
        <v>43277</v>
      </c>
      <c r="B2363" s="9">
        <v>0.5180555555555556</v>
      </c>
      <c r="C2363" s="10" t="str">
        <f>"FES1162631518"</f>
        <v>FES1162631518</v>
      </c>
      <c r="D2363" s="10" t="s">
        <v>19</v>
      </c>
      <c r="E2363" s="10" t="s">
        <v>163</v>
      </c>
      <c r="F2363" s="10" t="str">
        <f>"217063615 "</f>
        <v xml:space="preserve">217063615 </v>
      </c>
      <c r="G2363" s="10" t="str">
        <f t="shared" si="64"/>
        <v>ON1</v>
      </c>
      <c r="H2363" s="10" t="s">
        <v>21</v>
      </c>
      <c r="I2363" s="10" t="s">
        <v>51</v>
      </c>
      <c r="J2363" s="10" t="str">
        <f>""</f>
        <v/>
      </c>
      <c r="K2363" s="10" t="str">
        <f>"PFES1162631518_0001"</f>
        <v>PFES1162631518_0001</v>
      </c>
      <c r="L2363" s="10">
        <v>1</v>
      </c>
      <c r="M2363" s="10">
        <v>1</v>
      </c>
    </row>
    <row r="2364" spans="1:13">
      <c r="A2364" s="8">
        <v>43277</v>
      </c>
      <c r="B2364" s="9">
        <v>0.5180555555555556</v>
      </c>
      <c r="C2364" s="10" t="str">
        <f>"FES1162631535"</f>
        <v>FES1162631535</v>
      </c>
      <c r="D2364" s="10" t="s">
        <v>19</v>
      </c>
      <c r="E2364" s="10" t="s">
        <v>263</v>
      </c>
      <c r="F2364" s="10" t="str">
        <f>"2170638358 "</f>
        <v xml:space="preserve">2170638358 </v>
      </c>
      <c r="G2364" s="10" t="str">
        <f t="shared" si="64"/>
        <v>ON1</v>
      </c>
      <c r="H2364" s="10" t="s">
        <v>21</v>
      </c>
      <c r="I2364" s="10" t="s">
        <v>230</v>
      </c>
      <c r="J2364" s="10" t="str">
        <f>""</f>
        <v/>
      </c>
      <c r="K2364" s="10" t="str">
        <f>"PFES1162631535_0001"</f>
        <v>PFES1162631535_0001</v>
      </c>
      <c r="L2364" s="10">
        <v>1</v>
      </c>
      <c r="M2364" s="10">
        <v>1</v>
      </c>
    </row>
    <row r="2365" spans="1:13">
      <c r="A2365" s="8">
        <v>43277</v>
      </c>
      <c r="B2365" s="9">
        <v>0.5180555555555556</v>
      </c>
      <c r="C2365" s="10" t="str">
        <f>"FES1162631525"</f>
        <v>FES1162631525</v>
      </c>
      <c r="D2365" s="10" t="s">
        <v>19</v>
      </c>
      <c r="E2365" s="10" t="s">
        <v>406</v>
      </c>
      <c r="F2365" s="10" t="str">
        <f>"217063838 "</f>
        <v xml:space="preserve">217063838 </v>
      </c>
      <c r="G2365" s="10" t="str">
        <f t="shared" si="64"/>
        <v>ON1</v>
      </c>
      <c r="H2365" s="10" t="s">
        <v>21</v>
      </c>
      <c r="I2365" s="10" t="s">
        <v>407</v>
      </c>
      <c r="J2365" s="10" t="str">
        <f>""</f>
        <v/>
      </c>
      <c r="K2365" s="10" t="str">
        <f>"PFES1162631525_0001"</f>
        <v>PFES1162631525_0001</v>
      </c>
      <c r="L2365" s="10">
        <v>1</v>
      </c>
      <c r="M2365" s="10">
        <v>1</v>
      </c>
    </row>
    <row r="2366" spans="1:13">
      <c r="A2366" s="8">
        <v>43277</v>
      </c>
      <c r="B2366" s="9">
        <v>0.51736111111111105</v>
      </c>
      <c r="C2366" s="10" t="str">
        <f>"FES1162631556"</f>
        <v>FES1162631556</v>
      </c>
      <c r="D2366" s="10" t="s">
        <v>19</v>
      </c>
      <c r="E2366" s="10" t="s">
        <v>306</v>
      </c>
      <c r="F2366" s="10" t="str">
        <f>"2170638449 "</f>
        <v xml:space="preserve">2170638449 </v>
      </c>
      <c r="G2366" s="10" t="str">
        <f t="shared" si="64"/>
        <v>ON1</v>
      </c>
      <c r="H2366" s="10" t="s">
        <v>21</v>
      </c>
      <c r="I2366" s="10" t="s">
        <v>36</v>
      </c>
      <c r="J2366" s="10" t="str">
        <f>""</f>
        <v/>
      </c>
      <c r="K2366" s="10" t="str">
        <f>"PFES1162631556_0001"</f>
        <v>PFES1162631556_0001</v>
      </c>
      <c r="L2366" s="10">
        <v>1</v>
      </c>
      <c r="M2366" s="10">
        <v>1</v>
      </c>
    </row>
    <row r="2367" spans="1:13">
      <c r="A2367" s="8">
        <v>43277</v>
      </c>
      <c r="B2367" s="9">
        <v>0.51736111111111105</v>
      </c>
      <c r="C2367" s="10" t="str">
        <f>"FES1162631530"</f>
        <v>FES1162631530</v>
      </c>
      <c r="D2367" s="10" t="s">
        <v>19</v>
      </c>
      <c r="E2367" s="10" t="s">
        <v>700</v>
      </c>
      <c r="F2367" s="10" t="str">
        <f>"2170638134 "</f>
        <v xml:space="preserve">2170638134 </v>
      </c>
      <c r="G2367" s="10" t="str">
        <f>"DBC"</f>
        <v>DBC</v>
      </c>
      <c r="H2367" s="10" t="s">
        <v>21</v>
      </c>
      <c r="I2367" s="10" t="s">
        <v>272</v>
      </c>
      <c r="J2367" s="10" t="str">
        <f>""</f>
        <v/>
      </c>
      <c r="K2367" s="10" t="str">
        <f>"PFES1162631530_0001"</f>
        <v>PFES1162631530_0001</v>
      </c>
      <c r="L2367" s="10">
        <v>1</v>
      </c>
      <c r="M2367" s="10">
        <v>1</v>
      </c>
    </row>
    <row r="2368" spans="1:13">
      <c r="A2368" s="8">
        <v>43277</v>
      </c>
      <c r="B2368" s="9">
        <v>0.51666666666666672</v>
      </c>
      <c r="C2368" s="10" t="str">
        <f>"FES1162631542"</f>
        <v>FES1162631542</v>
      </c>
      <c r="D2368" s="10" t="s">
        <v>19</v>
      </c>
      <c r="E2368" s="10" t="s">
        <v>1001</v>
      </c>
      <c r="F2368" s="10" t="str">
        <f>"2170638422 "</f>
        <v xml:space="preserve">2170638422 </v>
      </c>
      <c r="G2368" s="10" t="str">
        <f t="shared" ref="G2368:G2405" si="65">"ON1"</f>
        <v>ON1</v>
      </c>
      <c r="H2368" s="10" t="s">
        <v>21</v>
      </c>
      <c r="I2368" s="10" t="s">
        <v>808</v>
      </c>
      <c r="J2368" s="10" t="str">
        <f>""</f>
        <v/>
      </c>
      <c r="K2368" s="10" t="str">
        <f>"PFES1162631542_0001"</f>
        <v>PFES1162631542_0001</v>
      </c>
      <c r="L2368" s="10">
        <v>1</v>
      </c>
      <c r="M2368" s="10">
        <v>1</v>
      </c>
    </row>
    <row r="2369" spans="1:13">
      <c r="A2369" s="8">
        <v>43277</v>
      </c>
      <c r="B2369" s="9">
        <v>0.51666666666666672</v>
      </c>
      <c r="C2369" s="10" t="str">
        <f>"FES1162631516"</f>
        <v>FES1162631516</v>
      </c>
      <c r="D2369" s="10" t="s">
        <v>19</v>
      </c>
      <c r="E2369" s="10" t="s">
        <v>67</v>
      </c>
      <c r="F2369" s="10" t="str">
        <f>"2170637221 "</f>
        <v xml:space="preserve">2170637221 </v>
      </c>
      <c r="G2369" s="10" t="str">
        <f t="shared" si="65"/>
        <v>ON1</v>
      </c>
      <c r="H2369" s="10" t="s">
        <v>21</v>
      </c>
      <c r="I2369" s="10" t="s">
        <v>32</v>
      </c>
      <c r="J2369" s="10" t="str">
        <f>""</f>
        <v/>
      </c>
      <c r="K2369" s="10" t="str">
        <f>"PFES1162631516_0001"</f>
        <v>PFES1162631516_0001</v>
      </c>
      <c r="L2369" s="10">
        <v>1</v>
      </c>
      <c r="M2369" s="10">
        <v>1</v>
      </c>
    </row>
    <row r="2370" spans="1:13">
      <c r="A2370" s="8">
        <v>43277</v>
      </c>
      <c r="B2370" s="9">
        <v>0.51597222222222217</v>
      </c>
      <c r="C2370" s="10" t="str">
        <f>"FES1162631552"</f>
        <v>FES1162631552</v>
      </c>
      <c r="D2370" s="10" t="s">
        <v>19</v>
      </c>
      <c r="E2370" s="10" t="s">
        <v>1002</v>
      </c>
      <c r="F2370" s="10" t="str">
        <f>"2170638439 "</f>
        <v xml:space="preserve">2170638439 </v>
      </c>
      <c r="G2370" s="10" t="str">
        <f t="shared" si="65"/>
        <v>ON1</v>
      </c>
      <c r="H2370" s="10" t="s">
        <v>21</v>
      </c>
      <c r="I2370" s="10" t="s">
        <v>32</v>
      </c>
      <c r="J2370" s="10" t="str">
        <f>""</f>
        <v/>
      </c>
      <c r="K2370" s="10" t="str">
        <f>"PFES1162631552_0001"</f>
        <v>PFES1162631552_0001</v>
      </c>
      <c r="L2370" s="10">
        <v>1</v>
      </c>
      <c r="M2370" s="10">
        <v>1</v>
      </c>
    </row>
    <row r="2371" spans="1:13">
      <c r="A2371" s="8">
        <v>43277</v>
      </c>
      <c r="B2371" s="9">
        <v>0.51597222222222217</v>
      </c>
      <c r="C2371" s="10" t="str">
        <f>"FES1162631771"</f>
        <v>FES1162631771</v>
      </c>
      <c r="D2371" s="10" t="s">
        <v>19</v>
      </c>
      <c r="E2371" s="10" t="s">
        <v>322</v>
      </c>
      <c r="F2371" s="10" t="str">
        <f>"2170636131 "</f>
        <v xml:space="preserve">2170636131 </v>
      </c>
      <c r="G2371" s="10" t="str">
        <f t="shared" si="65"/>
        <v>ON1</v>
      </c>
      <c r="H2371" s="10" t="s">
        <v>21</v>
      </c>
      <c r="I2371" s="10" t="s">
        <v>34</v>
      </c>
      <c r="J2371" s="10" t="str">
        <f>""</f>
        <v/>
      </c>
      <c r="K2371" s="10" t="str">
        <f>"PFES1162631771_0001"</f>
        <v>PFES1162631771_0001</v>
      </c>
      <c r="L2371" s="10">
        <v>1</v>
      </c>
      <c r="M2371" s="10">
        <v>1</v>
      </c>
    </row>
    <row r="2372" spans="1:13">
      <c r="A2372" s="8">
        <v>43277</v>
      </c>
      <c r="B2372" s="9">
        <v>0.51527777777777783</v>
      </c>
      <c r="C2372" s="10" t="str">
        <f>"FES1162631544"</f>
        <v>FES1162631544</v>
      </c>
      <c r="D2372" s="10" t="s">
        <v>19</v>
      </c>
      <c r="E2372" s="10" t="s">
        <v>1003</v>
      </c>
      <c r="F2372" s="10" t="str">
        <f>"2170638428 "</f>
        <v xml:space="preserve">2170638428 </v>
      </c>
      <c r="G2372" s="10" t="str">
        <f t="shared" si="65"/>
        <v>ON1</v>
      </c>
      <c r="H2372" s="10" t="s">
        <v>21</v>
      </c>
      <c r="I2372" s="10" t="s">
        <v>737</v>
      </c>
      <c r="J2372" s="10" t="str">
        <f>""</f>
        <v/>
      </c>
      <c r="K2372" s="10" t="str">
        <f>"PFES1162631544_0001"</f>
        <v>PFES1162631544_0001</v>
      </c>
      <c r="L2372" s="10">
        <v>1</v>
      </c>
      <c r="M2372" s="10">
        <v>1</v>
      </c>
    </row>
    <row r="2373" spans="1:13">
      <c r="A2373" s="8">
        <v>43277</v>
      </c>
      <c r="B2373" s="9">
        <v>0.51527777777777783</v>
      </c>
      <c r="C2373" s="10" t="str">
        <f>"FES1162631605"</f>
        <v>FES1162631605</v>
      </c>
      <c r="D2373" s="10" t="s">
        <v>19</v>
      </c>
      <c r="E2373" s="10" t="s">
        <v>1004</v>
      </c>
      <c r="F2373" s="10" t="str">
        <f>"2170638492 "</f>
        <v xml:space="preserve">2170638492 </v>
      </c>
      <c r="G2373" s="10" t="str">
        <f t="shared" si="65"/>
        <v>ON1</v>
      </c>
      <c r="H2373" s="10" t="s">
        <v>21</v>
      </c>
      <c r="I2373" s="10" t="s">
        <v>1005</v>
      </c>
      <c r="J2373" s="10" t="str">
        <f>""</f>
        <v/>
      </c>
      <c r="K2373" s="10" t="str">
        <f>"PFES1162631605_0001"</f>
        <v>PFES1162631605_0001</v>
      </c>
      <c r="L2373" s="10">
        <v>1</v>
      </c>
      <c r="M2373" s="10">
        <v>1</v>
      </c>
    </row>
    <row r="2374" spans="1:13">
      <c r="A2374" s="8">
        <v>43277</v>
      </c>
      <c r="B2374" s="9">
        <v>0.50902777777777775</v>
      </c>
      <c r="C2374" s="10" t="str">
        <f>"FES1162631520"</f>
        <v>FES1162631520</v>
      </c>
      <c r="D2374" s="10" t="s">
        <v>19</v>
      </c>
      <c r="E2374" s="10" t="s">
        <v>263</v>
      </c>
      <c r="F2374" s="10" t="str">
        <f>"2170637753 "</f>
        <v xml:space="preserve">2170637753 </v>
      </c>
      <c r="G2374" s="10" t="str">
        <f t="shared" si="65"/>
        <v>ON1</v>
      </c>
      <c r="H2374" s="10" t="s">
        <v>21</v>
      </c>
      <c r="I2374" s="10" t="s">
        <v>230</v>
      </c>
      <c r="J2374" s="10" t="str">
        <f>""</f>
        <v/>
      </c>
      <c r="K2374" s="10" t="str">
        <f>"PFES1162631520_0001"</f>
        <v>PFES1162631520_0001</v>
      </c>
      <c r="L2374" s="10">
        <v>1</v>
      </c>
      <c r="M2374" s="10">
        <v>1</v>
      </c>
    </row>
    <row r="2375" spans="1:13">
      <c r="A2375" s="8">
        <v>43277</v>
      </c>
      <c r="B2375" s="9">
        <v>0.5083333333333333</v>
      </c>
      <c r="C2375" s="10" t="str">
        <f>"FES1162631580"</f>
        <v>FES1162631580</v>
      </c>
      <c r="D2375" s="10" t="s">
        <v>19</v>
      </c>
      <c r="E2375" s="10" t="s">
        <v>621</v>
      </c>
      <c r="F2375" s="10" t="str">
        <f>"217063848 "</f>
        <v xml:space="preserve">217063848 </v>
      </c>
      <c r="G2375" s="10" t="str">
        <f t="shared" si="65"/>
        <v>ON1</v>
      </c>
      <c r="H2375" s="10" t="s">
        <v>21</v>
      </c>
      <c r="I2375" s="10" t="s">
        <v>622</v>
      </c>
      <c r="J2375" s="10" t="str">
        <f>""</f>
        <v/>
      </c>
      <c r="K2375" s="10" t="str">
        <f>"PFES1162631580_0001"</f>
        <v>PFES1162631580_0001</v>
      </c>
      <c r="L2375" s="10">
        <v>1</v>
      </c>
      <c r="M2375" s="10">
        <v>1</v>
      </c>
    </row>
    <row r="2376" spans="1:13">
      <c r="A2376" s="8">
        <v>43277</v>
      </c>
      <c r="B2376" s="9">
        <v>0.5083333333333333</v>
      </c>
      <c r="C2376" s="10" t="str">
        <f>"FES1162631521"</f>
        <v>FES1162631521</v>
      </c>
      <c r="D2376" s="10" t="s">
        <v>19</v>
      </c>
      <c r="E2376" s="10" t="s">
        <v>263</v>
      </c>
      <c r="F2376" s="10" t="str">
        <f>"2170637757 "</f>
        <v xml:space="preserve">2170637757 </v>
      </c>
      <c r="G2376" s="10" t="str">
        <f t="shared" si="65"/>
        <v>ON1</v>
      </c>
      <c r="H2376" s="10" t="s">
        <v>21</v>
      </c>
      <c r="I2376" s="10" t="s">
        <v>230</v>
      </c>
      <c r="J2376" s="10" t="str">
        <f>""</f>
        <v/>
      </c>
      <c r="K2376" s="10" t="str">
        <f>"PFES1162631521_0001"</f>
        <v>PFES1162631521_0001</v>
      </c>
      <c r="L2376" s="10">
        <v>1</v>
      </c>
      <c r="M2376" s="10">
        <v>1</v>
      </c>
    </row>
    <row r="2377" spans="1:13">
      <c r="A2377" s="8">
        <v>43277</v>
      </c>
      <c r="B2377" s="9">
        <v>0.5083333333333333</v>
      </c>
      <c r="C2377" s="10" t="str">
        <f>"FES1162631545"</f>
        <v>FES1162631545</v>
      </c>
      <c r="D2377" s="10" t="s">
        <v>19</v>
      </c>
      <c r="E2377" s="10" t="s">
        <v>621</v>
      </c>
      <c r="F2377" s="10" t="str">
        <f>"2170638429 "</f>
        <v xml:space="preserve">2170638429 </v>
      </c>
      <c r="G2377" s="10" t="str">
        <f t="shared" si="65"/>
        <v>ON1</v>
      </c>
      <c r="H2377" s="10" t="s">
        <v>21</v>
      </c>
      <c r="I2377" s="10" t="s">
        <v>622</v>
      </c>
      <c r="J2377" s="10" t="str">
        <f>""</f>
        <v/>
      </c>
      <c r="K2377" s="10" t="str">
        <f>"PFES1162631545_0001"</f>
        <v>PFES1162631545_0001</v>
      </c>
      <c r="L2377" s="10">
        <v>1</v>
      </c>
      <c r="M2377" s="10">
        <v>1</v>
      </c>
    </row>
    <row r="2378" spans="1:13">
      <c r="A2378" s="8">
        <v>43277</v>
      </c>
      <c r="B2378" s="9">
        <v>0.4993055555555555</v>
      </c>
      <c r="C2378" s="10" t="str">
        <f>"FES1162631698"</f>
        <v>FES1162631698</v>
      </c>
      <c r="D2378" s="10" t="s">
        <v>19</v>
      </c>
      <c r="E2378" s="10" t="s">
        <v>468</v>
      </c>
      <c r="F2378" s="10" t="str">
        <f>"2170638531 "</f>
        <v xml:space="preserve">2170638531 </v>
      </c>
      <c r="G2378" s="10" t="str">
        <f t="shared" si="65"/>
        <v>ON1</v>
      </c>
      <c r="H2378" s="10" t="s">
        <v>21</v>
      </c>
      <c r="I2378" s="10" t="s">
        <v>469</v>
      </c>
      <c r="J2378" s="10" t="str">
        <f>""</f>
        <v/>
      </c>
      <c r="K2378" s="10" t="str">
        <f>"PFES1162631698_0001"</f>
        <v>PFES1162631698_0001</v>
      </c>
      <c r="L2378" s="10">
        <v>1</v>
      </c>
      <c r="M2378" s="10">
        <v>3</v>
      </c>
    </row>
    <row r="2379" spans="1:13">
      <c r="A2379" s="8">
        <v>43278</v>
      </c>
      <c r="B2379" s="9">
        <v>0.69166666666666676</v>
      </c>
      <c r="C2379" s="10" t="str">
        <f>"FES1162632093"</f>
        <v>FES1162632093</v>
      </c>
      <c r="D2379" s="10" t="s">
        <v>19</v>
      </c>
      <c r="E2379" s="10" t="s">
        <v>234</v>
      </c>
      <c r="F2379" s="10" t="str">
        <f>"2170638339 "</f>
        <v xml:space="preserve">2170638339 </v>
      </c>
      <c r="G2379" s="10" t="str">
        <f t="shared" si="65"/>
        <v>ON1</v>
      </c>
      <c r="H2379" s="10" t="s">
        <v>21</v>
      </c>
      <c r="I2379" s="10" t="s">
        <v>104</v>
      </c>
      <c r="J2379" s="10" t="str">
        <f>""</f>
        <v/>
      </c>
      <c r="K2379" s="10" t="str">
        <f>"PFES1162632093_0001"</f>
        <v>PFES1162632093_0001</v>
      </c>
      <c r="L2379" s="10">
        <v>1</v>
      </c>
      <c r="M2379" s="10">
        <v>2</v>
      </c>
    </row>
    <row r="2380" spans="1:13">
      <c r="A2380" s="8">
        <v>43278</v>
      </c>
      <c r="B2380" s="9">
        <v>0.69027777777777777</v>
      </c>
      <c r="C2380" s="10" t="str">
        <f>"FES1162632080"</f>
        <v>FES1162632080</v>
      </c>
      <c r="D2380" s="10" t="s">
        <v>19</v>
      </c>
      <c r="E2380" s="10" t="s">
        <v>490</v>
      </c>
      <c r="F2380" s="10" t="str">
        <f>"2170638920 "</f>
        <v xml:space="preserve">2170638920 </v>
      </c>
      <c r="G2380" s="10" t="str">
        <f t="shared" si="65"/>
        <v>ON1</v>
      </c>
      <c r="H2380" s="10" t="s">
        <v>21</v>
      </c>
      <c r="I2380" s="10" t="s">
        <v>393</v>
      </c>
      <c r="J2380" s="10" t="str">
        <f>""</f>
        <v/>
      </c>
      <c r="K2380" s="10" t="str">
        <f>"PFES1162632080_0001"</f>
        <v>PFES1162632080_0001</v>
      </c>
      <c r="L2380" s="10">
        <v>1</v>
      </c>
      <c r="M2380" s="10">
        <v>1</v>
      </c>
    </row>
    <row r="2381" spans="1:13">
      <c r="A2381" s="8">
        <v>43278</v>
      </c>
      <c r="B2381" s="9">
        <v>0.68958333333333333</v>
      </c>
      <c r="C2381" s="10" t="str">
        <f>"FES1162632096"</f>
        <v>FES1162632096</v>
      </c>
      <c r="D2381" s="10" t="s">
        <v>19</v>
      </c>
      <c r="E2381" s="10" t="s">
        <v>72</v>
      </c>
      <c r="F2381" s="10" t="str">
        <f>"2170638600 "</f>
        <v xml:space="preserve">2170638600 </v>
      </c>
      <c r="G2381" s="10" t="str">
        <f t="shared" si="65"/>
        <v>ON1</v>
      </c>
      <c r="H2381" s="10" t="s">
        <v>21</v>
      </c>
      <c r="I2381" s="10" t="s">
        <v>73</v>
      </c>
      <c r="J2381" s="10" t="str">
        <f>""</f>
        <v/>
      </c>
      <c r="K2381" s="10" t="str">
        <f>"PFES1162632096_0001"</f>
        <v>PFES1162632096_0001</v>
      </c>
      <c r="L2381" s="10">
        <v>1</v>
      </c>
      <c r="M2381" s="10">
        <v>8</v>
      </c>
    </row>
    <row r="2382" spans="1:13">
      <c r="A2382" s="8">
        <v>43278</v>
      </c>
      <c r="B2382" s="9">
        <v>0.68819444444444444</v>
      </c>
      <c r="C2382" s="10" t="str">
        <f>"FES1162632079"</f>
        <v>FES1162632079</v>
      </c>
      <c r="D2382" s="10" t="s">
        <v>19</v>
      </c>
      <c r="E2382" s="10" t="s">
        <v>1006</v>
      </c>
      <c r="F2382" s="10" t="str">
        <f>"2170638916 "</f>
        <v xml:space="preserve">2170638916 </v>
      </c>
      <c r="G2382" s="10" t="str">
        <f t="shared" si="65"/>
        <v>ON1</v>
      </c>
      <c r="H2382" s="10" t="s">
        <v>21</v>
      </c>
      <c r="I2382" s="10" t="s">
        <v>393</v>
      </c>
      <c r="J2382" s="10" t="str">
        <f>""</f>
        <v/>
      </c>
      <c r="K2382" s="10" t="str">
        <f>"PFES1162632079_0001"</f>
        <v>PFES1162632079_0001</v>
      </c>
      <c r="L2382" s="10">
        <v>1</v>
      </c>
      <c r="M2382" s="10">
        <v>1</v>
      </c>
    </row>
    <row r="2383" spans="1:13">
      <c r="A2383" s="8">
        <v>43278</v>
      </c>
      <c r="B2383" s="9">
        <v>0.68819444444444444</v>
      </c>
      <c r="C2383" s="10" t="str">
        <f>"FES1162632087"</f>
        <v>FES1162632087</v>
      </c>
      <c r="D2383" s="10" t="s">
        <v>19</v>
      </c>
      <c r="E2383" s="10" t="s">
        <v>92</v>
      </c>
      <c r="F2383" s="10" t="str">
        <f>"2170638928 "</f>
        <v xml:space="preserve">2170638928 </v>
      </c>
      <c r="G2383" s="10" t="str">
        <f t="shared" si="65"/>
        <v>ON1</v>
      </c>
      <c r="H2383" s="10" t="s">
        <v>21</v>
      </c>
      <c r="I2383" s="10" t="s">
        <v>93</v>
      </c>
      <c r="J2383" s="10" t="str">
        <f>""</f>
        <v/>
      </c>
      <c r="K2383" s="10" t="str">
        <f>"PFES1162632087_0001"</f>
        <v>PFES1162632087_0001</v>
      </c>
      <c r="L2383" s="10">
        <v>1</v>
      </c>
      <c r="M2383" s="10">
        <v>3</v>
      </c>
    </row>
    <row r="2384" spans="1:13">
      <c r="A2384" s="8">
        <v>43278</v>
      </c>
      <c r="B2384" s="9">
        <v>0.6875</v>
      </c>
      <c r="C2384" s="10" t="str">
        <f>"FES1162632070"</f>
        <v>FES1162632070</v>
      </c>
      <c r="D2384" s="10" t="s">
        <v>19</v>
      </c>
      <c r="E2384" s="10" t="s">
        <v>72</v>
      </c>
      <c r="F2384" s="10" t="str">
        <f>"2170638162 "</f>
        <v xml:space="preserve">2170638162 </v>
      </c>
      <c r="G2384" s="10" t="str">
        <f t="shared" si="65"/>
        <v>ON1</v>
      </c>
      <c r="H2384" s="10" t="s">
        <v>21</v>
      </c>
      <c r="I2384" s="10" t="s">
        <v>73</v>
      </c>
      <c r="J2384" s="10" t="str">
        <f>""</f>
        <v/>
      </c>
      <c r="K2384" s="10" t="str">
        <f>"PFES1162632070_0001"</f>
        <v>PFES1162632070_0001</v>
      </c>
      <c r="L2384" s="10">
        <v>1</v>
      </c>
      <c r="M2384" s="10">
        <v>8</v>
      </c>
    </row>
    <row r="2385" spans="1:13">
      <c r="A2385" s="8">
        <v>43278</v>
      </c>
      <c r="B2385" s="9">
        <v>0.68333333333333324</v>
      </c>
      <c r="C2385" s="10" t="str">
        <f>"FES1162632073"</f>
        <v>FES1162632073</v>
      </c>
      <c r="D2385" s="10" t="s">
        <v>19</v>
      </c>
      <c r="E2385" s="10" t="s">
        <v>117</v>
      </c>
      <c r="F2385" s="10" t="str">
        <f>"2170638494 "</f>
        <v xml:space="preserve">2170638494 </v>
      </c>
      <c r="G2385" s="10" t="str">
        <f t="shared" si="65"/>
        <v>ON1</v>
      </c>
      <c r="H2385" s="10" t="s">
        <v>21</v>
      </c>
      <c r="I2385" s="10" t="s">
        <v>118</v>
      </c>
      <c r="J2385" s="10" t="str">
        <f>""</f>
        <v/>
      </c>
      <c r="K2385" s="10" t="str">
        <f>"PFES1162632073_0001"</f>
        <v>PFES1162632073_0001</v>
      </c>
      <c r="L2385" s="10">
        <v>1</v>
      </c>
      <c r="M2385" s="10">
        <v>2</v>
      </c>
    </row>
    <row r="2386" spans="1:13">
      <c r="A2386" s="8">
        <v>43278</v>
      </c>
      <c r="B2386" s="9">
        <v>0.68333333333333324</v>
      </c>
      <c r="C2386" s="10" t="str">
        <f>"FES1162632074"</f>
        <v>FES1162632074</v>
      </c>
      <c r="D2386" s="10" t="s">
        <v>19</v>
      </c>
      <c r="E2386" s="10" t="s">
        <v>190</v>
      </c>
      <c r="F2386" s="10" t="str">
        <f>"21706358583 "</f>
        <v xml:space="preserve">21706358583 </v>
      </c>
      <c r="G2386" s="10" t="str">
        <f t="shared" si="65"/>
        <v>ON1</v>
      </c>
      <c r="H2386" s="10" t="s">
        <v>21</v>
      </c>
      <c r="I2386" s="10" t="s">
        <v>71</v>
      </c>
      <c r="J2386" s="10" t="str">
        <f>""</f>
        <v/>
      </c>
      <c r="K2386" s="10" t="str">
        <f>"PFES1162632074_0001"</f>
        <v>PFES1162632074_0001</v>
      </c>
      <c r="L2386" s="10">
        <v>1</v>
      </c>
      <c r="M2386" s="10">
        <v>1</v>
      </c>
    </row>
    <row r="2387" spans="1:13">
      <c r="A2387" s="8">
        <v>43278</v>
      </c>
      <c r="B2387" s="9">
        <v>0.68263888888888891</v>
      </c>
      <c r="C2387" s="10" t="str">
        <f>"FES1162632068"</f>
        <v>FES1162632068</v>
      </c>
      <c r="D2387" s="10" t="s">
        <v>19</v>
      </c>
      <c r="E2387" s="10" t="s">
        <v>56</v>
      </c>
      <c r="F2387" s="10" t="str">
        <f>"2170637190 "</f>
        <v xml:space="preserve">2170637190 </v>
      </c>
      <c r="G2387" s="10" t="str">
        <f t="shared" si="65"/>
        <v>ON1</v>
      </c>
      <c r="H2387" s="10" t="s">
        <v>21</v>
      </c>
      <c r="I2387" s="10" t="s">
        <v>57</v>
      </c>
      <c r="J2387" s="10" t="str">
        <f>""</f>
        <v/>
      </c>
      <c r="K2387" s="10" t="str">
        <f>"PFES1162632068_0001"</f>
        <v>PFES1162632068_0001</v>
      </c>
      <c r="L2387" s="10">
        <v>1</v>
      </c>
      <c r="M2387" s="10">
        <v>1</v>
      </c>
    </row>
    <row r="2388" spans="1:13">
      <c r="A2388" s="8">
        <v>43278</v>
      </c>
      <c r="B2388" s="9">
        <v>0.68263888888888891</v>
      </c>
      <c r="C2388" s="10" t="str">
        <f>"FES1162632081"</f>
        <v>FES1162632081</v>
      </c>
      <c r="D2388" s="10" t="s">
        <v>19</v>
      </c>
      <c r="E2388" s="10" t="s">
        <v>242</v>
      </c>
      <c r="F2388" s="10" t="str">
        <f>"2170638296 "</f>
        <v xml:space="preserve">2170638296 </v>
      </c>
      <c r="G2388" s="10" t="str">
        <f t="shared" si="65"/>
        <v>ON1</v>
      </c>
      <c r="H2388" s="10" t="s">
        <v>21</v>
      </c>
      <c r="I2388" s="10" t="s">
        <v>55</v>
      </c>
      <c r="J2388" s="10" t="str">
        <f>""</f>
        <v/>
      </c>
      <c r="K2388" s="10" t="str">
        <f>"PFES1162632081_0001"</f>
        <v>PFES1162632081_0001</v>
      </c>
      <c r="L2388" s="10">
        <v>1</v>
      </c>
      <c r="M2388" s="10">
        <v>1</v>
      </c>
    </row>
    <row r="2389" spans="1:13">
      <c r="A2389" s="8">
        <v>43278</v>
      </c>
      <c r="B2389" s="9">
        <v>0.68194444444444446</v>
      </c>
      <c r="C2389" s="10" t="str">
        <f>"FES1162632066"</f>
        <v>FES1162632066</v>
      </c>
      <c r="D2389" s="10" t="s">
        <v>19</v>
      </c>
      <c r="E2389" s="10" t="s">
        <v>60</v>
      </c>
      <c r="F2389" s="10" t="str">
        <f>"2170638917 "</f>
        <v xml:space="preserve">2170638917 </v>
      </c>
      <c r="G2389" s="10" t="str">
        <f t="shared" si="65"/>
        <v>ON1</v>
      </c>
      <c r="H2389" s="10" t="s">
        <v>21</v>
      </c>
      <c r="I2389" s="10" t="s">
        <v>61</v>
      </c>
      <c r="J2389" s="10" t="str">
        <f>""</f>
        <v/>
      </c>
      <c r="K2389" s="10" t="str">
        <f>"PFES1162632066_0001"</f>
        <v>PFES1162632066_0001</v>
      </c>
      <c r="L2389" s="10">
        <v>1</v>
      </c>
      <c r="M2389" s="10">
        <v>1</v>
      </c>
    </row>
    <row r="2390" spans="1:13">
      <c r="A2390" s="8">
        <v>43278</v>
      </c>
      <c r="B2390" s="9">
        <v>0.68194444444444446</v>
      </c>
      <c r="C2390" s="10" t="str">
        <f>"FES1162632086"</f>
        <v>FES1162632086</v>
      </c>
      <c r="D2390" s="10" t="s">
        <v>19</v>
      </c>
      <c r="E2390" s="10" t="s">
        <v>64</v>
      </c>
      <c r="F2390" s="10" t="str">
        <f>"2170638927 "</f>
        <v xml:space="preserve">2170638927 </v>
      </c>
      <c r="G2390" s="10" t="str">
        <f t="shared" si="65"/>
        <v>ON1</v>
      </c>
      <c r="H2390" s="10" t="s">
        <v>21</v>
      </c>
      <c r="I2390" s="10" t="s">
        <v>40</v>
      </c>
      <c r="J2390" s="10" t="str">
        <f>""</f>
        <v/>
      </c>
      <c r="K2390" s="10" t="str">
        <f>"PFES1162632086_0001"</f>
        <v>PFES1162632086_0001</v>
      </c>
      <c r="L2390" s="10">
        <v>1</v>
      </c>
      <c r="M2390" s="10">
        <v>1</v>
      </c>
    </row>
    <row r="2391" spans="1:13">
      <c r="A2391" s="8">
        <v>43278</v>
      </c>
      <c r="B2391" s="9">
        <v>0.68194444444444446</v>
      </c>
      <c r="C2391" s="10" t="str">
        <f>"FES1162632076"</f>
        <v>FES1162632076</v>
      </c>
      <c r="D2391" s="10" t="s">
        <v>19</v>
      </c>
      <c r="E2391" s="10" t="s">
        <v>23</v>
      </c>
      <c r="F2391" s="10" t="str">
        <f>"2170638911 "</f>
        <v xml:space="preserve">2170638911 </v>
      </c>
      <c r="G2391" s="10" t="str">
        <f t="shared" si="65"/>
        <v>ON1</v>
      </c>
      <c r="H2391" s="10" t="s">
        <v>21</v>
      </c>
      <c r="I2391" s="10" t="s">
        <v>24</v>
      </c>
      <c r="J2391" s="10" t="str">
        <f>""</f>
        <v/>
      </c>
      <c r="K2391" s="10" t="str">
        <f>"PFES1162632076_0001"</f>
        <v>PFES1162632076_0001</v>
      </c>
      <c r="L2391" s="10">
        <v>1</v>
      </c>
      <c r="M2391" s="10">
        <v>1</v>
      </c>
    </row>
    <row r="2392" spans="1:13">
      <c r="A2392" s="8">
        <v>43278</v>
      </c>
      <c r="B2392" s="9">
        <v>0.68125000000000002</v>
      </c>
      <c r="C2392" s="10" t="str">
        <f>"FES1162632075"</f>
        <v>FES1162632075</v>
      </c>
      <c r="D2392" s="10" t="s">
        <v>19</v>
      </c>
      <c r="E2392" s="10" t="s">
        <v>278</v>
      </c>
      <c r="F2392" s="10" t="str">
        <f>"2170638909 "</f>
        <v xml:space="preserve">2170638909 </v>
      </c>
      <c r="G2392" s="10" t="str">
        <f t="shared" si="65"/>
        <v>ON1</v>
      </c>
      <c r="H2392" s="10" t="s">
        <v>21</v>
      </c>
      <c r="I2392" s="10" t="s">
        <v>279</v>
      </c>
      <c r="J2392" s="10" t="str">
        <f>""</f>
        <v/>
      </c>
      <c r="K2392" s="10" t="str">
        <f>"PFES1162632075_0001"</f>
        <v>PFES1162632075_0001</v>
      </c>
      <c r="L2392" s="10">
        <v>1</v>
      </c>
      <c r="M2392" s="10">
        <v>1</v>
      </c>
    </row>
    <row r="2393" spans="1:13">
      <c r="A2393" s="8">
        <v>43278</v>
      </c>
      <c r="B2393" s="9">
        <v>0.68125000000000002</v>
      </c>
      <c r="C2393" s="10" t="str">
        <f>"FES1162632090"</f>
        <v>FES1162632090</v>
      </c>
      <c r="D2393" s="10" t="s">
        <v>19</v>
      </c>
      <c r="E2393" s="10" t="s">
        <v>50</v>
      </c>
      <c r="F2393" s="10" t="str">
        <f>"2170638931 "</f>
        <v xml:space="preserve">2170638931 </v>
      </c>
      <c r="G2393" s="10" t="str">
        <f t="shared" si="65"/>
        <v>ON1</v>
      </c>
      <c r="H2393" s="10" t="s">
        <v>21</v>
      </c>
      <c r="I2393" s="10" t="s">
        <v>51</v>
      </c>
      <c r="J2393" s="10" t="str">
        <f>""</f>
        <v/>
      </c>
      <c r="K2393" s="10" t="str">
        <f>"PFES1162632090_0001"</f>
        <v>PFES1162632090_0001</v>
      </c>
      <c r="L2393" s="10">
        <v>1</v>
      </c>
      <c r="M2393" s="10">
        <v>1</v>
      </c>
    </row>
    <row r="2394" spans="1:13">
      <c r="A2394" s="8">
        <v>43278</v>
      </c>
      <c r="B2394" s="9">
        <v>0.68125000000000002</v>
      </c>
      <c r="C2394" s="10" t="str">
        <f>"FES1162632072"</f>
        <v>FES1162632072</v>
      </c>
      <c r="D2394" s="10" t="s">
        <v>19</v>
      </c>
      <c r="E2394" s="10" t="s">
        <v>152</v>
      </c>
      <c r="F2394" s="10" t="str">
        <f>"2170638284 "</f>
        <v xml:space="preserve">2170638284 </v>
      </c>
      <c r="G2394" s="10" t="str">
        <f t="shared" si="65"/>
        <v>ON1</v>
      </c>
      <c r="H2394" s="10" t="s">
        <v>21</v>
      </c>
      <c r="I2394" s="10" t="s">
        <v>106</v>
      </c>
      <c r="J2394" s="10" t="str">
        <f>""</f>
        <v/>
      </c>
      <c r="K2394" s="10" t="str">
        <f>"PFES1162632072_0001"</f>
        <v>PFES1162632072_0001</v>
      </c>
      <c r="L2394" s="10">
        <v>1</v>
      </c>
      <c r="M2394" s="10">
        <v>4</v>
      </c>
    </row>
    <row r="2395" spans="1:13">
      <c r="A2395" s="8">
        <v>43278</v>
      </c>
      <c r="B2395" s="9">
        <v>0.68055555555555547</v>
      </c>
      <c r="C2395" s="10" t="str">
        <f>"FES1162632078"</f>
        <v>FES1162632078</v>
      </c>
      <c r="D2395" s="10" t="s">
        <v>19</v>
      </c>
      <c r="E2395" s="10" t="s">
        <v>1006</v>
      </c>
      <c r="F2395" s="10" t="str">
        <f>"2170638914 "</f>
        <v xml:space="preserve">2170638914 </v>
      </c>
      <c r="G2395" s="10" t="str">
        <f t="shared" si="65"/>
        <v>ON1</v>
      </c>
      <c r="H2395" s="10" t="s">
        <v>21</v>
      </c>
      <c r="I2395" s="10" t="s">
        <v>393</v>
      </c>
      <c r="J2395" s="10" t="str">
        <f>""</f>
        <v/>
      </c>
      <c r="K2395" s="10" t="str">
        <f>"PFES1162632078_0001"</f>
        <v>PFES1162632078_0001</v>
      </c>
      <c r="L2395" s="10">
        <v>1</v>
      </c>
      <c r="M2395" s="10">
        <v>1</v>
      </c>
    </row>
    <row r="2396" spans="1:13">
      <c r="A2396" s="8">
        <v>43278</v>
      </c>
      <c r="B2396" s="9">
        <v>0.67986111111111114</v>
      </c>
      <c r="C2396" s="10" t="str">
        <f>"FES1162632085"</f>
        <v>FES1162632085</v>
      </c>
      <c r="D2396" s="10" t="s">
        <v>19</v>
      </c>
      <c r="E2396" s="10" t="s">
        <v>92</v>
      </c>
      <c r="F2396" s="10" t="str">
        <f>"2170638926 "</f>
        <v xml:space="preserve">2170638926 </v>
      </c>
      <c r="G2396" s="10" t="str">
        <f t="shared" si="65"/>
        <v>ON1</v>
      </c>
      <c r="H2396" s="10" t="s">
        <v>21</v>
      </c>
      <c r="I2396" s="10" t="s">
        <v>93</v>
      </c>
      <c r="J2396" s="10" t="str">
        <f>""</f>
        <v/>
      </c>
      <c r="K2396" s="10" t="str">
        <f>"PFES1162632085_0001"</f>
        <v>PFES1162632085_0001</v>
      </c>
      <c r="L2396" s="10">
        <v>1</v>
      </c>
      <c r="M2396" s="10">
        <v>1</v>
      </c>
    </row>
    <row r="2397" spans="1:13">
      <c r="A2397" s="8">
        <v>43278</v>
      </c>
      <c r="B2397" s="9">
        <v>0.6791666666666667</v>
      </c>
      <c r="C2397" s="10" t="str">
        <f>"FES1162632083"</f>
        <v>FES1162632083</v>
      </c>
      <c r="D2397" s="10" t="s">
        <v>19</v>
      </c>
      <c r="E2397" s="10" t="s">
        <v>1006</v>
      </c>
      <c r="F2397" s="10" t="str">
        <f>"2170638923 "</f>
        <v xml:space="preserve">2170638923 </v>
      </c>
      <c r="G2397" s="10" t="str">
        <f t="shared" si="65"/>
        <v>ON1</v>
      </c>
      <c r="H2397" s="10" t="s">
        <v>21</v>
      </c>
      <c r="I2397" s="10" t="s">
        <v>393</v>
      </c>
      <c r="J2397" s="10" t="str">
        <f>""</f>
        <v/>
      </c>
      <c r="K2397" s="10" t="str">
        <f>"PFES1162632083_0001"</f>
        <v>PFES1162632083_0001</v>
      </c>
      <c r="L2397" s="10">
        <v>1</v>
      </c>
      <c r="M2397" s="10">
        <v>1</v>
      </c>
    </row>
    <row r="2398" spans="1:13">
      <c r="A2398" s="8">
        <v>43278</v>
      </c>
      <c r="B2398" s="9">
        <v>0.6791666666666667</v>
      </c>
      <c r="C2398" s="10" t="str">
        <f>"FES1162632030"</f>
        <v>FES1162632030</v>
      </c>
      <c r="D2398" s="10" t="s">
        <v>19</v>
      </c>
      <c r="E2398" s="10" t="s">
        <v>117</v>
      </c>
      <c r="F2398" s="10" t="str">
        <f>"2170638798 "</f>
        <v xml:space="preserve">2170638798 </v>
      </c>
      <c r="G2398" s="10" t="str">
        <f t="shared" si="65"/>
        <v>ON1</v>
      </c>
      <c r="H2398" s="10" t="s">
        <v>21</v>
      </c>
      <c r="I2398" s="10" t="s">
        <v>118</v>
      </c>
      <c r="J2398" s="10" t="str">
        <f>""</f>
        <v/>
      </c>
      <c r="K2398" s="10" t="str">
        <f>"PFES1162632030_0001"</f>
        <v>PFES1162632030_0001</v>
      </c>
      <c r="L2398" s="10">
        <v>1</v>
      </c>
      <c r="M2398" s="10">
        <v>8</v>
      </c>
    </row>
    <row r="2399" spans="1:13">
      <c r="A2399" s="8">
        <v>43278</v>
      </c>
      <c r="B2399" s="9">
        <v>0.6791666666666667</v>
      </c>
      <c r="C2399" s="10" t="str">
        <f>"FES1162632077"</f>
        <v>FES1162632077</v>
      </c>
      <c r="D2399" s="10" t="s">
        <v>19</v>
      </c>
      <c r="E2399" s="10" t="s">
        <v>416</v>
      </c>
      <c r="F2399" s="10" t="str">
        <f>"2170638913 "</f>
        <v xml:space="preserve">2170638913 </v>
      </c>
      <c r="G2399" s="10" t="str">
        <f t="shared" si="65"/>
        <v>ON1</v>
      </c>
      <c r="H2399" s="10" t="s">
        <v>21</v>
      </c>
      <c r="I2399" s="10" t="s">
        <v>265</v>
      </c>
      <c r="J2399" s="10" t="str">
        <f>""</f>
        <v/>
      </c>
      <c r="K2399" s="10" t="str">
        <f>"PFES1162632077_0001"</f>
        <v>PFES1162632077_0001</v>
      </c>
      <c r="L2399" s="10">
        <v>1</v>
      </c>
      <c r="M2399" s="10">
        <v>1</v>
      </c>
    </row>
    <row r="2400" spans="1:13">
      <c r="A2400" s="8">
        <v>43278</v>
      </c>
      <c r="B2400" s="9">
        <v>0.67847222222222225</v>
      </c>
      <c r="C2400" s="10" t="str">
        <f>"FES1162632088"</f>
        <v>FES1162632088</v>
      </c>
      <c r="D2400" s="10" t="s">
        <v>19</v>
      </c>
      <c r="E2400" s="10" t="s">
        <v>92</v>
      </c>
      <c r="F2400" s="10" t="str">
        <f>"2170638929 "</f>
        <v xml:space="preserve">2170638929 </v>
      </c>
      <c r="G2400" s="10" t="str">
        <f t="shared" si="65"/>
        <v>ON1</v>
      </c>
      <c r="H2400" s="10" t="s">
        <v>21</v>
      </c>
      <c r="I2400" s="10" t="s">
        <v>93</v>
      </c>
      <c r="J2400" s="10" t="str">
        <f>""</f>
        <v/>
      </c>
      <c r="K2400" s="10" t="str">
        <f>"PFES1162632088_0001"</f>
        <v>PFES1162632088_0001</v>
      </c>
      <c r="L2400" s="10">
        <v>1</v>
      </c>
      <c r="M2400" s="10">
        <v>1</v>
      </c>
    </row>
    <row r="2401" spans="1:13">
      <c r="A2401" s="8">
        <v>43278</v>
      </c>
      <c r="B2401" s="9">
        <v>0.67847222222222225</v>
      </c>
      <c r="C2401" s="10" t="str">
        <f>"FES1162632063"</f>
        <v>FES1162632063</v>
      </c>
      <c r="D2401" s="10" t="s">
        <v>19</v>
      </c>
      <c r="E2401" s="10" t="s">
        <v>107</v>
      </c>
      <c r="F2401" s="10" t="str">
        <f>"2170638906 "</f>
        <v xml:space="preserve">2170638906 </v>
      </c>
      <c r="G2401" s="10" t="str">
        <f t="shared" si="65"/>
        <v>ON1</v>
      </c>
      <c r="H2401" s="10" t="s">
        <v>21</v>
      </c>
      <c r="I2401" s="10" t="s">
        <v>108</v>
      </c>
      <c r="J2401" s="10" t="str">
        <f>""</f>
        <v/>
      </c>
      <c r="K2401" s="10" t="str">
        <f>"PFES1162632063_0001"</f>
        <v>PFES1162632063_0001</v>
      </c>
      <c r="L2401" s="10">
        <v>1</v>
      </c>
      <c r="M2401" s="10">
        <v>1</v>
      </c>
    </row>
    <row r="2402" spans="1:13">
      <c r="A2402" s="8">
        <v>43278</v>
      </c>
      <c r="B2402" s="9">
        <v>0.6777777777777777</v>
      </c>
      <c r="C2402" s="10" t="str">
        <f>"FES1162632065"</f>
        <v>FES1162632065</v>
      </c>
      <c r="D2402" s="10" t="s">
        <v>19</v>
      </c>
      <c r="E2402" s="10" t="s">
        <v>278</v>
      </c>
      <c r="F2402" s="10" t="str">
        <f>"2170638912 "</f>
        <v xml:space="preserve">2170638912 </v>
      </c>
      <c r="G2402" s="10" t="str">
        <f t="shared" si="65"/>
        <v>ON1</v>
      </c>
      <c r="H2402" s="10" t="s">
        <v>21</v>
      </c>
      <c r="I2402" s="10" t="s">
        <v>279</v>
      </c>
      <c r="J2402" s="10" t="str">
        <f>""</f>
        <v/>
      </c>
      <c r="K2402" s="10" t="str">
        <f>"PFES1162632065_0001"</f>
        <v>PFES1162632065_0001</v>
      </c>
      <c r="L2402" s="10">
        <v>1</v>
      </c>
      <c r="M2402" s="10">
        <v>1</v>
      </c>
    </row>
    <row r="2403" spans="1:13">
      <c r="A2403" s="8">
        <v>43278</v>
      </c>
      <c r="B2403" s="9">
        <v>0.6777777777777777</v>
      </c>
      <c r="C2403" s="10" t="str">
        <f>"FES1162632069"</f>
        <v>FES1162632069</v>
      </c>
      <c r="D2403" s="10" t="s">
        <v>19</v>
      </c>
      <c r="E2403" s="10" t="s">
        <v>863</v>
      </c>
      <c r="F2403" s="10" t="str">
        <f>"2170637512 "</f>
        <v xml:space="preserve">2170637512 </v>
      </c>
      <c r="G2403" s="10" t="str">
        <f t="shared" si="65"/>
        <v>ON1</v>
      </c>
      <c r="H2403" s="10" t="s">
        <v>21</v>
      </c>
      <c r="I2403" s="10" t="s">
        <v>28</v>
      </c>
      <c r="J2403" s="10" t="str">
        <f>""</f>
        <v/>
      </c>
      <c r="K2403" s="10" t="str">
        <f>"PFES1162632069_0001"</f>
        <v>PFES1162632069_0001</v>
      </c>
      <c r="L2403" s="10">
        <v>1</v>
      </c>
      <c r="M2403" s="10">
        <v>1</v>
      </c>
    </row>
    <row r="2404" spans="1:13">
      <c r="A2404" s="8">
        <v>43278</v>
      </c>
      <c r="B2404" s="9">
        <v>0.67499999999999993</v>
      </c>
      <c r="C2404" s="10" t="str">
        <f>"FES1162632064"</f>
        <v>FES1162632064</v>
      </c>
      <c r="D2404" s="10" t="s">
        <v>19</v>
      </c>
      <c r="E2404" s="10" t="s">
        <v>1007</v>
      </c>
      <c r="F2404" s="10" t="str">
        <f>"2170638907 "</f>
        <v xml:space="preserve">2170638907 </v>
      </c>
      <c r="G2404" s="10" t="str">
        <f t="shared" si="65"/>
        <v>ON1</v>
      </c>
      <c r="H2404" s="10" t="s">
        <v>21</v>
      </c>
      <c r="I2404" s="10" t="s">
        <v>106</v>
      </c>
      <c r="J2404" s="10" t="str">
        <f>""</f>
        <v/>
      </c>
      <c r="K2404" s="10" t="str">
        <f>"PFES1162632064_0001"</f>
        <v>PFES1162632064_0001</v>
      </c>
      <c r="L2404" s="10">
        <v>1</v>
      </c>
      <c r="M2404" s="10">
        <v>5</v>
      </c>
    </row>
    <row r="2405" spans="1:13">
      <c r="A2405" s="8">
        <v>43278</v>
      </c>
      <c r="B2405" s="9">
        <v>0.67361111111111116</v>
      </c>
      <c r="C2405" s="10" t="str">
        <f>"FES1162632055"</f>
        <v>FES1162632055</v>
      </c>
      <c r="D2405" s="10" t="s">
        <v>19</v>
      </c>
      <c r="E2405" s="10" t="s">
        <v>234</v>
      </c>
      <c r="F2405" s="10" t="str">
        <f>"2170638908 "</f>
        <v xml:space="preserve">2170638908 </v>
      </c>
      <c r="G2405" s="10" t="str">
        <f t="shared" si="65"/>
        <v>ON1</v>
      </c>
      <c r="H2405" s="10" t="s">
        <v>21</v>
      </c>
      <c r="I2405" s="10" t="s">
        <v>55</v>
      </c>
      <c r="J2405" s="10" t="str">
        <f>""</f>
        <v/>
      </c>
      <c r="K2405" s="10" t="str">
        <f>"PFES1162632055_0001"</f>
        <v>PFES1162632055_0001</v>
      </c>
      <c r="L2405" s="10">
        <v>1</v>
      </c>
      <c r="M2405" s="10">
        <v>1</v>
      </c>
    </row>
    <row r="2406" spans="1:13">
      <c r="A2406" s="8">
        <v>43278</v>
      </c>
      <c r="B2406" s="9">
        <v>0.67013888888888884</v>
      </c>
      <c r="C2406" s="10" t="str">
        <f>"FES1162632007"</f>
        <v>FES1162632007</v>
      </c>
      <c r="D2406" s="10" t="s">
        <v>19</v>
      </c>
      <c r="E2406" s="10" t="s">
        <v>249</v>
      </c>
      <c r="F2406" s="10" t="str">
        <f>"2170638836 "</f>
        <v xml:space="preserve">2170638836 </v>
      </c>
      <c r="G2406" s="10" t="str">
        <f>"DBC"</f>
        <v>DBC</v>
      </c>
      <c r="H2406" s="10" t="s">
        <v>21</v>
      </c>
      <c r="I2406" s="10" t="s">
        <v>59</v>
      </c>
      <c r="J2406" s="10" t="str">
        <f>""</f>
        <v/>
      </c>
      <c r="K2406" s="10" t="str">
        <f>"PFES1162632007_0001"</f>
        <v>PFES1162632007_0001</v>
      </c>
      <c r="L2406" s="10">
        <v>2</v>
      </c>
      <c r="M2406" s="10">
        <v>28</v>
      </c>
    </row>
    <row r="2407" spans="1:13">
      <c r="A2407" s="8">
        <v>43278</v>
      </c>
      <c r="B2407" s="9">
        <v>0.66666666666666663</v>
      </c>
      <c r="C2407" s="10" t="str">
        <f>"FES1162632062"</f>
        <v>FES1162632062</v>
      </c>
      <c r="D2407" s="10" t="s">
        <v>19</v>
      </c>
      <c r="E2407" s="10" t="s">
        <v>474</v>
      </c>
      <c r="F2407" s="10" t="str">
        <f>"2170638905 "</f>
        <v xml:space="preserve">2170638905 </v>
      </c>
      <c r="G2407" s="10" t="str">
        <f t="shared" ref="G2407:G2447" si="66">"ON1"</f>
        <v>ON1</v>
      </c>
      <c r="H2407" s="10" t="s">
        <v>21</v>
      </c>
      <c r="I2407" s="10" t="s">
        <v>228</v>
      </c>
      <c r="J2407" s="10" t="str">
        <f>""</f>
        <v/>
      </c>
      <c r="K2407" s="10" t="str">
        <f>"PFES1162632062_0001"</f>
        <v>PFES1162632062_0001</v>
      </c>
      <c r="L2407" s="10">
        <v>1</v>
      </c>
      <c r="M2407" s="10">
        <v>1</v>
      </c>
    </row>
    <row r="2408" spans="1:13">
      <c r="A2408" s="8">
        <v>43278</v>
      </c>
      <c r="B2408" s="9">
        <v>0.66666666666666663</v>
      </c>
      <c r="C2408" s="10" t="str">
        <f>"FES1162632059"</f>
        <v>FES1162632059</v>
      </c>
      <c r="D2408" s="10" t="s">
        <v>19</v>
      </c>
      <c r="E2408" s="10" t="s">
        <v>345</v>
      </c>
      <c r="F2408" s="10" t="str">
        <f>"2170638902 "</f>
        <v xml:space="preserve">2170638902 </v>
      </c>
      <c r="G2408" s="10" t="str">
        <f t="shared" si="66"/>
        <v>ON1</v>
      </c>
      <c r="H2408" s="10" t="s">
        <v>21</v>
      </c>
      <c r="I2408" s="10" t="s">
        <v>228</v>
      </c>
      <c r="J2408" s="10" t="str">
        <f>""</f>
        <v/>
      </c>
      <c r="K2408" s="10" t="str">
        <f>"PFES1162632059_0001"</f>
        <v>PFES1162632059_0001</v>
      </c>
      <c r="L2408" s="10">
        <v>1</v>
      </c>
      <c r="M2408" s="10">
        <v>1</v>
      </c>
    </row>
    <row r="2409" spans="1:13">
      <c r="A2409" s="8">
        <v>43278</v>
      </c>
      <c r="B2409" s="9">
        <v>0.66597222222222219</v>
      </c>
      <c r="C2409" s="10" t="str">
        <f>"FES1162632053"</f>
        <v>FES1162632053</v>
      </c>
      <c r="D2409" s="10" t="s">
        <v>19</v>
      </c>
      <c r="E2409" s="10" t="s">
        <v>62</v>
      </c>
      <c r="F2409" s="10" t="str">
        <f>"2170638901 "</f>
        <v xml:space="preserve">2170638901 </v>
      </c>
      <c r="G2409" s="10" t="str">
        <f t="shared" si="66"/>
        <v>ON1</v>
      </c>
      <c r="H2409" s="10" t="s">
        <v>21</v>
      </c>
      <c r="I2409" s="10" t="s">
        <v>63</v>
      </c>
      <c r="J2409" s="10" t="str">
        <f>""</f>
        <v/>
      </c>
      <c r="K2409" s="10" t="str">
        <f>"PFES1162632053_0001"</f>
        <v>PFES1162632053_0001</v>
      </c>
      <c r="L2409" s="10">
        <v>1</v>
      </c>
      <c r="M2409" s="10">
        <v>1</v>
      </c>
    </row>
    <row r="2410" spans="1:13">
      <c r="A2410" s="8">
        <v>43278</v>
      </c>
      <c r="B2410" s="9">
        <v>0.66527777777777775</v>
      </c>
      <c r="C2410" s="10" t="str">
        <f>"FES1162632067"</f>
        <v>FES1162632067</v>
      </c>
      <c r="D2410" s="10" t="s">
        <v>19</v>
      </c>
      <c r="E2410" s="10" t="s">
        <v>187</v>
      </c>
      <c r="F2410" s="10" t="str">
        <f>"2170633948 "</f>
        <v xml:space="preserve">2170633948 </v>
      </c>
      <c r="G2410" s="10" t="str">
        <f t="shared" si="66"/>
        <v>ON1</v>
      </c>
      <c r="H2410" s="10" t="s">
        <v>21</v>
      </c>
      <c r="I2410" s="10" t="s">
        <v>32</v>
      </c>
      <c r="J2410" s="10" t="str">
        <f>""</f>
        <v/>
      </c>
      <c r="K2410" s="10" t="str">
        <f>"PFES1162632067_0001"</f>
        <v>PFES1162632067_0001</v>
      </c>
      <c r="L2410" s="10">
        <v>1</v>
      </c>
      <c r="M2410" s="10">
        <v>1</v>
      </c>
    </row>
    <row r="2411" spans="1:13">
      <c r="A2411" s="8">
        <v>43278</v>
      </c>
      <c r="B2411" s="9">
        <v>0.66527777777777775</v>
      </c>
      <c r="C2411" s="10" t="str">
        <f>"FES1162632001"</f>
        <v>FES1162632001</v>
      </c>
      <c r="D2411" s="10" t="s">
        <v>19</v>
      </c>
      <c r="E2411" s="10" t="s">
        <v>58</v>
      </c>
      <c r="F2411" s="10" t="str">
        <f>"2170638830 "</f>
        <v xml:space="preserve">2170638830 </v>
      </c>
      <c r="G2411" s="10" t="str">
        <f t="shared" si="66"/>
        <v>ON1</v>
      </c>
      <c r="H2411" s="10" t="s">
        <v>21</v>
      </c>
      <c r="I2411" s="10" t="s">
        <v>59</v>
      </c>
      <c r="J2411" s="10" t="str">
        <f>""</f>
        <v/>
      </c>
      <c r="K2411" s="10" t="str">
        <f>"PFES1162632001_0001"</f>
        <v>PFES1162632001_0001</v>
      </c>
      <c r="L2411" s="10">
        <v>1</v>
      </c>
      <c r="M2411" s="10">
        <v>1</v>
      </c>
    </row>
    <row r="2412" spans="1:13">
      <c r="A2412" s="8">
        <v>43278</v>
      </c>
      <c r="B2412" s="9">
        <v>0.66527777777777775</v>
      </c>
      <c r="C2412" s="10" t="str">
        <f>"FES1162632084"</f>
        <v>FES1162632084</v>
      </c>
      <c r="D2412" s="10" t="s">
        <v>19</v>
      </c>
      <c r="E2412" s="10" t="s">
        <v>52</v>
      </c>
      <c r="F2412" s="10" t="str">
        <f>"2170638294 "</f>
        <v xml:space="preserve">2170638294 </v>
      </c>
      <c r="G2412" s="10" t="str">
        <f t="shared" si="66"/>
        <v>ON1</v>
      </c>
      <c r="H2412" s="10" t="s">
        <v>21</v>
      </c>
      <c r="I2412" s="10" t="s">
        <v>53</v>
      </c>
      <c r="J2412" s="10" t="str">
        <f>""</f>
        <v/>
      </c>
      <c r="K2412" s="10" t="str">
        <f>"PFES1162632084_0001"</f>
        <v>PFES1162632084_0001</v>
      </c>
      <c r="L2412" s="10">
        <v>1</v>
      </c>
      <c r="M2412" s="10">
        <v>1</v>
      </c>
    </row>
    <row r="2413" spans="1:13">
      <c r="A2413" s="8">
        <v>43278</v>
      </c>
      <c r="B2413" s="9">
        <v>0.6645833333333333</v>
      </c>
      <c r="C2413" s="10" t="str">
        <f>"FES1162632033"</f>
        <v>FES1162632033</v>
      </c>
      <c r="D2413" s="10" t="s">
        <v>19</v>
      </c>
      <c r="E2413" s="10" t="s">
        <v>1008</v>
      </c>
      <c r="F2413" s="10" t="str">
        <f>"2170638876 "</f>
        <v xml:space="preserve">2170638876 </v>
      </c>
      <c r="G2413" s="10" t="str">
        <f t="shared" si="66"/>
        <v>ON1</v>
      </c>
      <c r="H2413" s="10" t="s">
        <v>21</v>
      </c>
      <c r="I2413" s="10" t="s">
        <v>413</v>
      </c>
      <c r="J2413" s="10" t="str">
        <f>""</f>
        <v/>
      </c>
      <c r="K2413" s="10" t="str">
        <f>"PFES1162632033_0001"</f>
        <v>PFES1162632033_0001</v>
      </c>
      <c r="L2413" s="10">
        <v>1</v>
      </c>
      <c r="M2413" s="10">
        <v>1</v>
      </c>
    </row>
    <row r="2414" spans="1:13">
      <c r="A2414" s="8">
        <v>43278</v>
      </c>
      <c r="B2414" s="9">
        <v>0.66319444444444442</v>
      </c>
      <c r="C2414" s="10" t="str">
        <f>"FES1162632050"</f>
        <v>FES1162632050</v>
      </c>
      <c r="D2414" s="10" t="s">
        <v>19</v>
      </c>
      <c r="E2414" s="10" t="s">
        <v>1009</v>
      </c>
      <c r="F2414" s="10" t="str">
        <f>"2170638896 "</f>
        <v xml:space="preserve">2170638896 </v>
      </c>
      <c r="G2414" s="10" t="str">
        <f t="shared" si="66"/>
        <v>ON1</v>
      </c>
      <c r="H2414" s="10" t="s">
        <v>21</v>
      </c>
      <c r="I2414" s="10" t="s">
        <v>393</v>
      </c>
      <c r="J2414" s="10" t="str">
        <f>""</f>
        <v/>
      </c>
      <c r="K2414" s="10" t="str">
        <f>"PFES1162632050_0001"</f>
        <v>PFES1162632050_0001</v>
      </c>
      <c r="L2414" s="10">
        <v>1</v>
      </c>
      <c r="M2414" s="10">
        <v>5</v>
      </c>
    </row>
    <row r="2415" spans="1:13">
      <c r="A2415" s="8">
        <v>43278</v>
      </c>
      <c r="B2415" s="9">
        <v>0.66180555555555554</v>
      </c>
      <c r="C2415" s="10" t="str">
        <f>"FES1162632052"</f>
        <v>FES1162632052</v>
      </c>
      <c r="D2415" s="10" t="s">
        <v>19</v>
      </c>
      <c r="E2415" s="10" t="s">
        <v>64</v>
      </c>
      <c r="F2415" s="10" t="str">
        <f>"2170638899 "</f>
        <v xml:space="preserve">2170638899 </v>
      </c>
      <c r="G2415" s="10" t="str">
        <f t="shared" si="66"/>
        <v>ON1</v>
      </c>
      <c r="H2415" s="10" t="s">
        <v>21</v>
      </c>
      <c r="I2415" s="10" t="s">
        <v>40</v>
      </c>
      <c r="J2415" s="10" t="str">
        <f>""</f>
        <v/>
      </c>
      <c r="K2415" s="10" t="str">
        <f>"PFES1162632052_0001"</f>
        <v>PFES1162632052_0001</v>
      </c>
      <c r="L2415" s="10">
        <v>1</v>
      </c>
      <c r="M2415" s="10">
        <v>7</v>
      </c>
    </row>
    <row r="2416" spans="1:13">
      <c r="A2416" s="8">
        <v>43278</v>
      </c>
      <c r="B2416" s="9">
        <v>0.65972222222222221</v>
      </c>
      <c r="C2416" s="10" t="str">
        <f>"FES1162632018"</f>
        <v>FES1162632018</v>
      </c>
      <c r="D2416" s="10" t="s">
        <v>19</v>
      </c>
      <c r="E2416" s="10" t="s">
        <v>503</v>
      </c>
      <c r="F2416" s="10" t="str">
        <f>"2170638854 "</f>
        <v xml:space="preserve">2170638854 </v>
      </c>
      <c r="G2416" s="10" t="str">
        <f t="shared" si="66"/>
        <v>ON1</v>
      </c>
      <c r="H2416" s="10" t="s">
        <v>21</v>
      </c>
      <c r="I2416" s="10" t="s">
        <v>158</v>
      </c>
      <c r="J2416" s="10" t="str">
        <f>""</f>
        <v/>
      </c>
      <c r="K2416" s="10" t="str">
        <f>"PFES1162632018_0001"</f>
        <v>PFES1162632018_0001</v>
      </c>
      <c r="L2416" s="10">
        <v>1</v>
      </c>
      <c r="M2416" s="10">
        <v>1</v>
      </c>
    </row>
    <row r="2417" spans="1:13">
      <c r="A2417" s="8">
        <v>43278</v>
      </c>
      <c r="B2417" s="9">
        <v>0.65902777777777777</v>
      </c>
      <c r="C2417" s="10" t="str">
        <f>"FES1162632037"</f>
        <v>FES1162632037</v>
      </c>
      <c r="D2417" s="10" t="s">
        <v>19</v>
      </c>
      <c r="E2417" s="10" t="s">
        <v>512</v>
      </c>
      <c r="F2417" s="10" t="str">
        <f>"2170638881 "</f>
        <v xml:space="preserve">2170638881 </v>
      </c>
      <c r="G2417" s="10" t="str">
        <f t="shared" si="66"/>
        <v>ON1</v>
      </c>
      <c r="H2417" s="10" t="s">
        <v>21</v>
      </c>
      <c r="I2417" s="10" t="s">
        <v>131</v>
      </c>
      <c r="J2417" s="10" t="str">
        <f>""</f>
        <v/>
      </c>
      <c r="K2417" s="10" t="str">
        <f>"PFES1162632037_0001"</f>
        <v>PFES1162632037_0001</v>
      </c>
      <c r="L2417" s="10">
        <v>1</v>
      </c>
      <c r="M2417" s="10">
        <v>1</v>
      </c>
    </row>
    <row r="2418" spans="1:13">
      <c r="A2418" s="8">
        <v>43278</v>
      </c>
      <c r="B2418" s="9">
        <v>0.65902777777777777</v>
      </c>
      <c r="C2418" s="10" t="str">
        <f>"FES1162632044"</f>
        <v>FES1162632044</v>
      </c>
      <c r="D2418" s="10" t="s">
        <v>19</v>
      </c>
      <c r="E2418" s="10" t="s">
        <v>512</v>
      </c>
      <c r="F2418" s="10" t="str">
        <f>"2170638886 "</f>
        <v xml:space="preserve">2170638886 </v>
      </c>
      <c r="G2418" s="10" t="str">
        <f t="shared" si="66"/>
        <v>ON1</v>
      </c>
      <c r="H2418" s="10" t="s">
        <v>21</v>
      </c>
      <c r="I2418" s="10" t="s">
        <v>131</v>
      </c>
      <c r="J2418" s="10" t="str">
        <f>""</f>
        <v/>
      </c>
      <c r="K2418" s="10" t="str">
        <f>"PFES1162632044_0001"</f>
        <v>PFES1162632044_0001</v>
      </c>
      <c r="L2418" s="10">
        <v>1</v>
      </c>
      <c r="M2418" s="10">
        <v>1</v>
      </c>
    </row>
    <row r="2419" spans="1:13">
      <c r="A2419" s="8">
        <v>43278</v>
      </c>
      <c r="B2419" s="9">
        <v>0.65833333333333333</v>
      </c>
      <c r="C2419" s="10" t="str">
        <f>"FES1162632045"</f>
        <v>FES1162632045</v>
      </c>
      <c r="D2419" s="10" t="s">
        <v>19</v>
      </c>
      <c r="E2419" s="10" t="s">
        <v>29</v>
      </c>
      <c r="F2419" s="10" t="str">
        <f>"21706388888 "</f>
        <v xml:space="preserve">21706388888 </v>
      </c>
      <c r="G2419" s="10" t="str">
        <f t="shared" si="66"/>
        <v>ON1</v>
      </c>
      <c r="H2419" s="10" t="s">
        <v>21</v>
      </c>
      <c r="I2419" s="10" t="s">
        <v>30</v>
      </c>
      <c r="J2419" s="10" t="str">
        <f>""</f>
        <v/>
      </c>
      <c r="K2419" s="10" t="str">
        <f>"PFES1162632045_0001"</f>
        <v>PFES1162632045_0001</v>
      </c>
      <c r="L2419" s="10">
        <v>1</v>
      </c>
      <c r="M2419" s="10">
        <v>1</v>
      </c>
    </row>
    <row r="2420" spans="1:13">
      <c r="A2420" s="8">
        <v>43278</v>
      </c>
      <c r="B2420" s="9">
        <v>0.65833333333333333</v>
      </c>
      <c r="C2420" s="10" t="str">
        <f>"FES1162632048"</f>
        <v>FES1162632048</v>
      </c>
      <c r="D2420" s="10" t="s">
        <v>19</v>
      </c>
      <c r="E2420" s="10" t="s">
        <v>316</v>
      </c>
      <c r="F2420" s="10" t="str">
        <f>"2170638893 "</f>
        <v xml:space="preserve">2170638893 </v>
      </c>
      <c r="G2420" s="10" t="str">
        <f t="shared" si="66"/>
        <v>ON1</v>
      </c>
      <c r="H2420" s="10" t="s">
        <v>21</v>
      </c>
      <c r="I2420" s="10" t="s">
        <v>317</v>
      </c>
      <c r="J2420" s="10" t="str">
        <f>""</f>
        <v/>
      </c>
      <c r="K2420" s="10" t="str">
        <f>"PFES1162632048_0001"</f>
        <v>PFES1162632048_0001</v>
      </c>
      <c r="L2420" s="10">
        <v>1</v>
      </c>
      <c r="M2420" s="10">
        <v>1</v>
      </c>
    </row>
    <row r="2421" spans="1:13">
      <c r="A2421" s="8">
        <v>43278</v>
      </c>
      <c r="B2421" s="9">
        <v>0.65833333333333333</v>
      </c>
      <c r="C2421" s="10" t="str">
        <f>"FES1162632049"</f>
        <v>FES1162632049</v>
      </c>
      <c r="D2421" s="10" t="s">
        <v>19</v>
      </c>
      <c r="E2421" s="10" t="s">
        <v>581</v>
      </c>
      <c r="F2421" s="10" t="str">
        <f>"2170638894 "</f>
        <v xml:space="preserve">2170638894 </v>
      </c>
      <c r="G2421" s="10" t="str">
        <f t="shared" si="66"/>
        <v>ON1</v>
      </c>
      <c r="H2421" s="10" t="s">
        <v>21</v>
      </c>
      <c r="I2421" s="10" t="s">
        <v>582</v>
      </c>
      <c r="J2421" s="10" t="str">
        <f>""</f>
        <v/>
      </c>
      <c r="K2421" s="10" t="str">
        <f>"PFES1162632049_0001"</f>
        <v>PFES1162632049_0001</v>
      </c>
      <c r="L2421" s="10">
        <v>1</v>
      </c>
      <c r="M2421" s="10">
        <v>1</v>
      </c>
    </row>
    <row r="2422" spans="1:13">
      <c r="A2422" s="8">
        <v>43278</v>
      </c>
      <c r="B2422" s="9">
        <v>0.65763888888888888</v>
      </c>
      <c r="C2422" s="10" t="str">
        <f>"FES1162632054"</f>
        <v>FES1162632054</v>
      </c>
      <c r="D2422" s="10" t="s">
        <v>19</v>
      </c>
      <c r="E2422" s="10" t="s">
        <v>503</v>
      </c>
      <c r="F2422" s="10" t="str">
        <f>"2170638730 "</f>
        <v xml:space="preserve">2170638730 </v>
      </c>
      <c r="G2422" s="10" t="str">
        <f t="shared" si="66"/>
        <v>ON1</v>
      </c>
      <c r="H2422" s="10" t="s">
        <v>21</v>
      </c>
      <c r="I2422" s="10" t="s">
        <v>158</v>
      </c>
      <c r="J2422" s="10" t="str">
        <f>""</f>
        <v/>
      </c>
      <c r="K2422" s="10" t="str">
        <f>"PFES1162632054_0001"</f>
        <v>PFES1162632054_0001</v>
      </c>
      <c r="L2422" s="10">
        <v>1</v>
      </c>
      <c r="M2422" s="10">
        <v>1</v>
      </c>
    </row>
    <row r="2423" spans="1:13">
      <c r="A2423" s="8">
        <v>43278</v>
      </c>
      <c r="B2423" s="9">
        <v>0.65763888888888888</v>
      </c>
      <c r="C2423" s="10" t="str">
        <f>"FES1162632034"</f>
        <v>FES1162632034</v>
      </c>
      <c r="D2423" s="10" t="s">
        <v>19</v>
      </c>
      <c r="E2423" s="10" t="s">
        <v>1010</v>
      </c>
      <c r="F2423" s="10" t="str">
        <f>"2170638877 "</f>
        <v xml:space="preserve">2170638877 </v>
      </c>
      <c r="G2423" s="10" t="str">
        <f t="shared" si="66"/>
        <v>ON1</v>
      </c>
      <c r="H2423" s="10" t="s">
        <v>21</v>
      </c>
      <c r="I2423" s="10" t="s">
        <v>1011</v>
      </c>
      <c r="J2423" s="10" t="str">
        <f>""</f>
        <v/>
      </c>
      <c r="K2423" s="10" t="str">
        <f>"PFES1162632034_0001"</f>
        <v>PFES1162632034_0001</v>
      </c>
      <c r="L2423" s="10">
        <v>1</v>
      </c>
      <c r="M2423" s="10">
        <v>1</v>
      </c>
    </row>
    <row r="2424" spans="1:13">
      <c r="A2424" s="8">
        <v>43278</v>
      </c>
      <c r="B2424" s="9">
        <v>0.65694444444444444</v>
      </c>
      <c r="C2424" s="10" t="str">
        <f>"FES1162632024"</f>
        <v>FES1162632024</v>
      </c>
      <c r="D2424" s="10" t="s">
        <v>19</v>
      </c>
      <c r="E2424" s="10" t="s">
        <v>925</v>
      </c>
      <c r="F2424" s="10" t="str">
        <f>"2170638859 "</f>
        <v xml:space="preserve">2170638859 </v>
      </c>
      <c r="G2424" s="10" t="str">
        <f t="shared" si="66"/>
        <v>ON1</v>
      </c>
      <c r="H2424" s="10" t="s">
        <v>21</v>
      </c>
      <c r="I2424" s="10" t="s">
        <v>69</v>
      </c>
      <c r="J2424" s="10" t="str">
        <f>""</f>
        <v/>
      </c>
      <c r="K2424" s="10" t="str">
        <f>"PFES1162632024_0001"</f>
        <v>PFES1162632024_0001</v>
      </c>
      <c r="L2424" s="10">
        <v>1</v>
      </c>
      <c r="M2424" s="10">
        <v>1</v>
      </c>
    </row>
    <row r="2425" spans="1:13">
      <c r="A2425" s="8">
        <v>43278</v>
      </c>
      <c r="B2425" s="9">
        <v>0.65555555555555556</v>
      </c>
      <c r="C2425" s="10" t="str">
        <f>"FES1162632041"</f>
        <v>FES1162632041</v>
      </c>
      <c r="D2425" s="10" t="s">
        <v>19</v>
      </c>
      <c r="E2425" s="10" t="s">
        <v>1012</v>
      </c>
      <c r="F2425" s="10" t="str">
        <f>"2170638878 "</f>
        <v xml:space="preserve">2170638878 </v>
      </c>
      <c r="G2425" s="10" t="str">
        <f t="shared" si="66"/>
        <v>ON1</v>
      </c>
      <c r="H2425" s="10" t="s">
        <v>21</v>
      </c>
      <c r="I2425" s="10" t="s">
        <v>260</v>
      </c>
      <c r="J2425" s="10" t="str">
        <f>""</f>
        <v/>
      </c>
      <c r="K2425" s="10" t="str">
        <f>"PFES1162632041_0001"</f>
        <v>PFES1162632041_0001</v>
      </c>
      <c r="L2425" s="10">
        <v>1</v>
      </c>
      <c r="M2425" s="10">
        <v>1</v>
      </c>
    </row>
    <row r="2426" spans="1:13">
      <c r="A2426" s="8">
        <v>43278</v>
      </c>
      <c r="B2426" s="9">
        <v>0.65555555555555556</v>
      </c>
      <c r="C2426" s="10" t="str">
        <f>"FES1162632043"</f>
        <v>FES1162632043</v>
      </c>
      <c r="D2426" s="10" t="s">
        <v>19</v>
      </c>
      <c r="E2426" s="10" t="s">
        <v>169</v>
      </c>
      <c r="F2426" s="10" t="str">
        <f>"2170638883 "</f>
        <v xml:space="preserve">2170638883 </v>
      </c>
      <c r="G2426" s="10" t="str">
        <f t="shared" si="66"/>
        <v>ON1</v>
      </c>
      <c r="H2426" s="10" t="s">
        <v>21</v>
      </c>
      <c r="I2426" s="10" t="s">
        <v>170</v>
      </c>
      <c r="J2426" s="10" t="str">
        <f>""</f>
        <v/>
      </c>
      <c r="K2426" s="10" t="str">
        <f>"PFES1162632043_0001"</f>
        <v>PFES1162632043_0001</v>
      </c>
      <c r="L2426" s="10">
        <v>1</v>
      </c>
      <c r="M2426" s="10">
        <v>1</v>
      </c>
    </row>
    <row r="2427" spans="1:13">
      <c r="A2427" s="8">
        <v>43278</v>
      </c>
      <c r="B2427" s="9">
        <v>0.65486111111111112</v>
      </c>
      <c r="C2427" s="10" t="str">
        <f>"FES1162632046"</f>
        <v>FES1162632046</v>
      </c>
      <c r="D2427" s="10" t="s">
        <v>19</v>
      </c>
      <c r="E2427" s="10" t="s">
        <v>430</v>
      </c>
      <c r="F2427" s="10" t="str">
        <f>"2170638891 "</f>
        <v xml:space="preserve">2170638891 </v>
      </c>
      <c r="G2427" s="10" t="str">
        <f t="shared" si="66"/>
        <v>ON1</v>
      </c>
      <c r="H2427" s="10" t="s">
        <v>21</v>
      </c>
      <c r="I2427" s="10" t="s">
        <v>42</v>
      </c>
      <c r="J2427" s="10" t="str">
        <f>""</f>
        <v/>
      </c>
      <c r="K2427" s="10" t="str">
        <f>"PFES1162632046_0001"</f>
        <v>PFES1162632046_0001</v>
      </c>
      <c r="L2427" s="10">
        <v>1</v>
      </c>
      <c r="M2427" s="10">
        <v>1</v>
      </c>
    </row>
    <row r="2428" spans="1:13">
      <c r="A2428" s="8">
        <v>43278</v>
      </c>
      <c r="B2428" s="9">
        <v>0.65486111111111112</v>
      </c>
      <c r="C2428" s="10" t="str">
        <f>"FES1162632051"</f>
        <v>FES1162632051</v>
      </c>
      <c r="D2428" s="10" t="s">
        <v>19</v>
      </c>
      <c r="E2428" s="10" t="s">
        <v>56</v>
      </c>
      <c r="F2428" s="10" t="str">
        <f>"2170638897 "</f>
        <v xml:space="preserve">2170638897 </v>
      </c>
      <c r="G2428" s="10" t="str">
        <f t="shared" si="66"/>
        <v>ON1</v>
      </c>
      <c r="H2428" s="10" t="s">
        <v>21</v>
      </c>
      <c r="I2428" s="10" t="s">
        <v>57</v>
      </c>
      <c r="J2428" s="10" t="str">
        <f>""</f>
        <v/>
      </c>
      <c r="K2428" s="10" t="str">
        <f>"PFES1162632051_0001"</f>
        <v>PFES1162632051_0001</v>
      </c>
      <c r="L2428" s="10">
        <v>1</v>
      </c>
      <c r="M2428" s="10">
        <v>1</v>
      </c>
    </row>
    <row r="2429" spans="1:13">
      <c r="A2429" s="8">
        <v>43278</v>
      </c>
      <c r="B2429" s="9">
        <v>0.65486111111111112</v>
      </c>
      <c r="C2429" s="10" t="str">
        <f>"FES1162632058"</f>
        <v>FES1162632058</v>
      </c>
      <c r="D2429" s="10" t="s">
        <v>19</v>
      </c>
      <c r="E2429" s="10" t="s">
        <v>540</v>
      </c>
      <c r="F2429" s="10" t="str">
        <f>"2170638863 "</f>
        <v xml:space="preserve">2170638863 </v>
      </c>
      <c r="G2429" s="10" t="str">
        <f t="shared" si="66"/>
        <v>ON1</v>
      </c>
      <c r="H2429" s="10" t="s">
        <v>21</v>
      </c>
      <c r="I2429" s="10" t="s">
        <v>55</v>
      </c>
      <c r="J2429" s="10" t="str">
        <f>""</f>
        <v/>
      </c>
      <c r="K2429" s="10" t="str">
        <f>"PFES1162632058_0001"</f>
        <v>PFES1162632058_0001</v>
      </c>
      <c r="L2429" s="10">
        <v>1</v>
      </c>
      <c r="M2429" s="10">
        <v>1</v>
      </c>
    </row>
    <row r="2430" spans="1:13">
      <c r="A2430" s="8">
        <v>43278</v>
      </c>
      <c r="B2430" s="9">
        <v>0.64930555555555558</v>
      </c>
      <c r="C2430" s="10" t="str">
        <f>"FES1162632019"</f>
        <v>FES1162632019</v>
      </c>
      <c r="D2430" s="10" t="s">
        <v>19</v>
      </c>
      <c r="E2430" s="10" t="s">
        <v>958</v>
      </c>
      <c r="F2430" s="10" t="str">
        <f>"2170638855 "</f>
        <v xml:space="preserve">2170638855 </v>
      </c>
      <c r="G2430" s="10" t="str">
        <f t="shared" si="66"/>
        <v>ON1</v>
      </c>
      <c r="H2430" s="10" t="s">
        <v>21</v>
      </c>
      <c r="I2430" s="10" t="s">
        <v>702</v>
      </c>
      <c r="J2430" s="10" t="str">
        <f>""</f>
        <v/>
      </c>
      <c r="K2430" s="10" t="str">
        <f>"PFES1162632019_0001"</f>
        <v>PFES1162632019_0001</v>
      </c>
      <c r="L2430" s="10">
        <v>1</v>
      </c>
      <c r="M2430" s="10">
        <v>1</v>
      </c>
    </row>
    <row r="2431" spans="1:13">
      <c r="A2431" s="8">
        <v>43278</v>
      </c>
      <c r="B2431" s="9">
        <v>0.6479166666666667</v>
      </c>
      <c r="C2431" s="10" t="str">
        <f>"FES1162632042"</f>
        <v>FES1162632042</v>
      </c>
      <c r="D2431" s="10" t="s">
        <v>19</v>
      </c>
      <c r="E2431" s="10" t="s">
        <v>319</v>
      </c>
      <c r="F2431" s="10" t="str">
        <f>"2170638882 "</f>
        <v xml:space="preserve">2170638882 </v>
      </c>
      <c r="G2431" s="10" t="str">
        <f t="shared" si="66"/>
        <v>ON1</v>
      </c>
      <c r="H2431" s="10" t="s">
        <v>21</v>
      </c>
      <c r="I2431" s="10" t="s">
        <v>106</v>
      </c>
      <c r="J2431" s="10" t="str">
        <f>""</f>
        <v/>
      </c>
      <c r="K2431" s="10" t="str">
        <f>"PFES1162632042_0001"</f>
        <v>PFES1162632042_0001</v>
      </c>
      <c r="L2431" s="10">
        <v>1</v>
      </c>
      <c r="M2431" s="10">
        <v>1</v>
      </c>
    </row>
    <row r="2432" spans="1:13">
      <c r="A2432" s="8">
        <v>43278</v>
      </c>
      <c r="B2432" s="9">
        <v>0.64374999999999993</v>
      </c>
      <c r="C2432" s="10" t="str">
        <f>"FES1162632036"</f>
        <v>FES1162632036</v>
      </c>
      <c r="D2432" s="10" t="s">
        <v>19</v>
      </c>
      <c r="E2432" s="10" t="s">
        <v>429</v>
      </c>
      <c r="F2432" s="10" t="str">
        <f>"2170638880 "</f>
        <v xml:space="preserve">2170638880 </v>
      </c>
      <c r="G2432" s="10" t="str">
        <f t="shared" si="66"/>
        <v>ON1</v>
      </c>
      <c r="H2432" s="10" t="s">
        <v>21</v>
      </c>
      <c r="I2432" s="10" t="s">
        <v>83</v>
      </c>
      <c r="J2432" s="10" t="str">
        <f>""</f>
        <v/>
      </c>
      <c r="K2432" s="10" t="str">
        <f>"PFES1162632036_0001"</f>
        <v>PFES1162632036_0001</v>
      </c>
      <c r="L2432" s="10">
        <v>1</v>
      </c>
      <c r="M2432" s="10">
        <v>3</v>
      </c>
    </row>
    <row r="2433" spans="1:13">
      <c r="A2433" s="8">
        <v>43278</v>
      </c>
      <c r="B2433" s="9">
        <v>0.64236111111111105</v>
      </c>
      <c r="C2433" s="10" t="str">
        <f>"FES1162632022"</f>
        <v>FES1162632022</v>
      </c>
      <c r="D2433" s="10" t="s">
        <v>19</v>
      </c>
      <c r="E2433" s="10" t="s">
        <v>540</v>
      </c>
      <c r="F2433" s="10" t="str">
        <f>"2170638863 "</f>
        <v xml:space="preserve">2170638863 </v>
      </c>
      <c r="G2433" s="10" t="str">
        <f t="shared" si="66"/>
        <v>ON1</v>
      </c>
      <c r="H2433" s="10" t="s">
        <v>21</v>
      </c>
      <c r="I2433" s="10" t="s">
        <v>55</v>
      </c>
      <c r="J2433" s="10" t="str">
        <f>""</f>
        <v/>
      </c>
      <c r="K2433" s="10" t="str">
        <f>"PFES1162632022_0001"</f>
        <v>PFES1162632022_0001</v>
      </c>
      <c r="L2433" s="10">
        <v>1</v>
      </c>
      <c r="M2433" s="10">
        <v>10</v>
      </c>
    </row>
    <row r="2434" spans="1:13">
      <c r="A2434" s="8">
        <v>43278</v>
      </c>
      <c r="B2434" s="9">
        <v>0.63402777777777775</v>
      </c>
      <c r="C2434" s="10" t="str">
        <f>"FES1162631984"</f>
        <v>FES1162631984</v>
      </c>
      <c r="D2434" s="10" t="s">
        <v>19</v>
      </c>
      <c r="E2434" s="10" t="s">
        <v>354</v>
      </c>
      <c r="F2434" s="10" t="str">
        <f>"2170638812 "</f>
        <v xml:space="preserve">2170638812 </v>
      </c>
      <c r="G2434" s="10" t="str">
        <f t="shared" si="66"/>
        <v>ON1</v>
      </c>
      <c r="H2434" s="10" t="s">
        <v>21</v>
      </c>
      <c r="I2434" s="10" t="s">
        <v>349</v>
      </c>
      <c r="J2434" s="10" t="str">
        <f>""</f>
        <v/>
      </c>
      <c r="K2434" s="10" t="str">
        <f>"PFES1162631984_0001"</f>
        <v>PFES1162631984_0001</v>
      </c>
      <c r="L2434" s="10">
        <v>1</v>
      </c>
      <c r="M2434" s="10">
        <v>1</v>
      </c>
    </row>
    <row r="2435" spans="1:13">
      <c r="A2435" s="8">
        <v>43278</v>
      </c>
      <c r="B2435" s="9">
        <v>0.6333333333333333</v>
      </c>
      <c r="C2435" s="10" t="str">
        <f>"FES1162632029"</f>
        <v>FES1162632029</v>
      </c>
      <c r="D2435" s="10" t="s">
        <v>19</v>
      </c>
      <c r="E2435" s="10" t="s">
        <v>241</v>
      </c>
      <c r="F2435" s="10" t="str">
        <f>"217063887 "</f>
        <v xml:space="preserve">217063887 </v>
      </c>
      <c r="G2435" s="10" t="str">
        <f t="shared" si="66"/>
        <v>ON1</v>
      </c>
      <c r="H2435" s="10" t="s">
        <v>21</v>
      </c>
      <c r="I2435" s="10" t="s">
        <v>42</v>
      </c>
      <c r="J2435" s="10" t="str">
        <f>""</f>
        <v/>
      </c>
      <c r="K2435" s="10" t="str">
        <f>"PFES1162632029_0001"</f>
        <v>PFES1162632029_0001</v>
      </c>
      <c r="L2435" s="10">
        <v>1</v>
      </c>
      <c r="M2435" s="10">
        <v>1</v>
      </c>
    </row>
    <row r="2436" spans="1:13">
      <c r="A2436" s="8">
        <v>43278</v>
      </c>
      <c r="B2436" s="9">
        <v>0.63263888888888886</v>
      </c>
      <c r="C2436" s="10" t="str">
        <f>"FES1162631997"</f>
        <v>FES1162631997</v>
      </c>
      <c r="D2436" s="10" t="s">
        <v>19</v>
      </c>
      <c r="E2436" s="10" t="s">
        <v>121</v>
      </c>
      <c r="F2436" s="10" t="str">
        <f>"2170638824 "</f>
        <v xml:space="preserve">2170638824 </v>
      </c>
      <c r="G2436" s="10" t="str">
        <f t="shared" si="66"/>
        <v>ON1</v>
      </c>
      <c r="H2436" s="10" t="s">
        <v>21</v>
      </c>
      <c r="I2436" s="10" t="s">
        <v>79</v>
      </c>
      <c r="J2436" s="10" t="str">
        <f>""</f>
        <v/>
      </c>
      <c r="K2436" s="10" t="str">
        <f>"PFES1162631997_0001"</f>
        <v>PFES1162631997_0001</v>
      </c>
      <c r="L2436" s="10">
        <v>1</v>
      </c>
      <c r="M2436" s="10">
        <v>1</v>
      </c>
    </row>
    <row r="2437" spans="1:13">
      <c r="A2437" s="8">
        <v>43278</v>
      </c>
      <c r="B2437" s="9">
        <v>0.63263888888888886</v>
      </c>
      <c r="C2437" s="10" t="str">
        <f>"FES1162632035"</f>
        <v>FES1162632035</v>
      </c>
      <c r="D2437" s="10" t="s">
        <v>19</v>
      </c>
      <c r="E2437" s="10" t="s">
        <v>193</v>
      </c>
      <c r="F2437" s="10" t="str">
        <f>"2170638879 "</f>
        <v xml:space="preserve">2170638879 </v>
      </c>
      <c r="G2437" s="10" t="str">
        <f t="shared" si="66"/>
        <v>ON1</v>
      </c>
      <c r="H2437" s="10" t="s">
        <v>21</v>
      </c>
      <c r="I2437" s="10" t="s">
        <v>30</v>
      </c>
      <c r="J2437" s="10" t="str">
        <f>""</f>
        <v/>
      </c>
      <c r="K2437" s="10" t="str">
        <f>"PFES1162632035_0001"</f>
        <v>PFES1162632035_0001</v>
      </c>
      <c r="L2437" s="10">
        <v>1</v>
      </c>
      <c r="M2437" s="10">
        <v>1</v>
      </c>
    </row>
    <row r="2438" spans="1:13">
      <c r="A2438" s="8">
        <v>43278</v>
      </c>
      <c r="B2438" s="9">
        <v>0.63194444444444442</v>
      </c>
      <c r="C2438" s="10" t="str">
        <f>"FES1162632002"</f>
        <v>FES1162632002</v>
      </c>
      <c r="D2438" s="10" t="s">
        <v>19</v>
      </c>
      <c r="E2438" s="10" t="s">
        <v>126</v>
      </c>
      <c r="F2438" s="10" t="str">
        <f>"2170638831 "</f>
        <v xml:space="preserve">2170638831 </v>
      </c>
      <c r="G2438" s="10" t="str">
        <f t="shared" si="66"/>
        <v>ON1</v>
      </c>
      <c r="H2438" s="10" t="s">
        <v>21</v>
      </c>
      <c r="I2438" s="10" t="s">
        <v>100</v>
      </c>
      <c r="J2438" s="10" t="str">
        <f>""</f>
        <v/>
      </c>
      <c r="K2438" s="10" t="str">
        <f>"PFES1162632002_0001"</f>
        <v>PFES1162632002_0001</v>
      </c>
      <c r="L2438" s="10">
        <v>1</v>
      </c>
      <c r="M2438" s="10">
        <v>1</v>
      </c>
    </row>
    <row r="2439" spans="1:13">
      <c r="A2439" s="8">
        <v>43278</v>
      </c>
      <c r="B2439" s="9">
        <v>0.63124999999999998</v>
      </c>
      <c r="C2439" s="10" t="str">
        <f>"009935791768"</f>
        <v>009935791768</v>
      </c>
      <c r="D2439" s="10" t="s">
        <v>19</v>
      </c>
      <c r="E2439" s="10" t="s">
        <v>443</v>
      </c>
      <c r="F2439" s="10" t="str">
        <f>"1162628882 "</f>
        <v xml:space="preserve">1162628882 </v>
      </c>
      <c r="G2439" s="10" t="str">
        <f t="shared" si="66"/>
        <v>ON1</v>
      </c>
      <c r="H2439" s="10" t="s">
        <v>21</v>
      </c>
      <c r="I2439" s="10" t="s">
        <v>389</v>
      </c>
      <c r="J2439" s="10" t="str">
        <f>"SHORT SUPPLIED EMANUEL"</f>
        <v>SHORT SUPPLIED EMANUEL</v>
      </c>
      <c r="K2439" s="10" t="str">
        <f>"P009935791768_0001"</f>
        <v>P009935791768_0001</v>
      </c>
      <c r="L2439" s="10">
        <v>1</v>
      </c>
      <c r="M2439" s="10">
        <v>1</v>
      </c>
    </row>
    <row r="2440" spans="1:13">
      <c r="A2440" s="8">
        <v>43278</v>
      </c>
      <c r="B2440" s="9">
        <v>0.62916666666666665</v>
      </c>
      <c r="C2440" s="10" t="str">
        <f>"FES1162632027"</f>
        <v>FES1162632027</v>
      </c>
      <c r="D2440" s="10" t="s">
        <v>19</v>
      </c>
      <c r="E2440" s="10" t="s">
        <v>540</v>
      </c>
      <c r="F2440" s="10" t="str">
        <f>"2170638868 "</f>
        <v xml:space="preserve">2170638868 </v>
      </c>
      <c r="G2440" s="10" t="str">
        <f t="shared" si="66"/>
        <v>ON1</v>
      </c>
      <c r="H2440" s="10" t="s">
        <v>21</v>
      </c>
      <c r="I2440" s="10" t="s">
        <v>55</v>
      </c>
      <c r="J2440" s="10" t="str">
        <f>""</f>
        <v/>
      </c>
      <c r="K2440" s="10" t="str">
        <f>"PFES1162632027_0001"</f>
        <v>PFES1162632027_0001</v>
      </c>
      <c r="L2440" s="10">
        <v>1</v>
      </c>
      <c r="M2440" s="10">
        <v>1</v>
      </c>
    </row>
    <row r="2441" spans="1:13">
      <c r="A2441" s="8">
        <v>43278</v>
      </c>
      <c r="B2441" s="9">
        <v>0.62847222222222221</v>
      </c>
      <c r="C2441" s="10" t="str">
        <f>"FES1162632020"</f>
        <v>FES1162632020</v>
      </c>
      <c r="D2441" s="10" t="s">
        <v>19</v>
      </c>
      <c r="E2441" s="10" t="s">
        <v>368</v>
      </c>
      <c r="F2441" s="10" t="str">
        <f>"2170638856 "</f>
        <v xml:space="preserve">2170638856 </v>
      </c>
      <c r="G2441" s="10" t="str">
        <f t="shared" si="66"/>
        <v>ON1</v>
      </c>
      <c r="H2441" s="10" t="s">
        <v>21</v>
      </c>
      <c r="I2441" s="10" t="s">
        <v>369</v>
      </c>
      <c r="J2441" s="10" t="str">
        <f>""</f>
        <v/>
      </c>
      <c r="K2441" s="10" t="str">
        <f>"PFES1162632020_0001"</f>
        <v>PFES1162632020_0001</v>
      </c>
      <c r="L2441" s="10">
        <v>1</v>
      </c>
      <c r="M2441" s="10">
        <v>1</v>
      </c>
    </row>
    <row r="2442" spans="1:13">
      <c r="A2442" s="8">
        <v>43278</v>
      </c>
      <c r="B2442" s="9">
        <v>0.62777777777777777</v>
      </c>
      <c r="C2442" s="10" t="str">
        <f>"FES1162632032"</f>
        <v>FES1162632032</v>
      </c>
      <c r="D2442" s="10" t="s">
        <v>19</v>
      </c>
      <c r="E2442" s="10" t="s">
        <v>730</v>
      </c>
      <c r="F2442" s="10" t="str">
        <f>"2170638873 "</f>
        <v xml:space="preserve">2170638873 </v>
      </c>
      <c r="G2442" s="10" t="str">
        <f t="shared" si="66"/>
        <v>ON1</v>
      </c>
      <c r="H2442" s="10" t="s">
        <v>21</v>
      </c>
      <c r="I2442" s="10" t="s">
        <v>96</v>
      </c>
      <c r="J2442" s="10" t="str">
        <f>""</f>
        <v/>
      </c>
      <c r="K2442" s="10" t="str">
        <f>"PFES1162632032_0001"</f>
        <v>PFES1162632032_0001</v>
      </c>
      <c r="L2442" s="10">
        <v>1</v>
      </c>
      <c r="M2442" s="10">
        <v>1</v>
      </c>
    </row>
    <row r="2443" spans="1:13">
      <c r="A2443" s="8">
        <v>43278</v>
      </c>
      <c r="B2443" s="9">
        <v>0.62708333333333333</v>
      </c>
      <c r="C2443" s="10" t="str">
        <f>"FES1162632026"</f>
        <v>FES1162632026</v>
      </c>
      <c r="D2443" s="10" t="s">
        <v>19</v>
      </c>
      <c r="E2443" s="10" t="s">
        <v>105</v>
      </c>
      <c r="F2443" s="10" t="str">
        <f>"2170638867 "</f>
        <v xml:space="preserve">2170638867 </v>
      </c>
      <c r="G2443" s="10" t="str">
        <f t="shared" si="66"/>
        <v>ON1</v>
      </c>
      <c r="H2443" s="10" t="s">
        <v>21</v>
      </c>
      <c r="I2443" s="10" t="s">
        <v>106</v>
      </c>
      <c r="J2443" s="10" t="str">
        <f>""</f>
        <v/>
      </c>
      <c r="K2443" s="10" t="str">
        <f>"PFES1162632026_0001"</f>
        <v>PFES1162632026_0001</v>
      </c>
      <c r="L2443" s="10">
        <v>1</v>
      </c>
      <c r="M2443" s="10">
        <v>1</v>
      </c>
    </row>
    <row r="2444" spans="1:13">
      <c r="A2444" s="8">
        <v>43278</v>
      </c>
      <c r="B2444" s="9">
        <v>0.61458333333333337</v>
      </c>
      <c r="C2444" s="10" t="str">
        <f>"FES1162632009"</f>
        <v>FES1162632009</v>
      </c>
      <c r="D2444" s="10" t="s">
        <v>19</v>
      </c>
      <c r="E2444" s="10" t="s">
        <v>1013</v>
      </c>
      <c r="F2444" s="10" t="str">
        <f>"2170638839 "</f>
        <v xml:space="preserve">2170638839 </v>
      </c>
      <c r="G2444" s="10" t="str">
        <f t="shared" si="66"/>
        <v>ON1</v>
      </c>
      <c r="H2444" s="10" t="s">
        <v>21</v>
      </c>
      <c r="I2444" s="10" t="s">
        <v>422</v>
      </c>
      <c r="J2444" s="10" t="str">
        <f>""</f>
        <v/>
      </c>
      <c r="K2444" s="10" t="str">
        <f>"PFES1162632009_0001"</f>
        <v>PFES1162632009_0001</v>
      </c>
      <c r="L2444" s="10">
        <v>1</v>
      </c>
      <c r="M2444" s="10">
        <v>1</v>
      </c>
    </row>
    <row r="2445" spans="1:13">
      <c r="A2445" s="8">
        <v>43278</v>
      </c>
      <c r="B2445" s="9">
        <v>0.61319444444444449</v>
      </c>
      <c r="C2445" s="10" t="str">
        <f>"FES1162632023"</f>
        <v>FES1162632023</v>
      </c>
      <c r="D2445" s="10" t="s">
        <v>19</v>
      </c>
      <c r="E2445" s="10" t="s">
        <v>302</v>
      </c>
      <c r="F2445" s="10" t="str">
        <f>"2170638841 "</f>
        <v xml:space="preserve">2170638841 </v>
      </c>
      <c r="G2445" s="10" t="str">
        <f t="shared" si="66"/>
        <v>ON1</v>
      </c>
      <c r="H2445" s="10" t="s">
        <v>21</v>
      </c>
      <c r="I2445" s="10" t="s">
        <v>303</v>
      </c>
      <c r="J2445" s="10" t="str">
        <f>""</f>
        <v/>
      </c>
      <c r="K2445" s="10" t="str">
        <f>"PFES1162632023_0001"</f>
        <v>PFES1162632023_0001</v>
      </c>
      <c r="L2445" s="10">
        <v>1</v>
      </c>
      <c r="M2445" s="10">
        <v>2</v>
      </c>
    </row>
    <row r="2446" spans="1:13">
      <c r="A2446" s="8">
        <v>43278</v>
      </c>
      <c r="B2446" s="9">
        <v>0.60902777777777783</v>
      </c>
      <c r="C2446" s="10" t="str">
        <f>"FES1162632021"</f>
        <v>FES1162632021</v>
      </c>
      <c r="D2446" s="10" t="s">
        <v>19</v>
      </c>
      <c r="E2446" s="10" t="s">
        <v>362</v>
      </c>
      <c r="F2446" s="10" t="str">
        <f>"2170638860 "</f>
        <v xml:space="preserve">2170638860 </v>
      </c>
      <c r="G2446" s="10" t="str">
        <f t="shared" si="66"/>
        <v>ON1</v>
      </c>
      <c r="H2446" s="10" t="s">
        <v>21</v>
      </c>
      <c r="I2446" s="10" t="s">
        <v>363</v>
      </c>
      <c r="J2446" s="10" t="str">
        <f>""</f>
        <v/>
      </c>
      <c r="K2446" s="10" t="str">
        <f>"PFES1162632021_0001"</f>
        <v>PFES1162632021_0001</v>
      </c>
      <c r="L2446" s="10">
        <v>1</v>
      </c>
      <c r="M2446" s="10">
        <v>1</v>
      </c>
    </row>
    <row r="2447" spans="1:13">
      <c r="A2447" s="8">
        <v>43278</v>
      </c>
      <c r="B2447" s="9">
        <v>0.60763888888888895</v>
      </c>
      <c r="C2447" s="10" t="str">
        <f>"FES1162632031"</f>
        <v>FES1162632031</v>
      </c>
      <c r="D2447" s="10" t="s">
        <v>19</v>
      </c>
      <c r="E2447" s="10" t="s">
        <v>730</v>
      </c>
      <c r="F2447" s="10" t="str">
        <f>"2170638871 "</f>
        <v xml:space="preserve">2170638871 </v>
      </c>
      <c r="G2447" s="10" t="str">
        <f t="shared" si="66"/>
        <v>ON1</v>
      </c>
      <c r="H2447" s="10" t="s">
        <v>21</v>
      </c>
      <c r="I2447" s="10" t="s">
        <v>96</v>
      </c>
      <c r="J2447" s="10" t="str">
        <f>""</f>
        <v/>
      </c>
      <c r="K2447" s="10" t="str">
        <f>"PFES1162632031_0001"</f>
        <v>PFES1162632031_0001</v>
      </c>
      <c r="L2447" s="10">
        <v>1</v>
      </c>
      <c r="M2447" s="10">
        <v>1</v>
      </c>
    </row>
    <row r="2448" spans="1:13">
      <c r="A2448" s="8">
        <v>43278</v>
      </c>
      <c r="B2448" s="9">
        <v>0.60347222222222219</v>
      </c>
      <c r="C2448" s="10" t="str">
        <f>"FES1162631998"</f>
        <v>FES1162631998</v>
      </c>
      <c r="D2448" s="10" t="s">
        <v>19</v>
      </c>
      <c r="E2448" s="10" t="s">
        <v>354</v>
      </c>
      <c r="F2448" s="10" t="str">
        <f>"2170638826 "</f>
        <v xml:space="preserve">2170638826 </v>
      </c>
      <c r="G2448" s="10" t="str">
        <f>"DBC"</f>
        <v>DBC</v>
      </c>
      <c r="H2448" s="10" t="s">
        <v>21</v>
      </c>
      <c r="I2448" s="10" t="s">
        <v>349</v>
      </c>
      <c r="J2448" s="10" t="str">
        <f>"FRAGILE OIL"</f>
        <v>FRAGILE OIL</v>
      </c>
      <c r="K2448" s="10" t="str">
        <f>"PFES1162631998_0001"</f>
        <v>PFES1162631998_0001</v>
      </c>
      <c r="L2448" s="10">
        <v>1</v>
      </c>
      <c r="M2448" s="10">
        <v>1</v>
      </c>
    </row>
    <row r="2449" spans="1:13">
      <c r="A2449" s="8">
        <v>43278</v>
      </c>
      <c r="B2449" s="9">
        <v>0.60138888888888886</v>
      </c>
      <c r="C2449" s="10" t="str">
        <f>"FES1162632005"</f>
        <v>FES1162632005</v>
      </c>
      <c r="D2449" s="10" t="s">
        <v>19</v>
      </c>
      <c r="E2449" s="10" t="s">
        <v>431</v>
      </c>
      <c r="F2449" s="10" t="str">
        <f>"2170631671 "</f>
        <v xml:space="preserve">2170631671 </v>
      </c>
      <c r="G2449" s="10" t="str">
        <f t="shared" ref="G2449:G2459" si="67">"ON1"</f>
        <v>ON1</v>
      </c>
      <c r="H2449" s="10" t="s">
        <v>21</v>
      </c>
      <c r="I2449" s="10" t="s">
        <v>267</v>
      </c>
      <c r="J2449" s="10" t="str">
        <f>""</f>
        <v/>
      </c>
      <c r="K2449" s="10" t="str">
        <f>"PFES1162632005_0001"</f>
        <v>PFES1162632005_0001</v>
      </c>
      <c r="L2449" s="10">
        <v>1</v>
      </c>
      <c r="M2449" s="10">
        <v>16</v>
      </c>
    </row>
    <row r="2450" spans="1:13">
      <c r="A2450" s="8">
        <v>43278</v>
      </c>
      <c r="B2450" s="9">
        <v>0.59930555555555554</v>
      </c>
      <c r="C2450" s="10" t="str">
        <f>"FES1162632000"</f>
        <v>FES1162632000</v>
      </c>
      <c r="D2450" s="10" t="s">
        <v>19</v>
      </c>
      <c r="E2450" s="10" t="s">
        <v>550</v>
      </c>
      <c r="F2450" s="10" t="str">
        <f>"2170638829 "</f>
        <v xml:space="preserve">2170638829 </v>
      </c>
      <c r="G2450" s="10" t="str">
        <f t="shared" si="67"/>
        <v>ON1</v>
      </c>
      <c r="H2450" s="10" t="s">
        <v>21</v>
      </c>
      <c r="I2450" s="10" t="s">
        <v>439</v>
      </c>
      <c r="J2450" s="10" t="str">
        <f>""</f>
        <v/>
      </c>
      <c r="K2450" s="10" t="str">
        <f>"PFES1162632000_0001"</f>
        <v>PFES1162632000_0001</v>
      </c>
      <c r="L2450" s="10">
        <v>1</v>
      </c>
      <c r="M2450" s="10">
        <v>1</v>
      </c>
    </row>
    <row r="2451" spans="1:13">
      <c r="A2451" s="8">
        <v>43278</v>
      </c>
      <c r="B2451" s="9">
        <v>0.59861111111111109</v>
      </c>
      <c r="C2451" s="10" t="str">
        <f>"FES1162632014"</f>
        <v>FES1162632014</v>
      </c>
      <c r="D2451" s="10" t="s">
        <v>19</v>
      </c>
      <c r="E2451" s="10" t="s">
        <v>76</v>
      </c>
      <c r="F2451" s="10" t="str">
        <f>"2170638846 "</f>
        <v xml:space="preserve">2170638846 </v>
      </c>
      <c r="G2451" s="10" t="str">
        <f t="shared" si="67"/>
        <v>ON1</v>
      </c>
      <c r="H2451" s="10" t="s">
        <v>21</v>
      </c>
      <c r="I2451" s="10" t="s">
        <v>77</v>
      </c>
      <c r="J2451" s="10" t="str">
        <f>""</f>
        <v/>
      </c>
      <c r="K2451" s="10" t="str">
        <f>"PFES1162632014_0001"</f>
        <v>PFES1162632014_0001</v>
      </c>
      <c r="L2451" s="10">
        <v>1</v>
      </c>
      <c r="M2451" s="10">
        <v>1</v>
      </c>
    </row>
    <row r="2452" spans="1:13">
      <c r="A2452" s="8">
        <v>43278</v>
      </c>
      <c r="B2452" s="9">
        <v>0.59722222222222221</v>
      </c>
      <c r="C2452" s="10" t="str">
        <f>"FES1162632011"</f>
        <v>FES1162632011</v>
      </c>
      <c r="D2452" s="10" t="s">
        <v>19</v>
      </c>
      <c r="E2452" s="10" t="s">
        <v>191</v>
      </c>
      <c r="F2452" s="10" t="str">
        <f>"2170638845 "</f>
        <v xml:space="preserve">2170638845 </v>
      </c>
      <c r="G2452" s="10" t="str">
        <f t="shared" si="67"/>
        <v>ON1</v>
      </c>
      <c r="H2452" s="10" t="s">
        <v>21</v>
      </c>
      <c r="I2452" s="10" t="s">
        <v>192</v>
      </c>
      <c r="J2452" s="10" t="str">
        <f>""</f>
        <v/>
      </c>
      <c r="K2452" s="10" t="str">
        <f>"PFES1162632011_0001"</f>
        <v>PFES1162632011_0001</v>
      </c>
      <c r="L2452" s="10">
        <v>1</v>
      </c>
      <c r="M2452" s="10">
        <v>1</v>
      </c>
    </row>
    <row r="2453" spans="1:13">
      <c r="A2453" s="8">
        <v>43278</v>
      </c>
      <c r="B2453" s="9">
        <v>0.59722222222222221</v>
      </c>
      <c r="C2453" s="10" t="str">
        <f>"FES1162632017"</f>
        <v>FES1162632017</v>
      </c>
      <c r="D2453" s="10" t="s">
        <v>19</v>
      </c>
      <c r="E2453" s="10" t="s">
        <v>403</v>
      </c>
      <c r="F2453" s="10" t="str">
        <f>"2170638852 "</f>
        <v xml:space="preserve">2170638852 </v>
      </c>
      <c r="G2453" s="10" t="str">
        <f t="shared" si="67"/>
        <v>ON1</v>
      </c>
      <c r="H2453" s="10" t="s">
        <v>21</v>
      </c>
      <c r="I2453" s="10" t="s">
        <v>66</v>
      </c>
      <c r="J2453" s="10" t="str">
        <f>""</f>
        <v/>
      </c>
      <c r="K2453" s="10" t="str">
        <f>"PFES1162632017_0001"</f>
        <v>PFES1162632017_0001</v>
      </c>
      <c r="L2453" s="10">
        <v>1</v>
      </c>
      <c r="M2453" s="10">
        <v>1</v>
      </c>
    </row>
    <row r="2454" spans="1:13">
      <c r="A2454" s="8">
        <v>43278</v>
      </c>
      <c r="B2454" s="9">
        <v>0.59722222222222221</v>
      </c>
      <c r="C2454" s="10" t="str">
        <f>"FES1162631995"</f>
        <v>FES1162631995</v>
      </c>
      <c r="D2454" s="10" t="s">
        <v>19</v>
      </c>
      <c r="E2454" s="10" t="s">
        <v>1014</v>
      </c>
      <c r="F2454" s="10" t="str">
        <f>"2170638124 "</f>
        <v xml:space="preserve">2170638124 </v>
      </c>
      <c r="G2454" s="10" t="str">
        <f t="shared" si="67"/>
        <v>ON1</v>
      </c>
      <c r="H2454" s="10" t="s">
        <v>21</v>
      </c>
      <c r="I2454" s="10" t="s">
        <v>955</v>
      </c>
      <c r="J2454" s="10" t="str">
        <f>""</f>
        <v/>
      </c>
      <c r="K2454" s="10" t="str">
        <f>"PFES1162631995_0001"</f>
        <v>PFES1162631995_0001</v>
      </c>
      <c r="L2454" s="10">
        <v>1</v>
      </c>
      <c r="M2454" s="10">
        <v>11</v>
      </c>
    </row>
    <row r="2455" spans="1:13">
      <c r="A2455" s="8">
        <v>43278</v>
      </c>
      <c r="B2455" s="9">
        <v>0.59652777777777777</v>
      </c>
      <c r="C2455" s="10" t="str">
        <f>"FES1162631950"</f>
        <v>FES1162631950</v>
      </c>
      <c r="D2455" s="10" t="s">
        <v>19</v>
      </c>
      <c r="E2455" s="10" t="s">
        <v>617</v>
      </c>
      <c r="F2455" s="10" t="str">
        <f>"2170638764 "</f>
        <v xml:space="preserve">2170638764 </v>
      </c>
      <c r="G2455" s="10" t="str">
        <f t="shared" si="67"/>
        <v>ON1</v>
      </c>
      <c r="H2455" s="10" t="s">
        <v>21</v>
      </c>
      <c r="I2455" s="10" t="s">
        <v>618</v>
      </c>
      <c r="J2455" s="10" t="str">
        <f>""</f>
        <v/>
      </c>
      <c r="K2455" s="10" t="str">
        <f>"PFES1162631950_0001"</f>
        <v>PFES1162631950_0001</v>
      </c>
      <c r="L2455" s="10">
        <v>1</v>
      </c>
      <c r="M2455" s="10">
        <v>1</v>
      </c>
    </row>
    <row r="2456" spans="1:13">
      <c r="A2456" s="8">
        <v>43278</v>
      </c>
      <c r="B2456" s="9">
        <v>0.59583333333333333</v>
      </c>
      <c r="C2456" s="10" t="str">
        <f>"FES1162631934"</f>
        <v>FES1162631934</v>
      </c>
      <c r="D2456" s="10" t="s">
        <v>19</v>
      </c>
      <c r="E2456" s="10" t="s">
        <v>249</v>
      </c>
      <c r="F2456" s="10" t="str">
        <f>"2170638772 "</f>
        <v xml:space="preserve">2170638772 </v>
      </c>
      <c r="G2456" s="10" t="str">
        <f t="shared" si="67"/>
        <v>ON1</v>
      </c>
      <c r="H2456" s="10" t="s">
        <v>21</v>
      </c>
      <c r="I2456" s="10" t="s">
        <v>59</v>
      </c>
      <c r="J2456" s="10" t="str">
        <f>""</f>
        <v/>
      </c>
      <c r="K2456" s="10" t="str">
        <f>"PFES1162631934_0001"</f>
        <v>PFES1162631934_0001</v>
      </c>
      <c r="L2456" s="10">
        <v>1</v>
      </c>
      <c r="M2456" s="10">
        <v>1</v>
      </c>
    </row>
    <row r="2457" spans="1:13">
      <c r="A2457" s="8">
        <v>43278</v>
      </c>
      <c r="B2457" s="9">
        <v>0.59513888888888888</v>
      </c>
      <c r="C2457" s="10" t="str">
        <f>"FES1162631992"</f>
        <v>FES1162631992</v>
      </c>
      <c r="D2457" s="10" t="s">
        <v>19</v>
      </c>
      <c r="E2457" s="10" t="s">
        <v>1015</v>
      </c>
      <c r="F2457" s="10" t="str">
        <f>"2170638363 "</f>
        <v xml:space="preserve">2170638363 </v>
      </c>
      <c r="G2457" s="10" t="str">
        <f t="shared" si="67"/>
        <v>ON1</v>
      </c>
      <c r="H2457" s="10" t="s">
        <v>21</v>
      </c>
      <c r="I2457" s="10" t="s">
        <v>957</v>
      </c>
      <c r="J2457" s="10" t="str">
        <f>""</f>
        <v/>
      </c>
      <c r="K2457" s="10" t="str">
        <f>"PFES1162631992_0001"</f>
        <v>PFES1162631992_0001</v>
      </c>
      <c r="L2457" s="10">
        <v>1</v>
      </c>
      <c r="M2457" s="10">
        <v>13</v>
      </c>
    </row>
    <row r="2458" spans="1:13">
      <c r="A2458" s="8">
        <v>43278</v>
      </c>
      <c r="B2458" s="9">
        <v>0.59305555555555556</v>
      </c>
      <c r="C2458" s="10" t="str">
        <f>"FES1162631946"</f>
        <v>FES1162631946</v>
      </c>
      <c r="D2458" s="10" t="s">
        <v>19</v>
      </c>
      <c r="E2458" s="10" t="s">
        <v>571</v>
      </c>
      <c r="F2458" s="10" t="str">
        <f>"2170638785 "</f>
        <v xml:space="preserve">2170638785 </v>
      </c>
      <c r="G2458" s="10" t="str">
        <f t="shared" si="67"/>
        <v>ON1</v>
      </c>
      <c r="H2458" s="10" t="s">
        <v>21</v>
      </c>
      <c r="I2458" s="10" t="s">
        <v>174</v>
      </c>
      <c r="J2458" s="10" t="str">
        <f>""</f>
        <v/>
      </c>
      <c r="K2458" s="10" t="str">
        <f>"PFES1162631946_0001"</f>
        <v>PFES1162631946_0001</v>
      </c>
      <c r="L2458" s="10">
        <v>1</v>
      </c>
      <c r="M2458" s="10">
        <v>5</v>
      </c>
    </row>
    <row r="2459" spans="1:13">
      <c r="A2459" s="8">
        <v>43278</v>
      </c>
      <c r="B2459" s="9">
        <v>0.59166666666666667</v>
      </c>
      <c r="C2459" s="10" t="str">
        <f>"FES1162631991"</f>
        <v>FES1162631991</v>
      </c>
      <c r="D2459" s="10" t="s">
        <v>19</v>
      </c>
      <c r="E2459" s="10" t="s">
        <v>388</v>
      </c>
      <c r="F2459" s="10" t="str">
        <f>"2170636299 "</f>
        <v xml:space="preserve">2170636299 </v>
      </c>
      <c r="G2459" s="10" t="str">
        <f t="shared" si="67"/>
        <v>ON1</v>
      </c>
      <c r="H2459" s="10" t="s">
        <v>21</v>
      </c>
      <c r="I2459" s="10" t="s">
        <v>389</v>
      </c>
      <c r="J2459" s="10" t="str">
        <f>""</f>
        <v/>
      </c>
      <c r="K2459" s="10" t="str">
        <f>"PFES1162631991_0001"</f>
        <v>PFES1162631991_0001</v>
      </c>
      <c r="L2459" s="10">
        <v>1</v>
      </c>
      <c r="M2459" s="10">
        <v>11</v>
      </c>
    </row>
    <row r="2460" spans="1:13">
      <c r="A2460" s="8">
        <v>43278</v>
      </c>
      <c r="B2460" s="9">
        <v>0.59027777777777779</v>
      </c>
      <c r="C2460" s="10" t="str">
        <f>"FES1162631924"</f>
        <v>FES1162631924</v>
      </c>
      <c r="D2460" s="10" t="s">
        <v>19</v>
      </c>
      <c r="E2460" s="10" t="s">
        <v>1016</v>
      </c>
      <c r="F2460" s="10" t="str">
        <f>"2170638248 "</f>
        <v xml:space="preserve">2170638248 </v>
      </c>
      <c r="G2460" s="10" t="str">
        <f>"DBC"</f>
        <v>DBC</v>
      </c>
      <c r="H2460" s="10" t="s">
        <v>21</v>
      </c>
      <c r="I2460" s="10" t="s">
        <v>641</v>
      </c>
      <c r="J2460" s="10" t="str">
        <f>""</f>
        <v/>
      </c>
      <c r="K2460" s="10" t="str">
        <f>"PFES1162631924_0001"</f>
        <v>PFES1162631924_0001</v>
      </c>
      <c r="L2460" s="10">
        <v>1</v>
      </c>
      <c r="M2460" s="10">
        <v>23</v>
      </c>
    </row>
    <row r="2461" spans="1:13">
      <c r="A2461" s="8">
        <v>43278</v>
      </c>
      <c r="B2461" s="9">
        <v>0.57777777777777783</v>
      </c>
      <c r="C2461" s="10" t="str">
        <f>"FES1162632012"</f>
        <v>FES1162632012</v>
      </c>
      <c r="D2461" s="10" t="s">
        <v>19</v>
      </c>
      <c r="E2461" s="10" t="s">
        <v>319</v>
      </c>
      <c r="F2461" s="10" t="str">
        <f>"2170638844 "</f>
        <v xml:space="preserve">2170638844 </v>
      </c>
      <c r="G2461" s="10" t="str">
        <f t="shared" ref="G2461:G2521" si="68">"ON1"</f>
        <v>ON1</v>
      </c>
      <c r="H2461" s="10" t="s">
        <v>21</v>
      </c>
      <c r="I2461" s="10" t="s">
        <v>106</v>
      </c>
      <c r="J2461" s="10" t="str">
        <f>""</f>
        <v/>
      </c>
      <c r="K2461" s="10" t="str">
        <f>"PFES1162632012_0001"</f>
        <v>PFES1162632012_0001</v>
      </c>
      <c r="L2461" s="10">
        <v>1</v>
      </c>
      <c r="M2461" s="10">
        <v>4</v>
      </c>
    </row>
    <row r="2462" spans="1:13">
      <c r="A2462" s="8">
        <v>43278</v>
      </c>
      <c r="B2462" s="9">
        <v>0.5756944444444444</v>
      </c>
      <c r="C2462" s="10" t="str">
        <f>"FES1162631996"</f>
        <v>FES1162631996</v>
      </c>
      <c r="D2462" s="10" t="s">
        <v>19</v>
      </c>
      <c r="E2462" s="10" t="s">
        <v>302</v>
      </c>
      <c r="F2462" s="10" t="str">
        <f>"2170638820 "</f>
        <v xml:space="preserve">2170638820 </v>
      </c>
      <c r="G2462" s="10" t="str">
        <f t="shared" si="68"/>
        <v>ON1</v>
      </c>
      <c r="H2462" s="10" t="s">
        <v>21</v>
      </c>
      <c r="I2462" s="10" t="s">
        <v>303</v>
      </c>
      <c r="J2462" s="10" t="str">
        <f>""</f>
        <v/>
      </c>
      <c r="K2462" s="10" t="str">
        <f>"PFES1162631996_0001"</f>
        <v>PFES1162631996_0001</v>
      </c>
      <c r="L2462" s="10">
        <v>1</v>
      </c>
      <c r="M2462" s="10">
        <v>4</v>
      </c>
    </row>
    <row r="2463" spans="1:13">
      <c r="A2463" s="8">
        <v>43278</v>
      </c>
      <c r="B2463" s="9">
        <v>0.57500000000000007</v>
      </c>
      <c r="C2463" s="10" t="str">
        <f>"FES1162631960"</f>
        <v>FES1162631960</v>
      </c>
      <c r="D2463" s="10" t="s">
        <v>19</v>
      </c>
      <c r="E2463" s="10" t="s">
        <v>700</v>
      </c>
      <c r="F2463" s="10" t="str">
        <f>"2170635633 "</f>
        <v xml:space="preserve">2170635633 </v>
      </c>
      <c r="G2463" s="10" t="str">
        <f t="shared" si="68"/>
        <v>ON1</v>
      </c>
      <c r="H2463" s="10" t="s">
        <v>21</v>
      </c>
      <c r="I2463" s="10" t="s">
        <v>272</v>
      </c>
      <c r="J2463" s="10" t="str">
        <f>""</f>
        <v/>
      </c>
      <c r="K2463" s="10" t="str">
        <f>"PFES1162631960_0001"</f>
        <v>PFES1162631960_0001</v>
      </c>
      <c r="L2463" s="10">
        <v>1</v>
      </c>
      <c r="M2463" s="10">
        <v>3</v>
      </c>
    </row>
    <row r="2464" spans="1:13">
      <c r="A2464" s="8">
        <v>43278</v>
      </c>
      <c r="B2464" s="9">
        <v>0.57291666666666663</v>
      </c>
      <c r="C2464" s="10" t="str">
        <f>"FES1162631986"</f>
        <v>FES1162631986</v>
      </c>
      <c r="D2464" s="10" t="s">
        <v>19</v>
      </c>
      <c r="E2464" s="10" t="s">
        <v>1017</v>
      </c>
      <c r="F2464" s="10" t="str">
        <f>"2170633549 "</f>
        <v xml:space="preserve">2170633549 </v>
      </c>
      <c r="G2464" s="10" t="str">
        <f t="shared" si="68"/>
        <v>ON1</v>
      </c>
      <c r="H2464" s="10" t="s">
        <v>21</v>
      </c>
      <c r="I2464" s="10" t="s">
        <v>778</v>
      </c>
      <c r="J2464" s="10" t="str">
        <f>""</f>
        <v/>
      </c>
      <c r="K2464" s="10" t="str">
        <f>"PFES1162631986_0001"</f>
        <v>PFES1162631986_0001</v>
      </c>
      <c r="L2464" s="10">
        <v>1</v>
      </c>
      <c r="M2464" s="10">
        <v>18</v>
      </c>
    </row>
    <row r="2465" spans="1:13">
      <c r="A2465" s="8">
        <v>43278</v>
      </c>
      <c r="B2465" s="9">
        <v>0.57222222222222219</v>
      </c>
      <c r="C2465" s="10" t="str">
        <f>"FES1162631949"</f>
        <v>FES1162631949</v>
      </c>
      <c r="D2465" s="10" t="s">
        <v>19</v>
      </c>
      <c r="E2465" s="10" t="s">
        <v>1012</v>
      </c>
      <c r="F2465" s="10" t="str">
        <f>"2170638790 "</f>
        <v xml:space="preserve">2170638790 </v>
      </c>
      <c r="G2465" s="10" t="str">
        <f t="shared" si="68"/>
        <v>ON1</v>
      </c>
      <c r="H2465" s="10" t="s">
        <v>21</v>
      </c>
      <c r="I2465" s="10" t="s">
        <v>260</v>
      </c>
      <c r="J2465" s="10" t="str">
        <f>""</f>
        <v/>
      </c>
      <c r="K2465" s="10" t="str">
        <f>"PFES1162631949_0001"</f>
        <v>PFES1162631949_0001</v>
      </c>
      <c r="L2465" s="10">
        <v>1</v>
      </c>
      <c r="M2465" s="10">
        <v>1</v>
      </c>
    </row>
    <row r="2466" spans="1:13">
      <c r="A2466" s="8">
        <v>43278</v>
      </c>
      <c r="B2466" s="9">
        <v>0.57152777777777775</v>
      </c>
      <c r="C2466" s="10" t="str">
        <f>"FES1162631929"</f>
        <v>FES1162631929</v>
      </c>
      <c r="D2466" s="10" t="s">
        <v>19</v>
      </c>
      <c r="E2466" s="10" t="s">
        <v>1018</v>
      </c>
      <c r="F2466" s="10" t="str">
        <f>"2170634487 "</f>
        <v xml:space="preserve">2170634487 </v>
      </c>
      <c r="G2466" s="10" t="str">
        <f t="shared" si="68"/>
        <v>ON1</v>
      </c>
      <c r="H2466" s="10" t="s">
        <v>21</v>
      </c>
      <c r="I2466" s="10" t="s">
        <v>1019</v>
      </c>
      <c r="J2466" s="10" t="str">
        <f>""</f>
        <v/>
      </c>
      <c r="K2466" s="10" t="str">
        <f>"PFES1162631929_0001"</f>
        <v>PFES1162631929_0001</v>
      </c>
      <c r="L2466" s="10">
        <v>1</v>
      </c>
      <c r="M2466" s="10">
        <v>14</v>
      </c>
    </row>
    <row r="2467" spans="1:13">
      <c r="A2467" s="8">
        <v>43278</v>
      </c>
      <c r="B2467" s="9">
        <v>0.56874999999999998</v>
      </c>
      <c r="C2467" s="10" t="str">
        <f>"FES1162631959"</f>
        <v>FES1162631959</v>
      </c>
      <c r="D2467" s="10" t="s">
        <v>19</v>
      </c>
      <c r="E2467" s="10" t="s">
        <v>178</v>
      </c>
      <c r="F2467" s="10" t="str">
        <f>"2170635288 "</f>
        <v xml:space="preserve">2170635288 </v>
      </c>
      <c r="G2467" s="10" t="str">
        <f t="shared" si="68"/>
        <v>ON1</v>
      </c>
      <c r="H2467" s="10" t="s">
        <v>21</v>
      </c>
      <c r="I2467" s="10" t="s">
        <v>93</v>
      </c>
      <c r="J2467" s="10" t="str">
        <f>""</f>
        <v/>
      </c>
      <c r="K2467" s="10" t="str">
        <f>"PFES1162631959_0001"</f>
        <v>PFES1162631959_0001</v>
      </c>
      <c r="L2467" s="10">
        <v>2</v>
      </c>
      <c r="M2467" s="10">
        <v>18</v>
      </c>
    </row>
    <row r="2468" spans="1:13">
      <c r="A2468" s="8">
        <v>43278</v>
      </c>
      <c r="B2468" s="9">
        <v>0.56736111111111109</v>
      </c>
      <c r="C2468" s="10" t="str">
        <f>"FES1162631967"</f>
        <v>FES1162631967</v>
      </c>
      <c r="D2468" s="10" t="s">
        <v>19</v>
      </c>
      <c r="E2468" s="10" t="s">
        <v>99</v>
      </c>
      <c r="F2468" s="10" t="str">
        <f>"2170630898 "</f>
        <v xml:space="preserve">2170630898 </v>
      </c>
      <c r="G2468" s="10" t="str">
        <f t="shared" si="68"/>
        <v>ON1</v>
      </c>
      <c r="H2468" s="10" t="s">
        <v>21</v>
      </c>
      <c r="I2468" s="10" t="s">
        <v>100</v>
      </c>
      <c r="J2468" s="10" t="str">
        <f>""</f>
        <v/>
      </c>
      <c r="K2468" s="10" t="str">
        <f>"PFES1162631967_0001"</f>
        <v>PFES1162631967_0001</v>
      </c>
      <c r="L2468" s="10">
        <v>1</v>
      </c>
      <c r="M2468" s="10">
        <v>4</v>
      </c>
    </row>
    <row r="2469" spans="1:13">
      <c r="A2469" s="8">
        <v>43278</v>
      </c>
      <c r="B2469" s="9">
        <v>0.5493055555555556</v>
      </c>
      <c r="C2469" s="10" t="str">
        <f>"FES1162631908"</f>
        <v>FES1162631908</v>
      </c>
      <c r="D2469" s="10" t="s">
        <v>19</v>
      </c>
      <c r="E2469" s="10" t="s">
        <v>691</v>
      </c>
      <c r="F2469" s="10" t="str">
        <f>"2170638725 "</f>
        <v xml:space="preserve">2170638725 </v>
      </c>
      <c r="G2469" s="10" t="str">
        <f t="shared" si="68"/>
        <v>ON1</v>
      </c>
      <c r="H2469" s="10" t="s">
        <v>21</v>
      </c>
      <c r="I2469" s="10" t="s">
        <v>413</v>
      </c>
      <c r="J2469" s="10" t="str">
        <f>""</f>
        <v/>
      </c>
      <c r="K2469" s="10" t="str">
        <f>"PFES1162631908_0001"</f>
        <v>PFES1162631908_0001</v>
      </c>
      <c r="L2469" s="10">
        <v>1</v>
      </c>
      <c r="M2469" s="10">
        <v>1</v>
      </c>
    </row>
    <row r="2470" spans="1:13">
      <c r="A2470" s="8">
        <v>43278</v>
      </c>
      <c r="B2470" s="9">
        <v>0.54861111111111105</v>
      </c>
      <c r="C2470" s="10" t="str">
        <f>"FES1162631879"</f>
        <v>FES1162631879</v>
      </c>
      <c r="D2470" s="10" t="s">
        <v>19</v>
      </c>
      <c r="E2470" s="10" t="s">
        <v>58</v>
      </c>
      <c r="F2470" s="10" t="str">
        <f>"2170638694 "</f>
        <v xml:space="preserve">2170638694 </v>
      </c>
      <c r="G2470" s="10" t="str">
        <f t="shared" si="68"/>
        <v>ON1</v>
      </c>
      <c r="H2470" s="10" t="s">
        <v>21</v>
      </c>
      <c r="I2470" s="10" t="s">
        <v>59</v>
      </c>
      <c r="J2470" s="10" t="str">
        <f>""</f>
        <v/>
      </c>
      <c r="K2470" s="10" t="str">
        <f>"PFES1162631879_0001"</f>
        <v>PFES1162631879_0001</v>
      </c>
      <c r="L2470" s="10">
        <v>1</v>
      </c>
      <c r="M2470" s="10">
        <v>1</v>
      </c>
    </row>
    <row r="2471" spans="1:13">
      <c r="A2471" s="8">
        <v>43278</v>
      </c>
      <c r="B2471" s="9">
        <v>0.54861111111111105</v>
      </c>
      <c r="C2471" s="10" t="str">
        <f>"FES1162631935"</f>
        <v>FES1162631935</v>
      </c>
      <c r="D2471" s="10" t="s">
        <v>19</v>
      </c>
      <c r="E2471" s="10" t="s">
        <v>429</v>
      </c>
      <c r="F2471" s="10" t="str">
        <f>"217063773 "</f>
        <v xml:space="preserve">217063773 </v>
      </c>
      <c r="G2471" s="10" t="str">
        <f t="shared" si="68"/>
        <v>ON1</v>
      </c>
      <c r="H2471" s="10" t="s">
        <v>21</v>
      </c>
      <c r="I2471" s="10" t="s">
        <v>83</v>
      </c>
      <c r="J2471" s="10" t="str">
        <f>""</f>
        <v/>
      </c>
      <c r="K2471" s="10" t="str">
        <f>"PFES1162631935_0001"</f>
        <v>PFES1162631935_0001</v>
      </c>
      <c r="L2471" s="10">
        <v>1</v>
      </c>
      <c r="M2471" s="10">
        <v>1</v>
      </c>
    </row>
    <row r="2472" spans="1:13">
      <c r="A2472" s="8">
        <v>43278</v>
      </c>
      <c r="B2472" s="9">
        <v>0.54791666666666672</v>
      </c>
      <c r="C2472" s="10" t="str">
        <f>"FES1162631868"</f>
        <v>FES1162631868</v>
      </c>
      <c r="D2472" s="10" t="s">
        <v>19</v>
      </c>
      <c r="E2472" s="10" t="s">
        <v>695</v>
      </c>
      <c r="F2472" s="10" t="str">
        <f>"2170637188 "</f>
        <v xml:space="preserve">2170637188 </v>
      </c>
      <c r="G2472" s="10" t="str">
        <f t="shared" si="68"/>
        <v>ON1</v>
      </c>
      <c r="H2472" s="10" t="s">
        <v>21</v>
      </c>
      <c r="I2472" s="10" t="s">
        <v>174</v>
      </c>
      <c r="J2472" s="10" t="str">
        <f>""</f>
        <v/>
      </c>
      <c r="K2472" s="10" t="str">
        <f>"PFES1162631868_0001"</f>
        <v>PFES1162631868_0001</v>
      </c>
      <c r="L2472" s="10">
        <v>1</v>
      </c>
      <c r="M2472" s="10">
        <v>1</v>
      </c>
    </row>
    <row r="2473" spans="1:13">
      <c r="A2473" s="8">
        <v>43278</v>
      </c>
      <c r="B2473" s="9">
        <v>0.54791666666666672</v>
      </c>
      <c r="C2473" s="10" t="str">
        <f>"FES1162631875"</f>
        <v>FES1162631875</v>
      </c>
      <c r="D2473" s="10" t="s">
        <v>19</v>
      </c>
      <c r="E2473" s="10" t="s">
        <v>58</v>
      </c>
      <c r="F2473" s="10" t="str">
        <f>"2170638687 "</f>
        <v xml:space="preserve">2170638687 </v>
      </c>
      <c r="G2473" s="10" t="str">
        <f t="shared" si="68"/>
        <v>ON1</v>
      </c>
      <c r="H2473" s="10" t="s">
        <v>21</v>
      </c>
      <c r="I2473" s="10" t="s">
        <v>59</v>
      </c>
      <c r="J2473" s="10" t="str">
        <f>""</f>
        <v/>
      </c>
      <c r="K2473" s="10" t="str">
        <f>"PFES1162631875_0001"</f>
        <v>PFES1162631875_0001</v>
      </c>
      <c r="L2473" s="10">
        <v>1</v>
      </c>
      <c r="M2473" s="10">
        <v>1</v>
      </c>
    </row>
    <row r="2474" spans="1:13">
      <c r="A2474" s="8">
        <v>43278</v>
      </c>
      <c r="B2474" s="9">
        <v>0.54722222222222217</v>
      </c>
      <c r="C2474" s="10" t="str">
        <f>"FES1162631954"</f>
        <v>FES1162631954</v>
      </c>
      <c r="D2474" s="10" t="s">
        <v>19</v>
      </c>
      <c r="E2474" s="10" t="s">
        <v>119</v>
      </c>
      <c r="F2474" s="10" t="str">
        <f>"2170638794 "</f>
        <v xml:space="preserve">2170638794 </v>
      </c>
      <c r="G2474" s="10" t="str">
        <f t="shared" si="68"/>
        <v>ON1</v>
      </c>
      <c r="H2474" s="10" t="s">
        <v>21</v>
      </c>
      <c r="I2474" s="10" t="s">
        <v>83</v>
      </c>
      <c r="J2474" s="10" t="str">
        <f>""</f>
        <v/>
      </c>
      <c r="K2474" s="10" t="str">
        <f>"PFES1162631954_0001"</f>
        <v>PFES1162631954_0001</v>
      </c>
      <c r="L2474" s="10">
        <v>1</v>
      </c>
      <c r="M2474" s="10">
        <v>1</v>
      </c>
    </row>
    <row r="2475" spans="1:13">
      <c r="A2475" s="8">
        <v>43278</v>
      </c>
      <c r="B2475" s="9">
        <v>0.54722222222222217</v>
      </c>
      <c r="C2475" s="10" t="str">
        <f>"FES1162631987"</f>
        <v>FES1162631987</v>
      </c>
      <c r="D2475" s="10" t="s">
        <v>19</v>
      </c>
      <c r="E2475" s="10" t="s">
        <v>259</v>
      </c>
      <c r="F2475" s="10" t="str">
        <f>"2170638809 "</f>
        <v xml:space="preserve">2170638809 </v>
      </c>
      <c r="G2475" s="10" t="str">
        <f t="shared" si="68"/>
        <v>ON1</v>
      </c>
      <c r="H2475" s="10" t="s">
        <v>21</v>
      </c>
      <c r="I2475" s="10" t="s">
        <v>260</v>
      </c>
      <c r="J2475" s="10" t="str">
        <f>""</f>
        <v/>
      </c>
      <c r="K2475" s="10" t="str">
        <f>"PFES1162631987_0001"</f>
        <v>PFES1162631987_0001</v>
      </c>
      <c r="L2475" s="10">
        <v>1</v>
      </c>
      <c r="M2475" s="10">
        <v>1</v>
      </c>
    </row>
    <row r="2476" spans="1:13">
      <c r="A2476" s="8">
        <v>43278</v>
      </c>
      <c r="B2476" s="9">
        <v>0.54652777777777783</v>
      </c>
      <c r="C2476" s="10" t="str">
        <f>"FES1162631988"</f>
        <v>FES1162631988</v>
      </c>
      <c r="D2476" s="10" t="s">
        <v>19</v>
      </c>
      <c r="E2476" s="10" t="s">
        <v>421</v>
      </c>
      <c r="F2476" s="10" t="str">
        <f>"2170638810 "</f>
        <v xml:space="preserve">2170638810 </v>
      </c>
      <c r="G2476" s="10" t="str">
        <f t="shared" si="68"/>
        <v>ON1</v>
      </c>
      <c r="H2476" s="10" t="s">
        <v>21</v>
      </c>
      <c r="I2476" s="10" t="s">
        <v>422</v>
      </c>
      <c r="J2476" s="10" t="str">
        <f>""</f>
        <v/>
      </c>
      <c r="K2476" s="10" t="str">
        <f>"PFES1162631988_0001"</f>
        <v>PFES1162631988_0001</v>
      </c>
      <c r="L2476" s="10">
        <v>1</v>
      </c>
      <c r="M2476" s="10">
        <v>1</v>
      </c>
    </row>
    <row r="2477" spans="1:13">
      <c r="A2477" s="8">
        <v>43278</v>
      </c>
      <c r="B2477" s="9">
        <v>0.54652777777777783</v>
      </c>
      <c r="C2477" s="10" t="str">
        <f>"FES1162631936"</f>
        <v>FES1162631936</v>
      </c>
      <c r="D2477" s="10" t="s">
        <v>19</v>
      </c>
      <c r="E2477" s="10" t="s">
        <v>33</v>
      </c>
      <c r="F2477" s="10" t="str">
        <f>"2170638775 "</f>
        <v xml:space="preserve">2170638775 </v>
      </c>
      <c r="G2477" s="10" t="str">
        <f t="shared" si="68"/>
        <v>ON1</v>
      </c>
      <c r="H2477" s="10" t="s">
        <v>21</v>
      </c>
      <c r="I2477" s="10" t="s">
        <v>34</v>
      </c>
      <c r="J2477" s="10" t="str">
        <f>""</f>
        <v/>
      </c>
      <c r="K2477" s="10" t="str">
        <f>"PFES1162631936_0001"</f>
        <v>PFES1162631936_0001</v>
      </c>
      <c r="L2477" s="10">
        <v>1</v>
      </c>
      <c r="M2477" s="10">
        <v>1</v>
      </c>
    </row>
    <row r="2478" spans="1:13">
      <c r="A2478" s="8">
        <v>43278</v>
      </c>
      <c r="B2478" s="9">
        <v>0.54652777777777783</v>
      </c>
      <c r="C2478" s="10" t="str">
        <f>"FES1162631942"</f>
        <v>FES1162631942</v>
      </c>
      <c r="D2478" s="10" t="s">
        <v>19</v>
      </c>
      <c r="E2478" s="10" t="s">
        <v>99</v>
      </c>
      <c r="F2478" s="10" t="str">
        <f>"2170638782 "</f>
        <v xml:space="preserve">2170638782 </v>
      </c>
      <c r="G2478" s="10" t="str">
        <f t="shared" si="68"/>
        <v>ON1</v>
      </c>
      <c r="H2478" s="10" t="s">
        <v>21</v>
      </c>
      <c r="I2478" s="10" t="s">
        <v>100</v>
      </c>
      <c r="J2478" s="10" t="str">
        <f>""</f>
        <v/>
      </c>
      <c r="K2478" s="10" t="str">
        <f>"PFES1162631942_0001"</f>
        <v>PFES1162631942_0001</v>
      </c>
      <c r="L2478" s="10">
        <v>1</v>
      </c>
      <c r="M2478" s="10">
        <v>1</v>
      </c>
    </row>
    <row r="2479" spans="1:13">
      <c r="A2479" s="8">
        <v>43278</v>
      </c>
      <c r="B2479" s="9">
        <v>0.54583333333333328</v>
      </c>
      <c r="C2479" s="10" t="str">
        <f>"FES1162631948"</f>
        <v>FES1162631948</v>
      </c>
      <c r="D2479" s="10" t="s">
        <v>19</v>
      </c>
      <c r="E2479" s="10" t="s">
        <v>490</v>
      </c>
      <c r="F2479" s="10" t="str">
        <f>"2170638787 "</f>
        <v xml:space="preserve">2170638787 </v>
      </c>
      <c r="G2479" s="10" t="str">
        <f t="shared" si="68"/>
        <v>ON1</v>
      </c>
      <c r="H2479" s="10" t="s">
        <v>21</v>
      </c>
      <c r="I2479" s="10" t="s">
        <v>393</v>
      </c>
      <c r="J2479" s="10" t="str">
        <f>""</f>
        <v/>
      </c>
      <c r="K2479" s="10" t="str">
        <f>"PFES1162631948_0001"</f>
        <v>PFES1162631948_0001</v>
      </c>
      <c r="L2479" s="10">
        <v>1</v>
      </c>
      <c r="M2479" s="10">
        <v>1</v>
      </c>
    </row>
    <row r="2480" spans="1:13">
      <c r="A2480" s="8">
        <v>43278</v>
      </c>
      <c r="B2480" s="9">
        <v>0.52847222222222223</v>
      </c>
      <c r="C2480" s="10" t="str">
        <f>"FES1162631964"</f>
        <v>FES1162631964</v>
      </c>
      <c r="D2480" s="10" t="s">
        <v>19</v>
      </c>
      <c r="E2480" s="10" t="s">
        <v>193</v>
      </c>
      <c r="F2480" s="10" t="str">
        <f>"2170631964 "</f>
        <v xml:space="preserve">2170631964 </v>
      </c>
      <c r="G2480" s="10" t="str">
        <f t="shared" si="68"/>
        <v>ON1</v>
      </c>
      <c r="H2480" s="10" t="s">
        <v>21</v>
      </c>
      <c r="I2480" s="10" t="s">
        <v>30</v>
      </c>
      <c r="J2480" s="10" t="str">
        <f>""</f>
        <v/>
      </c>
      <c r="K2480" s="10" t="str">
        <f>"PFES1162631964_0001"</f>
        <v>PFES1162631964_0001</v>
      </c>
      <c r="L2480" s="10">
        <v>2</v>
      </c>
      <c r="M2480" s="10">
        <v>8</v>
      </c>
    </row>
    <row r="2481" spans="1:13">
      <c r="A2481" s="8">
        <v>43278</v>
      </c>
      <c r="B2481" s="9">
        <v>0.52777777777777779</v>
      </c>
      <c r="C2481" s="10" t="str">
        <f>"FES1162631953"</f>
        <v>FES1162631953</v>
      </c>
      <c r="D2481" s="10" t="s">
        <v>19</v>
      </c>
      <c r="E2481" s="10" t="s">
        <v>434</v>
      </c>
      <c r="F2481" s="10" t="str">
        <f>"2170638793 "</f>
        <v xml:space="preserve">2170638793 </v>
      </c>
      <c r="G2481" s="10" t="str">
        <f t="shared" si="68"/>
        <v>ON1</v>
      </c>
      <c r="H2481" s="10" t="s">
        <v>21</v>
      </c>
      <c r="I2481" s="10" t="s">
        <v>42</v>
      </c>
      <c r="J2481" s="10" t="str">
        <f>""</f>
        <v/>
      </c>
      <c r="K2481" s="10" t="str">
        <f>"PFES1162631953_0001"</f>
        <v>PFES1162631953_0001</v>
      </c>
      <c r="L2481" s="10">
        <v>1</v>
      </c>
      <c r="M2481" s="10">
        <v>1</v>
      </c>
    </row>
    <row r="2482" spans="1:13">
      <c r="A2482" s="8">
        <v>43278</v>
      </c>
      <c r="B2482" s="9">
        <v>0.52777777777777779</v>
      </c>
      <c r="C2482" s="10" t="str">
        <f>"FES1162631951"</f>
        <v>FES1162631951</v>
      </c>
      <c r="D2482" s="10" t="s">
        <v>19</v>
      </c>
      <c r="E2482" s="10" t="s">
        <v>1020</v>
      </c>
      <c r="F2482" s="10" t="str">
        <f>"2170638788 "</f>
        <v xml:space="preserve">2170638788 </v>
      </c>
      <c r="G2482" s="10" t="str">
        <f t="shared" si="68"/>
        <v>ON1</v>
      </c>
      <c r="H2482" s="10" t="s">
        <v>21</v>
      </c>
      <c r="I2482" s="10" t="s">
        <v>26</v>
      </c>
      <c r="J2482" s="10" t="str">
        <f>""</f>
        <v/>
      </c>
      <c r="K2482" s="10" t="str">
        <f>"PFES1162631951_0001"</f>
        <v>PFES1162631951_0001</v>
      </c>
      <c r="L2482" s="10">
        <v>1</v>
      </c>
      <c r="M2482" s="10">
        <v>1</v>
      </c>
    </row>
    <row r="2483" spans="1:13">
      <c r="A2483" s="8">
        <v>43278</v>
      </c>
      <c r="B2483" s="9">
        <v>0.52777777777777779</v>
      </c>
      <c r="C2483" s="10" t="str">
        <f>"FES1162631911"</f>
        <v>FES1162631911</v>
      </c>
      <c r="D2483" s="10" t="s">
        <v>19</v>
      </c>
      <c r="E2483" s="10" t="s">
        <v>586</v>
      </c>
      <c r="F2483" s="10" t="str">
        <f>"2170638732 "</f>
        <v xml:space="preserve">2170638732 </v>
      </c>
      <c r="G2483" s="10" t="str">
        <f t="shared" si="68"/>
        <v>ON1</v>
      </c>
      <c r="H2483" s="10" t="s">
        <v>21</v>
      </c>
      <c r="I2483" s="10" t="s">
        <v>237</v>
      </c>
      <c r="J2483" s="10" t="str">
        <f>""</f>
        <v/>
      </c>
      <c r="K2483" s="10" t="str">
        <f>"PFES1162631911_0001"</f>
        <v>PFES1162631911_0001</v>
      </c>
      <c r="L2483" s="10">
        <v>1</v>
      </c>
      <c r="M2483" s="10">
        <v>1</v>
      </c>
    </row>
    <row r="2484" spans="1:13">
      <c r="A2484" s="8">
        <v>43278</v>
      </c>
      <c r="B2484" s="9">
        <v>0.52777777777777779</v>
      </c>
      <c r="C2484" s="10" t="str">
        <f>"FES1162631957"</f>
        <v>FES1162631957</v>
      </c>
      <c r="D2484" s="10" t="s">
        <v>19</v>
      </c>
      <c r="E2484" s="10" t="s">
        <v>522</v>
      </c>
      <c r="F2484" s="10" t="str">
        <f>"2170635096 "</f>
        <v xml:space="preserve">2170635096 </v>
      </c>
      <c r="G2484" s="10" t="str">
        <f t="shared" si="68"/>
        <v>ON1</v>
      </c>
      <c r="H2484" s="10" t="s">
        <v>21</v>
      </c>
      <c r="I2484" s="10" t="s">
        <v>30</v>
      </c>
      <c r="J2484" s="10" t="str">
        <f>""</f>
        <v/>
      </c>
      <c r="K2484" s="10" t="str">
        <f>"PFES1162631957_0001"</f>
        <v>PFES1162631957_0001</v>
      </c>
      <c r="L2484" s="10">
        <v>1</v>
      </c>
      <c r="M2484" s="10">
        <v>3</v>
      </c>
    </row>
    <row r="2485" spans="1:13">
      <c r="A2485" s="8">
        <v>43278</v>
      </c>
      <c r="B2485" s="9">
        <v>0.52708333333333335</v>
      </c>
      <c r="C2485" s="10" t="str">
        <f>"FES1162631944"</f>
        <v>FES1162631944</v>
      </c>
      <c r="D2485" s="10" t="s">
        <v>19</v>
      </c>
      <c r="E2485" s="10" t="s">
        <v>684</v>
      </c>
      <c r="F2485" s="10" t="str">
        <f>"2170638783 "</f>
        <v xml:space="preserve">2170638783 </v>
      </c>
      <c r="G2485" s="10" t="str">
        <f t="shared" si="68"/>
        <v>ON1</v>
      </c>
      <c r="H2485" s="10" t="s">
        <v>21</v>
      </c>
      <c r="I2485" s="10" t="s">
        <v>382</v>
      </c>
      <c r="J2485" s="10" t="str">
        <f>""</f>
        <v/>
      </c>
      <c r="K2485" s="10" t="str">
        <f>"PFES1162631944_0001"</f>
        <v>PFES1162631944_0001</v>
      </c>
      <c r="L2485" s="10">
        <v>1</v>
      </c>
      <c r="M2485" s="10">
        <v>1</v>
      </c>
    </row>
    <row r="2486" spans="1:13">
      <c r="A2486" s="8">
        <v>43278</v>
      </c>
      <c r="B2486" s="9">
        <v>0.52708333333333335</v>
      </c>
      <c r="C2486" s="10" t="str">
        <f>"FES1162631927"</f>
        <v>FES1162631927</v>
      </c>
      <c r="D2486" s="10" t="s">
        <v>19</v>
      </c>
      <c r="E2486" s="10" t="s">
        <v>286</v>
      </c>
      <c r="F2486" s="10" t="str">
        <f>"2170638761 "</f>
        <v xml:space="preserve">2170638761 </v>
      </c>
      <c r="G2486" s="10" t="str">
        <f t="shared" si="68"/>
        <v>ON1</v>
      </c>
      <c r="H2486" s="10" t="s">
        <v>21</v>
      </c>
      <c r="I2486" s="10" t="s">
        <v>79</v>
      </c>
      <c r="J2486" s="10" t="str">
        <f>""</f>
        <v/>
      </c>
      <c r="K2486" s="10" t="str">
        <f>"PFES1162631927_0001"</f>
        <v>PFES1162631927_0001</v>
      </c>
      <c r="L2486" s="10">
        <v>1</v>
      </c>
      <c r="M2486" s="10">
        <v>1</v>
      </c>
    </row>
    <row r="2487" spans="1:13">
      <c r="A2487" s="8">
        <v>43278</v>
      </c>
      <c r="B2487" s="9">
        <v>0.52708333333333335</v>
      </c>
      <c r="C2487" s="10" t="str">
        <f>"FES1162631970"</f>
        <v>FES1162631970</v>
      </c>
      <c r="D2487" s="10" t="s">
        <v>19</v>
      </c>
      <c r="E2487" s="10" t="s">
        <v>184</v>
      </c>
      <c r="F2487" s="10" t="str">
        <f>"2170632377 "</f>
        <v xml:space="preserve">2170632377 </v>
      </c>
      <c r="G2487" s="10" t="str">
        <f t="shared" si="68"/>
        <v>ON1</v>
      </c>
      <c r="H2487" s="10" t="s">
        <v>21</v>
      </c>
      <c r="I2487" s="10" t="s">
        <v>134</v>
      </c>
      <c r="J2487" s="10" t="str">
        <f>""</f>
        <v/>
      </c>
      <c r="K2487" s="10" t="str">
        <f>"PFES1162631970_0001"</f>
        <v>PFES1162631970_0001</v>
      </c>
      <c r="L2487" s="10">
        <v>1</v>
      </c>
      <c r="M2487" s="10">
        <v>2</v>
      </c>
    </row>
    <row r="2488" spans="1:13">
      <c r="A2488" s="8">
        <v>43278</v>
      </c>
      <c r="B2488" s="9">
        <v>0.52638888888888891</v>
      </c>
      <c r="C2488" s="10" t="str">
        <f>"FES1162631926"</f>
        <v>FES1162631926</v>
      </c>
      <c r="D2488" s="10" t="s">
        <v>19</v>
      </c>
      <c r="E2488" s="10" t="s">
        <v>286</v>
      </c>
      <c r="F2488" s="10" t="str">
        <f>"2170638760 "</f>
        <v xml:space="preserve">2170638760 </v>
      </c>
      <c r="G2488" s="10" t="str">
        <f t="shared" si="68"/>
        <v>ON1</v>
      </c>
      <c r="H2488" s="10" t="s">
        <v>21</v>
      </c>
      <c r="I2488" s="10" t="s">
        <v>79</v>
      </c>
      <c r="J2488" s="10" t="str">
        <f>""</f>
        <v/>
      </c>
      <c r="K2488" s="10" t="str">
        <f>"PFES1162631926_0001"</f>
        <v>PFES1162631926_0001</v>
      </c>
      <c r="L2488" s="10">
        <v>1</v>
      </c>
      <c r="M2488" s="10">
        <v>1</v>
      </c>
    </row>
    <row r="2489" spans="1:13">
      <c r="A2489" s="8">
        <v>43278</v>
      </c>
      <c r="B2489" s="9">
        <v>0.52638888888888891</v>
      </c>
      <c r="C2489" s="10" t="str">
        <f>"FES1162631980"</f>
        <v>FES1162631980</v>
      </c>
      <c r="D2489" s="10" t="s">
        <v>19</v>
      </c>
      <c r="E2489" s="10" t="s">
        <v>539</v>
      </c>
      <c r="F2489" s="10" t="str">
        <f>"2170638806 "</f>
        <v xml:space="preserve">2170638806 </v>
      </c>
      <c r="G2489" s="10" t="str">
        <f t="shared" si="68"/>
        <v>ON1</v>
      </c>
      <c r="H2489" s="10" t="s">
        <v>21</v>
      </c>
      <c r="I2489" s="10" t="s">
        <v>96</v>
      </c>
      <c r="J2489" s="10" t="str">
        <f>""</f>
        <v/>
      </c>
      <c r="K2489" s="10" t="str">
        <f>"PFES1162631980_0001"</f>
        <v>PFES1162631980_0001</v>
      </c>
      <c r="L2489" s="10">
        <v>1</v>
      </c>
      <c r="M2489" s="10">
        <v>1</v>
      </c>
    </row>
    <row r="2490" spans="1:13">
      <c r="A2490" s="8">
        <v>43278</v>
      </c>
      <c r="B2490" s="9">
        <v>0.52638888888888891</v>
      </c>
      <c r="C2490" s="10" t="str">
        <f>"FES1162631958"</f>
        <v>FES1162631958</v>
      </c>
      <c r="D2490" s="10" t="s">
        <v>19</v>
      </c>
      <c r="E2490" s="10" t="s">
        <v>522</v>
      </c>
      <c r="F2490" s="10" t="str">
        <f>"2170635182 "</f>
        <v xml:space="preserve">2170635182 </v>
      </c>
      <c r="G2490" s="10" t="str">
        <f t="shared" si="68"/>
        <v>ON1</v>
      </c>
      <c r="H2490" s="10" t="s">
        <v>21</v>
      </c>
      <c r="I2490" s="10" t="s">
        <v>30</v>
      </c>
      <c r="J2490" s="10" t="str">
        <f>""</f>
        <v/>
      </c>
      <c r="K2490" s="10" t="str">
        <f>"PFES1162631958_0001"</f>
        <v>PFES1162631958_0001</v>
      </c>
      <c r="L2490" s="10">
        <v>1</v>
      </c>
      <c r="M2490" s="10">
        <v>4</v>
      </c>
    </row>
    <row r="2491" spans="1:13">
      <c r="A2491" s="8">
        <v>43278</v>
      </c>
      <c r="B2491" s="9">
        <v>0.52638888888888891</v>
      </c>
      <c r="C2491" s="10" t="str">
        <f>"FES1162631982"</f>
        <v>FES1162631982</v>
      </c>
      <c r="D2491" s="10" t="s">
        <v>19</v>
      </c>
      <c r="E2491" s="10" t="s">
        <v>64</v>
      </c>
      <c r="F2491" s="10" t="str">
        <f>"2170638808 "</f>
        <v xml:space="preserve">2170638808 </v>
      </c>
      <c r="G2491" s="10" t="str">
        <f t="shared" si="68"/>
        <v>ON1</v>
      </c>
      <c r="H2491" s="10" t="s">
        <v>21</v>
      </c>
      <c r="I2491" s="10" t="s">
        <v>40</v>
      </c>
      <c r="J2491" s="10" t="str">
        <f>""</f>
        <v/>
      </c>
      <c r="K2491" s="10" t="str">
        <f>"PFES1162631982_0001"</f>
        <v>PFES1162631982_0001</v>
      </c>
      <c r="L2491" s="10">
        <v>1</v>
      </c>
      <c r="M2491" s="10">
        <v>1</v>
      </c>
    </row>
    <row r="2492" spans="1:13">
      <c r="A2492" s="8">
        <v>43278</v>
      </c>
      <c r="B2492" s="9">
        <v>0.52569444444444446</v>
      </c>
      <c r="C2492" s="10" t="str">
        <f>"FES1162631975"</f>
        <v>FES1162631975</v>
      </c>
      <c r="D2492" s="10" t="s">
        <v>19</v>
      </c>
      <c r="E2492" s="10" t="s">
        <v>652</v>
      </c>
      <c r="F2492" s="10" t="str">
        <f>"2170638799 "</f>
        <v xml:space="preserve">2170638799 </v>
      </c>
      <c r="G2492" s="10" t="str">
        <f t="shared" si="68"/>
        <v>ON1</v>
      </c>
      <c r="H2492" s="10" t="s">
        <v>21</v>
      </c>
      <c r="I2492" s="10" t="s">
        <v>653</v>
      </c>
      <c r="J2492" s="10" t="str">
        <f>""</f>
        <v/>
      </c>
      <c r="K2492" s="10" t="str">
        <f>"PFES1162631975_0001"</f>
        <v>PFES1162631975_0001</v>
      </c>
      <c r="L2492" s="10">
        <v>1</v>
      </c>
      <c r="M2492" s="10">
        <v>1</v>
      </c>
    </row>
    <row r="2493" spans="1:13">
      <c r="A2493" s="8">
        <v>43278</v>
      </c>
      <c r="B2493" s="9">
        <v>0.52569444444444446</v>
      </c>
      <c r="C2493" s="10" t="str">
        <f>"FES1162631965"</f>
        <v>FES1162631965</v>
      </c>
      <c r="D2493" s="10" t="s">
        <v>19</v>
      </c>
      <c r="E2493" s="10" t="s">
        <v>27</v>
      </c>
      <c r="F2493" s="10" t="str">
        <f>"2170638797 "</f>
        <v xml:space="preserve">2170638797 </v>
      </c>
      <c r="G2493" s="10" t="str">
        <f t="shared" si="68"/>
        <v>ON1</v>
      </c>
      <c r="H2493" s="10" t="s">
        <v>21</v>
      </c>
      <c r="I2493" s="10" t="s">
        <v>28</v>
      </c>
      <c r="J2493" s="10" t="str">
        <f>""</f>
        <v/>
      </c>
      <c r="K2493" s="10" t="str">
        <f>"PFES1162631965_0001"</f>
        <v>PFES1162631965_0001</v>
      </c>
      <c r="L2493" s="10">
        <v>1</v>
      </c>
      <c r="M2493" s="10">
        <v>1</v>
      </c>
    </row>
    <row r="2494" spans="1:13">
      <c r="A2494" s="8">
        <v>43278</v>
      </c>
      <c r="B2494" s="9">
        <v>0.52569444444444446</v>
      </c>
      <c r="C2494" s="10" t="str">
        <f>"FES1162631963"</f>
        <v>FES1162631963</v>
      </c>
      <c r="D2494" s="10" t="s">
        <v>19</v>
      </c>
      <c r="E2494" s="10" t="s">
        <v>488</v>
      </c>
      <c r="F2494" s="10" t="str">
        <f>"2170636386 "</f>
        <v xml:space="preserve">2170636386 </v>
      </c>
      <c r="G2494" s="10" t="str">
        <f t="shared" si="68"/>
        <v>ON1</v>
      </c>
      <c r="H2494" s="10" t="s">
        <v>21</v>
      </c>
      <c r="I2494" s="10" t="s">
        <v>207</v>
      </c>
      <c r="J2494" s="10" t="str">
        <f>""</f>
        <v/>
      </c>
      <c r="K2494" s="10" t="str">
        <f>"PFES1162631963_0001"</f>
        <v>PFES1162631963_0001</v>
      </c>
      <c r="L2494" s="10">
        <v>1</v>
      </c>
      <c r="M2494" s="10">
        <v>4</v>
      </c>
    </row>
    <row r="2495" spans="1:13">
      <c r="A2495" s="8">
        <v>43278</v>
      </c>
      <c r="B2495" s="9">
        <v>0.52569444444444446</v>
      </c>
      <c r="C2495" s="10" t="str">
        <f>"FES1162631945"</f>
        <v>FES1162631945</v>
      </c>
      <c r="D2495" s="10" t="s">
        <v>19</v>
      </c>
      <c r="E2495" s="10" t="s">
        <v>1021</v>
      </c>
      <c r="F2495" s="10" t="str">
        <f>"2170638784 "</f>
        <v xml:space="preserve">2170638784 </v>
      </c>
      <c r="G2495" s="10" t="str">
        <f t="shared" si="68"/>
        <v>ON1</v>
      </c>
      <c r="H2495" s="10" t="s">
        <v>21</v>
      </c>
      <c r="I2495" s="10" t="s">
        <v>106</v>
      </c>
      <c r="J2495" s="10" t="str">
        <f>""</f>
        <v/>
      </c>
      <c r="K2495" s="10" t="str">
        <f>"PFES1162631945_0001"</f>
        <v>PFES1162631945_0001</v>
      </c>
      <c r="L2495" s="10">
        <v>1</v>
      </c>
      <c r="M2495" s="10">
        <v>1</v>
      </c>
    </row>
    <row r="2496" spans="1:13">
      <c r="A2496" s="8">
        <v>43278</v>
      </c>
      <c r="B2496" s="9">
        <v>0.52500000000000002</v>
      </c>
      <c r="C2496" s="10" t="str">
        <f>"FES1162631932"</f>
        <v>FES1162631932</v>
      </c>
      <c r="D2496" s="10" t="s">
        <v>19</v>
      </c>
      <c r="E2496" s="10" t="s">
        <v>631</v>
      </c>
      <c r="F2496" s="10" t="str">
        <f>"2170638770 "</f>
        <v xml:space="preserve">2170638770 </v>
      </c>
      <c r="G2496" s="10" t="str">
        <f t="shared" si="68"/>
        <v>ON1</v>
      </c>
      <c r="H2496" s="10" t="s">
        <v>21</v>
      </c>
      <c r="I2496" s="10" t="s">
        <v>260</v>
      </c>
      <c r="J2496" s="10" t="str">
        <f>""</f>
        <v/>
      </c>
      <c r="K2496" s="10" t="str">
        <f>"PFES1162631932_0001"</f>
        <v>PFES1162631932_0001</v>
      </c>
      <c r="L2496" s="10">
        <v>1</v>
      </c>
      <c r="M2496" s="10">
        <v>1</v>
      </c>
    </row>
    <row r="2497" spans="1:13">
      <c r="A2497" s="8">
        <v>43278</v>
      </c>
      <c r="B2497" s="9">
        <v>0.52500000000000002</v>
      </c>
      <c r="C2497" s="10" t="str">
        <f>"FES1162631973"</f>
        <v>FES1162631973</v>
      </c>
      <c r="D2497" s="10" t="s">
        <v>19</v>
      </c>
      <c r="E2497" s="10" t="s">
        <v>123</v>
      </c>
      <c r="F2497" s="10" t="str">
        <f>"2170638717 "</f>
        <v xml:space="preserve">2170638717 </v>
      </c>
      <c r="G2497" s="10" t="str">
        <f t="shared" si="68"/>
        <v>ON1</v>
      </c>
      <c r="H2497" s="10" t="s">
        <v>21</v>
      </c>
      <c r="I2497" s="10" t="s">
        <v>51</v>
      </c>
      <c r="J2497" s="10" t="str">
        <f>""</f>
        <v/>
      </c>
      <c r="K2497" s="10" t="str">
        <f>"PFES1162631973_0001"</f>
        <v>PFES1162631973_0001</v>
      </c>
      <c r="L2497" s="10">
        <v>1</v>
      </c>
      <c r="M2497" s="10">
        <v>1</v>
      </c>
    </row>
    <row r="2498" spans="1:13">
      <c r="A2498" s="8">
        <v>43278</v>
      </c>
      <c r="B2498" s="9">
        <v>0.52430555555555558</v>
      </c>
      <c r="C2498" s="10" t="str">
        <f>"FES1162631972"</f>
        <v>FES1162631972</v>
      </c>
      <c r="D2498" s="10" t="s">
        <v>19</v>
      </c>
      <c r="E2498" s="10" t="s">
        <v>1022</v>
      </c>
      <c r="F2498" s="10" t="str">
        <f>"2170638693 "</f>
        <v xml:space="preserve">2170638693 </v>
      </c>
      <c r="G2498" s="10" t="str">
        <f t="shared" si="68"/>
        <v>ON1</v>
      </c>
      <c r="H2498" s="10" t="s">
        <v>21</v>
      </c>
      <c r="I2498" s="10" t="s">
        <v>265</v>
      </c>
      <c r="J2498" s="10" t="str">
        <f>""</f>
        <v/>
      </c>
      <c r="K2498" s="10" t="str">
        <f>"PFES1162631972_0001"</f>
        <v>PFES1162631972_0001</v>
      </c>
      <c r="L2498" s="10">
        <v>1</v>
      </c>
      <c r="M2498" s="10">
        <v>1</v>
      </c>
    </row>
    <row r="2499" spans="1:13">
      <c r="A2499" s="8">
        <v>43278</v>
      </c>
      <c r="B2499" s="9">
        <v>0.52430555555555558</v>
      </c>
      <c r="C2499" s="10" t="str">
        <f>"FES1162631914"</f>
        <v>FES1162631914</v>
      </c>
      <c r="D2499" s="10" t="s">
        <v>19</v>
      </c>
      <c r="E2499" s="10" t="s">
        <v>259</v>
      </c>
      <c r="F2499" s="10" t="str">
        <f>"2170638738 "</f>
        <v xml:space="preserve">2170638738 </v>
      </c>
      <c r="G2499" s="10" t="str">
        <f t="shared" si="68"/>
        <v>ON1</v>
      </c>
      <c r="H2499" s="10" t="s">
        <v>21</v>
      </c>
      <c r="I2499" s="10" t="s">
        <v>260</v>
      </c>
      <c r="J2499" s="10" t="str">
        <f>""</f>
        <v/>
      </c>
      <c r="K2499" s="10" t="str">
        <f>"PFES1162631914_0001"</f>
        <v>PFES1162631914_0001</v>
      </c>
      <c r="L2499" s="10">
        <v>1</v>
      </c>
      <c r="M2499" s="10">
        <v>8</v>
      </c>
    </row>
    <row r="2500" spans="1:13">
      <c r="A2500" s="8">
        <v>43278</v>
      </c>
      <c r="B2500" s="9">
        <v>0.5229166666666667</v>
      </c>
      <c r="C2500" s="10" t="str">
        <f>"FES1162631978"</f>
        <v>FES1162631978</v>
      </c>
      <c r="D2500" s="10" t="s">
        <v>19</v>
      </c>
      <c r="E2500" s="10" t="s">
        <v>235</v>
      </c>
      <c r="F2500" s="10" t="str">
        <f>"2170638802 "</f>
        <v xml:space="preserve">2170638802 </v>
      </c>
      <c r="G2500" s="10" t="str">
        <f t="shared" si="68"/>
        <v>ON1</v>
      </c>
      <c r="H2500" s="10" t="s">
        <v>21</v>
      </c>
      <c r="I2500" s="10" t="s">
        <v>415</v>
      </c>
      <c r="J2500" s="10" t="str">
        <f>""</f>
        <v/>
      </c>
      <c r="K2500" s="10" t="str">
        <f>"PFES1162631978_0001"</f>
        <v>PFES1162631978_0001</v>
      </c>
      <c r="L2500" s="10">
        <v>1</v>
      </c>
      <c r="M2500" s="10">
        <v>1</v>
      </c>
    </row>
    <row r="2501" spans="1:13">
      <c r="A2501" s="8">
        <v>43278</v>
      </c>
      <c r="B2501" s="9">
        <v>0.5229166666666667</v>
      </c>
      <c r="C2501" s="10" t="str">
        <f>"FES1162631877"</f>
        <v>FES1162631877</v>
      </c>
      <c r="D2501" s="10" t="s">
        <v>19</v>
      </c>
      <c r="E2501" s="10" t="s">
        <v>58</v>
      </c>
      <c r="F2501" s="10" t="str">
        <f>"21706387691 "</f>
        <v xml:space="preserve">21706387691 </v>
      </c>
      <c r="G2501" s="10" t="str">
        <f t="shared" si="68"/>
        <v>ON1</v>
      </c>
      <c r="H2501" s="10" t="s">
        <v>21</v>
      </c>
      <c r="I2501" s="10" t="s">
        <v>59</v>
      </c>
      <c r="J2501" s="10" t="str">
        <f>""</f>
        <v/>
      </c>
      <c r="K2501" s="10" t="str">
        <f>"PFES1162631877_0001"</f>
        <v>PFES1162631877_0001</v>
      </c>
      <c r="L2501" s="10">
        <v>1</v>
      </c>
      <c r="M2501" s="10">
        <v>1</v>
      </c>
    </row>
    <row r="2502" spans="1:13">
      <c r="A2502" s="8">
        <v>43278</v>
      </c>
      <c r="B2502" s="9">
        <v>0.5229166666666667</v>
      </c>
      <c r="C2502" s="10" t="str">
        <f>"FES1162631966"</f>
        <v>FES1162631966</v>
      </c>
      <c r="D2502" s="10" t="s">
        <v>19</v>
      </c>
      <c r="E2502" s="10" t="s">
        <v>117</v>
      </c>
      <c r="F2502" s="10" t="str">
        <f>"2170638798 "</f>
        <v xml:space="preserve">2170638798 </v>
      </c>
      <c r="G2502" s="10" t="str">
        <f t="shared" si="68"/>
        <v>ON1</v>
      </c>
      <c r="H2502" s="10" t="s">
        <v>21</v>
      </c>
      <c r="I2502" s="10" t="s">
        <v>118</v>
      </c>
      <c r="J2502" s="10" t="str">
        <f>""</f>
        <v/>
      </c>
      <c r="K2502" s="10" t="str">
        <f>"PFES1162631966_0001"</f>
        <v>PFES1162631966_0001</v>
      </c>
      <c r="L2502" s="10">
        <v>1</v>
      </c>
      <c r="M2502" s="10">
        <v>18</v>
      </c>
    </row>
    <row r="2503" spans="1:13">
      <c r="A2503" s="8">
        <v>43278</v>
      </c>
      <c r="B2503" s="9">
        <v>0.52222222222222225</v>
      </c>
      <c r="C2503" s="10" t="str">
        <f>"FES1162631895"</f>
        <v>FES1162631895</v>
      </c>
      <c r="D2503" s="10" t="s">
        <v>19</v>
      </c>
      <c r="E2503" s="10" t="s">
        <v>337</v>
      </c>
      <c r="F2503" s="10" t="str">
        <f>"2170638718 "</f>
        <v xml:space="preserve">2170638718 </v>
      </c>
      <c r="G2503" s="10" t="str">
        <f t="shared" si="68"/>
        <v>ON1</v>
      </c>
      <c r="H2503" s="10" t="s">
        <v>21</v>
      </c>
      <c r="I2503" s="10" t="s">
        <v>290</v>
      </c>
      <c r="J2503" s="10" t="str">
        <f>""</f>
        <v/>
      </c>
      <c r="K2503" s="10" t="str">
        <f>"PFES1162631895_0001"</f>
        <v>PFES1162631895_0001</v>
      </c>
      <c r="L2503" s="10">
        <v>1</v>
      </c>
      <c r="M2503" s="10">
        <v>1</v>
      </c>
    </row>
    <row r="2504" spans="1:13">
      <c r="A2504" s="8">
        <v>43278</v>
      </c>
      <c r="B2504" s="9">
        <v>0.52222222222222225</v>
      </c>
      <c r="C2504" s="10" t="str">
        <f>"FES1162631888"</f>
        <v>FES1162631888</v>
      </c>
      <c r="D2504" s="10" t="s">
        <v>19</v>
      </c>
      <c r="E2504" s="10" t="s">
        <v>155</v>
      </c>
      <c r="F2504" s="10" t="str">
        <f>"2170638710 "</f>
        <v xml:space="preserve">2170638710 </v>
      </c>
      <c r="G2504" s="10" t="str">
        <f t="shared" si="68"/>
        <v>ON1</v>
      </c>
      <c r="H2504" s="10" t="s">
        <v>21</v>
      </c>
      <c r="I2504" s="10" t="s">
        <v>156</v>
      </c>
      <c r="J2504" s="10" t="str">
        <f>""</f>
        <v/>
      </c>
      <c r="K2504" s="10" t="str">
        <f>"PFES1162631888_0001"</f>
        <v>PFES1162631888_0001</v>
      </c>
      <c r="L2504" s="10">
        <v>1</v>
      </c>
      <c r="M2504" s="10">
        <v>1</v>
      </c>
    </row>
    <row r="2505" spans="1:13">
      <c r="A2505" s="8">
        <v>43278</v>
      </c>
      <c r="B2505" s="9">
        <v>0.52222222222222225</v>
      </c>
      <c r="C2505" s="10" t="str">
        <f>"FES1162631990"</f>
        <v>FES1162631990</v>
      </c>
      <c r="D2505" s="10" t="s">
        <v>19</v>
      </c>
      <c r="E2505" s="10" t="s">
        <v>95</v>
      </c>
      <c r="F2505" s="10" t="str">
        <f>"2170638817 "</f>
        <v xml:space="preserve">2170638817 </v>
      </c>
      <c r="G2505" s="10" t="str">
        <f t="shared" si="68"/>
        <v>ON1</v>
      </c>
      <c r="H2505" s="10" t="s">
        <v>21</v>
      </c>
      <c r="I2505" s="10" t="s">
        <v>96</v>
      </c>
      <c r="J2505" s="10" t="str">
        <f>""</f>
        <v/>
      </c>
      <c r="K2505" s="10" t="str">
        <f>"PFES1162631990_0001"</f>
        <v>PFES1162631990_0001</v>
      </c>
      <c r="L2505" s="10">
        <v>1</v>
      </c>
      <c r="M2505" s="10">
        <v>1</v>
      </c>
    </row>
    <row r="2506" spans="1:13">
      <c r="A2506" s="8">
        <v>43278</v>
      </c>
      <c r="B2506" s="9">
        <v>0.52083333333333337</v>
      </c>
      <c r="C2506" s="10" t="str">
        <f>"FES1162631989"</f>
        <v>FES1162631989</v>
      </c>
      <c r="D2506" s="10" t="s">
        <v>19</v>
      </c>
      <c r="E2506" s="10" t="s">
        <v>1023</v>
      </c>
      <c r="F2506" s="10" t="str">
        <f>"2170638813 "</f>
        <v xml:space="preserve">2170638813 </v>
      </c>
      <c r="G2506" s="10" t="str">
        <f t="shared" si="68"/>
        <v>ON1</v>
      </c>
      <c r="H2506" s="10" t="s">
        <v>21</v>
      </c>
      <c r="I2506" s="10" t="s">
        <v>148</v>
      </c>
      <c r="J2506" s="10" t="str">
        <f>""</f>
        <v/>
      </c>
      <c r="K2506" s="10" t="str">
        <f>"PFES1162631989_0001"</f>
        <v>PFES1162631989_0001</v>
      </c>
      <c r="L2506" s="10">
        <v>1</v>
      </c>
      <c r="M2506" s="10">
        <v>1</v>
      </c>
    </row>
    <row r="2507" spans="1:13">
      <c r="A2507" s="8">
        <v>43278</v>
      </c>
      <c r="B2507" s="9">
        <v>0.52013888888888882</v>
      </c>
      <c r="C2507" s="10" t="str">
        <f>"FES1162631923"</f>
        <v>FES1162631923</v>
      </c>
      <c r="D2507" s="10" t="s">
        <v>19</v>
      </c>
      <c r="E2507" s="10" t="s">
        <v>263</v>
      </c>
      <c r="F2507" s="10" t="str">
        <f>"2170637910 "</f>
        <v xml:space="preserve">2170637910 </v>
      </c>
      <c r="G2507" s="10" t="str">
        <f t="shared" si="68"/>
        <v>ON1</v>
      </c>
      <c r="H2507" s="10" t="s">
        <v>21</v>
      </c>
      <c r="I2507" s="10" t="s">
        <v>230</v>
      </c>
      <c r="J2507" s="10" t="str">
        <f>""</f>
        <v/>
      </c>
      <c r="K2507" s="10" t="str">
        <f>"PFES1162631923_0001"</f>
        <v>PFES1162631923_0001</v>
      </c>
      <c r="L2507" s="10">
        <v>1</v>
      </c>
      <c r="M2507" s="10">
        <v>3</v>
      </c>
    </row>
    <row r="2508" spans="1:13">
      <c r="A2508" s="8">
        <v>43278</v>
      </c>
      <c r="B2508" s="9">
        <v>0.51944444444444449</v>
      </c>
      <c r="C2508" s="10" t="str">
        <f>"FES1162631955"</f>
        <v>FES1162631955</v>
      </c>
      <c r="D2508" s="10" t="s">
        <v>19</v>
      </c>
      <c r="E2508" s="10" t="s">
        <v>883</v>
      </c>
      <c r="F2508" s="10" t="str">
        <f>"2170627606 "</f>
        <v xml:space="preserve">2170627606 </v>
      </c>
      <c r="G2508" s="10" t="str">
        <f t="shared" si="68"/>
        <v>ON1</v>
      </c>
      <c r="H2508" s="10" t="s">
        <v>21</v>
      </c>
      <c r="I2508" s="10" t="s">
        <v>146</v>
      </c>
      <c r="J2508" s="10" t="str">
        <f>""</f>
        <v/>
      </c>
      <c r="K2508" s="10" t="str">
        <f>"PFES1162631955_0001"</f>
        <v>PFES1162631955_0001</v>
      </c>
      <c r="L2508" s="10">
        <v>1</v>
      </c>
      <c r="M2508" s="10">
        <v>9</v>
      </c>
    </row>
    <row r="2509" spans="1:13">
      <c r="A2509" s="8">
        <v>43278</v>
      </c>
      <c r="B2509" s="9">
        <v>0.51736111111111105</v>
      </c>
      <c r="C2509" s="10" t="str">
        <f>"FES1162631925"</f>
        <v>FES1162631925</v>
      </c>
      <c r="D2509" s="10" t="s">
        <v>19</v>
      </c>
      <c r="E2509" s="10" t="s">
        <v>341</v>
      </c>
      <c r="F2509" s="10" t="str">
        <f>"2170638581 "</f>
        <v xml:space="preserve">2170638581 </v>
      </c>
      <c r="G2509" s="10" t="str">
        <f t="shared" si="68"/>
        <v>ON1</v>
      </c>
      <c r="H2509" s="10" t="s">
        <v>21</v>
      </c>
      <c r="I2509" s="10" t="s">
        <v>342</v>
      </c>
      <c r="J2509" s="10" t="str">
        <f>""</f>
        <v/>
      </c>
      <c r="K2509" s="10" t="str">
        <f>"PFES1162631925_0001"</f>
        <v>PFES1162631925_0001</v>
      </c>
      <c r="L2509" s="10">
        <v>1</v>
      </c>
      <c r="M2509" s="10">
        <v>18</v>
      </c>
    </row>
    <row r="2510" spans="1:13">
      <c r="A2510" s="8">
        <v>43278</v>
      </c>
      <c r="B2510" s="9">
        <v>0.51597222222222217</v>
      </c>
      <c r="C2510" s="10" t="str">
        <f>"FES1162631981"</f>
        <v>FES1162631981</v>
      </c>
      <c r="D2510" s="10" t="s">
        <v>19</v>
      </c>
      <c r="E2510" s="10" t="s">
        <v>62</v>
      </c>
      <c r="F2510" s="10" t="str">
        <f>"2170638807 "</f>
        <v xml:space="preserve">2170638807 </v>
      </c>
      <c r="G2510" s="10" t="str">
        <f t="shared" si="68"/>
        <v>ON1</v>
      </c>
      <c r="H2510" s="10" t="s">
        <v>21</v>
      </c>
      <c r="I2510" s="10" t="s">
        <v>63</v>
      </c>
      <c r="J2510" s="10" t="str">
        <f>""</f>
        <v/>
      </c>
      <c r="K2510" s="10" t="str">
        <f>"PFES1162631981_0001"</f>
        <v>PFES1162631981_0001</v>
      </c>
      <c r="L2510" s="10">
        <v>1</v>
      </c>
      <c r="M2510" s="10">
        <v>3</v>
      </c>
    </row>
    <row r="2511" spans="1:13">
      <c r="A2511" s="8">
        <v>43278</v>
      </c>
      <c r="B2511" s="9">
        <v>0.51527777777777783</v>
      </c>
      <c r="C2511" s="10" t="str">
        <f>"FES1162631968"</f>
        <v>FES1162631968</v>
      </c>
      <c r="D2511" s="10" t="s">
        <v>19</v>
      </c>
      <c r="E2511" s="10" t="s">
        <v>1008</v>
      </c>
      <c r="F2511" s="10" t="str">
        <f>"2170636625 "</f>
        <v xml:space="preserve">2170636625 </v>
      </c>
      <c r="G2511" s="10" t="str">
        <f t="shared" si="68"/>
        <v>ON1</v>
      </c>
      <c r="H2511" s="10" t="s">
        <v>21</v>
      </c>
      <c r="I2511" s="10" t="s">
        <v>413</v>
      </c>
      <c r="J2511" s="10" t="str">
        <f>""</f>
        <v/>
      </c>
      <c r="K2511" s="10" t="str">
        <f>"PFES1162631968_0001"</f>
        <v>PFES1162631968_0001</v>
      </c>
      <c r="L2511" s="10">
        <v>1</v>
      </c>
      <c r="M2511" s="10">
        <v>5</v>
      </c>
    </row>
    <row r="2512" spans="1:13">
      <c r="A2512" s="8">
        <v>43278</v>
      </c>
      <c r="B2512" s="9">
        <v>0.51388888888888895</v>
      </c>
      <c r="C2512" s="10" t="str">
        <f>"FES1162631971"</f>
        <v>FES1162631971</v>
      </c>
      <c r="D2512" s="10" t="s">
        <v>19</v>
      </c>
      <c r="E2512" s="10" t="s">
        <v>67</v>
      </c>
      <c r="F2512" s="10" t="str">
        <f>"2170635703 "</f>
        <v xml:space="preserve">2170635703 </v>
      </c>
      <c r="G2512" s="10" t="str">
        <f t="shared" si="68"/>
        <v>ON1</v>
      </c>
      <c r="H2512" s="10" t="s">
        <v>21</v>
      </c>
      <c r="I2512" s="10" t="s">
        <v>397</v>
      </c>
      <c r="J2512" s="10" t="str">
        <f>""</f>
        <v/>
      </c>
      <c r="K2512" s="10" t="str">
        <f>"PFES1162631971_0001"</f>
        <v>PFES1162631971_0001</v>
      </c>
      <c r="L2512" s="10">
        <v>1</v>
      </c>
      <c r="M2512" s="10">
        <v>9</v>
      </c>
    </row>
    <row r="2513" spans="1:13">
      <c r="A2513" s="8">
        <v>43278</v>
      </c>
      <c r="B2513" s="9">
        <v>0.51180555555555551</v>
      </c>
      <c r="C2513" s="10" t="str">
        <f>"FES1162631910"</f>
        <v>FES1162631910</v>
      </c>
      <c r="D2513" s="10" t="s">
        <v>19</v>
      </c>
      <c r="E2513" s="10" t="s">
        <v>408</v>
      </c>
      <c r="F2513" s="10" t="str">
        <f>"2170638731 "</f>
        <v xml:space="preserve">2170638731 </v>
      </c>
      <c r="G2513" s="10" t="str">
        <f t="shared" si="68"/>
        <v>ON1</v>
      </c>
      <c r="H2513" s="10" t="s">
        <v>21</v>
      </c>
      <c r="I2513" s="10" t="s">
        <v>297</v>
      </c>
      <c r="J2513" s="10" t="str">
        <f>""</f>
        <v/>
      </c>
      <c r="K2513" s="10" t="str">
        <f>"PFES1162631910_0001"</f>
        <v>PFES1162631910_0001</v>
      </c>
      <c r="L2513" s="10">
        <v>1</v>
      </c>
      <c r="M2513" s="10">
        <v>4</v>
      </c>
    </row>
    <row r="2514" spans="1:13">
      <c r="A2514" s="8">
        <v>43278</v>
      </c>
      <c r="B2514" s="9">
        <v>0.50069444444444444</v>
      </c>
      <c r="C2514" s="10" t="str">
        <f>"FES1162631894"</f>
        <v>FES1162631894</v>
      </c>
      <c r="D2514" s="10" t="s">
        <v>19</v>
      </c>
      <c r="E2514" s="10" t="s">
        <v>123</v>
      </c>
      <c r="F2514" s="10" t="str">
        <f>"2170638717 "</f>
        <v xml:space="preserve">2170638717 </v>
      </c>
      <c r="G2514" s="10" t="str">
        <f t="shared" si="68"/>
        <v>ON1</v>
      </c>
      <c r="H2514" s="10" t="s">
        <v>21</v>
      </c>
      <c r="I2514" s="10" t="s">
        <v>51</v>
      </c>
      <c r="J2514" s="10" t="str">
        <f>""</f>
        <v/>
      </c>
      <c r="K2514" s="10" t="str">
        <f>"PFES1162631894_0001"</f>
        <v>PFES1162631894_0001</v>
      </c>
      <c r="L2514" s="10">
        <v>1</v>
      </c>
      <c r="M2514" s="10">
        <v>3</v>
      </c>
    </row>
    <row r="2515" spans="1:13">
      <c r="A2515" s="8">
        <v>43278</v>
      </c>
      <c r="B2515" s="9">
        <v>0.5</v>
      </c>
      <c r="C2515" s="10" t="str">
        <f>"FES1162631855"</f>
        <v>FES1162631855</v>
      </c>
      <c r="D2515" s="10" t="s">
        <v>19</v>
      </c>
      <c r="E2515" s="10" t="s">
        <v>23</v>
      </c>
      <c r="F2515" s="10" t="str">
        <f>"2170637966 "</f>
        <v xml:space="preserve">2170637966 </v>
      </c>
      <c r="G2515" s="10" t="str">
        <f t="shared" si="68"/>
        <v>ON1</v>
      </c>
      <c r="H2515" s="10" t="s">
        <v>21</v>
      </c>
      <c r="I2515" s="10" t="s">
        <v>24</v>
      </c>
      <c r="J2515" s="10" t="str">
        <f>""</f>
        <v/>
      </c>
      <c r="K2515" s="10" t="str">
        <f>"PFES1162631855_0001"</f>
        <v>PFES1162631855_0001</v>
      </c>
      <c r="L2515" s="10">
        <v>1</v>
      </c>
      <c r="M2515" s="10">
        <v>16</v>
      </c>
    </row>
    <row r="2516" spans="1:13">
      <c r="A2516" s="8">
        <v>43278</v>
      </c>
      <c r="B2516" s="9">
        <v>0.49861111111111112</v>
      </c>
      <c r="C2516" s="10" t="str">
        <f>"FES1162631577"</f>
        <v>FES1162631577</v>
      </c>
      <c r="D2516" s="10" t="s">
        <v>19</v>
      </c>
      <c r="E2516" s="10" t="s">
        <v>1024</v>
      </c>
      <c r="F2516" s="10" t="str">
        <f>"2170635630 "</f>
        <v xml:space="preserve">2170635630 </v>
      </c>
      <c r="G2516" s="10" t="str">
        <f t="shared" si="68"/>
        <v>ON1</v>
      </c>
      <c r="H2516" s="10" t="s">
        <v>21</v>
      </c>
      <c r="I2516" s="10" t="s">
        <v>40</v>
      </c>
      <c r="J2516" s="10" t="str">
        <f>""</f>
        <v/>
      </c>
      <c r="K2516" s="10" t="str">
        <f>"PFES1162631577_0001"</f>
        <v>PFES1162631577_0001</v>
      </c>
      <c r="L2516" s="10">
        <v>1</v>
      </c>
      <c r="M2516" s="10">
        <v>2</v>
      </c>
    </row>
    <row r="2517" spans="1:13">
      <c r="A2517" s="8">
        <v>43278</v>
      </c>
      <c r="B2517" s="9">
        <v>0.49583333333333335</v>
      </c>
      <c r="C2517" s="10" t="str">
        <f>"FES1162631869"</f>
        <v>FES1162631869</v>
      </c>
      <c r="D2517" s="10" t="s">
        <v>19</v>
      </c>
      <c r="E2517" s="10" t="s">
        <v>621</v>
      </c>
      <c r="F2517" s="10" t="str">
        <f>"2170637201 "</f>
        <v xml:space="preserve">2170637201 </v>
      </c>
      <c r="G2517" s="10" t="str">
        <f t="shared" si="68"/>
        <v>ON1</v>
      </c>
      <c r="H2517" s="10" t="s">
        <v>21</v>
      </c>
      <c r="I2517" s="10" t="s">
        <v>622</v>
      </c>
      <c r="J2517" s="10" t="str">
        <f>""</f>
        <v/>
      </c>
      <c r="K2517" s="10" t="str">
        <f>"PFES1162631869_0001"</f>
        <v>PFES1162631869_0001</v>
      </c>
      <c r="L2517" s="10">
        <v>1</v>
      </c>
      <c r="M2517" s="10">
        <v>2</v>
      </c>
    </row>
    <row r="2518" spans="1:13">
      <c r="A2518" s="8">
        <v>43278</v>
      </c>
      <c r="B2518" s="9">
        <v>0.49513888888888885</v>
      </c>
      <c r="C2518" s="10" t="str">
        <f>"FES1162631763"</f>
        <v>FES1162631763</v>
      </c>
      <c r="D2518" s="10" t="s">
        <v>19</v>
      </c>
      <c r="E2518" s="10" t="s">
        <v>456</v>
      </c>
      <c r="F2518" s="10" t="str">
        <f>"2170638511 "</f>
        <v xml:space="preserve">2170638511 </v>
      </c>
      <c r="G2518" s="10" t="str">
        <f t="shared" si="68"/>
        <v>ON1</v>
      </c>
      <c r="H2518" s="10" t="s">
        <v>21</v>
      </c>
      <c r="I2518" s="10" t="s">
        <v>36</v>
      </c>
      <c r="J2518" s="10" t="str">
        <f>""</f>
        <v/>
      </c>
      <c r="K2518" s="10" t="str">
        <f>"PFES1162631763_0001"</f>
        <v>PFES1162631763_0001</v>
      </c>
      <c r="L2518" s="10">
        <v>1</v>
      </c>
      <c r="M2518" s="10">
        <v>4</v>
      </c>
    </row>
    <row r="2519" spans="1:13">
      <c r="A2519" s="8">
        <v>43278</v>
      </c>
      <c r="B2519" s="9">
        <v>0.49444444444444446</v>
      </c>
      <c r="C2519" s="10" t="str">
        <f>"FES1162631873"</f>
        <v>FES1162631873</v>
      </c>
      <c r="D2519" s="10" t="s">
        <v>19</v>
      </c>
      <c r="E2519" s="10" t="s">
        <v>171</v>
      </c>
      <c r="F2519" s="10" t="str">
        <f>"2170637766 "</f>
        <v xml:space="preserve">2170637766 </v>
      </c>
      <c r="G2519" s="10" t="str">
        <f t="shared" si="68"/>
        <v>ON1</v>
      </c>
      <c r="H2519" s="10" t="s">
        <v>21</v>
      </c>
      <c r="I2519" s="10" t="s">
        <v>172</v>
      </c>
      <c r="J2519" s="10" t="str">
        <f>""</f>
        <v/>
      </c>
      <c r="K2519" s="10" t="str">
        <f>"PFES1162631873_0001"</f>
        <v>PFES1162631873_0001</v>
      </c>
      <c r="L2519" s="10">
        <v>1</v>
      </c>
      <c r="M2519" s="10">
        <v>1</v>
      </c>
    </row>
    <row r="2520" spans="1:13">
      <c r="A2520" s="8">
        <v>43278</v>
      </c>
      <c r="B2520" s="9">
        <v>0.49374999999999997</v>
      </c>
      <c r="C2520" s="10" t="str">
        <f>"FES1162631874"</f>
        <v>FES1162631874</v>
      </c>
      <c r="D2520" s="10" t="s">
        <v>19</v>
      </c>
      <c r="E2520" s="10" t="s">
        <v>1025</v>
      </c>
      <c r="F2520" s="10" t="str">
        <f>"2170638150 "</f>
        <v xml:space="preserve">2170638150 </v>
      </c>
      <c r="G2520" s="10" t="str">
        <f t="shared" si="68"/>
        <v>ON1</v>
      </c>
      <c r="H2520" s="10" t="s">
        <v>21</v>
      </c>
      <c r="I2520" s="10" t="s">
        <v>1026</v>
      </c>
      <c r="J2520" s="10" t="str">
        <f>""</f>
        <v/>
      </c>
      <c r="K2520" s="10" t="str">
        <f>"PFES1162631874_0001"</f>
        <v>PFES1162631874_0001</v>
      </c>
      <c r="L2520" s="10">
        <v>1</v>
      </c>
      <c r="M2520" s="10">
        <v>2</v>
      </c>
    </row>
    <row r="2521" spans="1:13">
      <c r="A2521" s="8">
        <v>43278</v>
      </c>
      <c r="B2521" s="9">
        <v>0.49236111111111108</v>
      </c>
      <c r="C2521" s="10" t="str">
        <f>"FES1162631880"</f>
        <v>FES1162631880</v>
      </c>
      <c r="D2521" s="10" t="s">
        <v>19</v>
      </c>
      <c r="E2521" s="10" t="s">
        <v>259</v>
      </c>
      <c r="F2521" s="10" t="str">
        <f>"2170638696 "</f>
        <v xml:space="preserve">2170638696 </v>
      </c>
      <c r="G2521" s="10" t="str">
        <f t="shared" si="68"/>
        <v>ON1</v>
      </c>
      <c r="H2521" s="10" t="s">
        <v>21</v>
      </c>
      <c r="I2521" s="10" t="s">
        <v>260</v>
      </c>
      <c r="J2521" s="10" t="str">
        <f>""</f>
        <v/>
      </c>
      <c r="K2521" s="10" t="str">
        <f>"PFES1162631880_0001"</f>
        <v>PFES1162631880_0001</v>
      </c>
      <c r="L2521" s="10">
        <v>1</v>
      </c>
      <c r="M2521" s="10">
        <v>13</v>
      </c>
    </row>
    <row r="2522" spans="1:13">
      <c r="A2522" s="8">
        <v>43278</v>
      </c>
      <c r="B2522" s="9">
        <v>0.4909722222222222</v>
      </c>
      <c r="C2522" s="10" t="str">
        <f>"FES1162631884"</f>
        <v>FES1162631884</v>
      </c>
      <c r="D2522" s="10" t="s">
        <v>19</v>
      </c>
      <c r="E2522" s="10" t="s">
        <v>977</v>
      </c>
      <c r="F2522" s="10" t="str">
        <f>"2170638703 "</f>
        <v xml:space="preserve">2170638703 </v>
      </c>
      <c r="G2522" s="10" t="str">
        <f>"DBC"</f>
        <v>DBC</v>
      </c>
      <c r="H2522" s="10" t="s">
        <v>21</v>
      </c>
      <c r="I2522" s="10" t="s">
        <v>292</v>
      </c>
      <c r="J2522" s="10" t="str">
        <f>"FRAGILE OIL"</f>
        <v>FRAGILE OIL</v>
      </c>
      <c r="K2522" s="10" t="str">
        <f>"PFES1162631884_0001"</f>
        <v>PFES1162631884_0001</v>
      </c>
      <c r="L2522" s="10">
        <v>1</v>
      </c>
      <c r="M2522" s="10">
        <v>5</v>
      </c>
    </row>
    <row r="2523" spans="1:13">
      <c r="A2523" s="8">
        <v>43278</v>
      </c>
      <c r="B2523" s="9">
        <v>0.48958333333333331</v>
      </c>
      <c r="C2523" s="10" t="str">
        <f>"FES1162631891"</f>
        <v>FES1162631891</v>
      </c>
      <c r="D2523" s="10" t="s">
        <v>19</v>
      </c>
      <c r="E2523" s="10" t="s">
        <v>152</v>
      </c>
      <c r="F2523" s="10" t="str">
        <f>"2170638714 "</f>
        <v xml:space="preserve">2170638714 </v>
      </c>
      <c r="G2523" s="10" t="str">
        <f t="shared" ref="G2523:G2585" si="69">"ON1"</f>
        <v>ON1</v>
      </c>
      <c r="H2523" s="10" t="s">
        <v>21</v>
      </c>
      <c r="I2523" s="10" t="s">
        <v>106</v>
      </c>
      <c r="J2523" s="10" t="str">
        <f>""</f>
        <v/>
      </c>
      <c r="K2523" s="10" t="str">
        <f>"PFES1162631891_0001"</f>
        <v>PFES1162631891_0001</v>
      </c>
      <c r="L2523" s="10">
        <v>1</v>
      </c>
      <c r="M2523" s="10">
        <v>2</v>
      </c>
    </row>
    <row r="2524" spans="1:13">
      <c r="A2524" s="8">
        <v>43278</v>
      </c>
      <c r="B2524" s="9">
        <v>0.48819444444444443</v>
      </c>
      <c r="C2524" s="10" t="str">
        <f>"FES1162631834"</f>
        <v>FES1162631834</v>
      </c>
      <c r="D2524" s="10" t="s">
        <v>19</v>
      </c>
      <c r="E2524" s="10" t="s">
        <v>1027</v>
      </c>
      <c r="F2524" s="10" t="str">
        <f>"2170638639"</f>
        <v>2170638639</v>
      </c>
      <c r="G2524" s="10" t="str">
        <f t="shared" si="69"/>
        <v>ON1</v>
      </c>
      <c r="H2524" s="10" t="s">
        <v>21</v>
      </c>
      <c r="I2524" s="10" t="s">
        <v>158</v>
      </c>
      <c r="K2524" s="10" t="str">
        <f>"PFES1162631834_0001"</f>
        <v>PFES1162631834_0001</v>
      </c>
      <c r="L2524" s="10">
        <v>1</v>
      </c>
      <c r="M2524" s="10">
        <v>1</v>
      </c>
    </row>
    <row r="2525" spans="1:13">
      <c r="A2525" s="8">
        <v>43278</v>
      </c>
      <c r="B2525" s="9">
        <v>0.48194444444444445</v>
      </c>
      <c r="C2525" s="10" t="str">
        <f>"FES1162631844"</f>
        <v>FES1162631844</v>
      </c>
      <c r="D2525" s="10" t="s">
        <v>19</v>
      </c>
      <c r="E2525" s="10" t="s">
        <v>29</v>
      </c>
      <c r="F2525" s="10" t="str">
        <f>"2170638662 "</f>
        <v xml:space="preserve">2170638662 </v>
      </c>
      <c r="G2525" s="10" t="str">
        <f t="shared" si="69"/>
        <v>ON1</v>
      </c>
      <c r="H2525" s="10" t="s">
        <v>21</v>
      </c>
      <c r="I2525" s="10" t="s">
        <v>30</v>
      </c>
      <c r="J2525" s="10" t="str">
        <f>""</f>
        <v/>
      </c>
      <c r="K2525" s="10" t="str">
        <f>"PFES1162631844_0001"</f>
        <v>PFES1162631844_0001</v>
      </c>
      <c r="L2525" s="10">
        <v>1</v>
      </c>
      <c r="M2525" s="10">
        <v>5</v>
      </c>
    </row>
    <row r="2526" spans="1:13">
      <c r="A2526" s="8">
        <v>43278</v>
      </c>
      <c r="B2526" s="9">
        <v>0.48055555555555557</v>
      </c>
      <c r="C2526" s="10" t="str">
        <f>"FES1162631842"</f>
        <v>FES1162631842</v>
      </c>
      <c r="D2526" s="10" t="s">
        <v>19</v>
      </c>
      <c r="E2526" s="10" t="s">
        <v>235</v>
      </c>
      <c r="F2526" s="10" t="str">
        <f>"2170638654 "</f>
        <v xml:space="preserve">2170638654 </v>
      </c>
      <c r="G2526" s="10" t="str">
        <f t="shared" si="69"/>
        <v>ON1</v>
      </c>
      <c r="H2526" s="10" t="s">
        <v>21</v>
      </c>
      <c r="I2526" s="10" t="s">
        <v>174</v>
      </c>
      <c r="J2526" s="10" t="str">
        <f>""</f>
        <v/>
      </c>
      <c r="K2526" s="10" t="str">
        <f>"PFES1162631842_0001"</f>
        <v>PFES1162631842_0001</v>
      </c>
      <c r="L2526" s="10">
        <v>1</v>
      </c>
      <c r="M2526" s="10">
        <v>6</v>
      </c>
    </row>
    <row r="2527" spans="1:13">
      <c r="A2527" s="8">
        <v>43278</v>
      </c>
      <c r="B2527" s="9">
        <v>0.4777777777777778</v>
      </c>
      <c r="C2527" s="10" t="str">
        <f>"FES1162631853"</f>
        <v>FES1162631853</v>
      </c>
      <c r="D2527" s="10" t="s">
        <v>19</v>
      </c>
      <c r="E2527" s="10" t="s">
        <v>602</v>
      </c>
      <c r="F2527" s="10" t="str">
        <f>"2170638674 "</f>
        <v xml:space="preserve">2170638674 </v>
      </c>
      <c r="G2527" s="10" t="str">
        <f t="shared" si="69"/>
        <v>ON1</v>
      </c>
      <c r="H2527" s="10" t="s">
        <v>21</v>
      </c>
      <c r="I2527" s="10" t="s">
        <v>108</v>
      </c>
      <c r="J2527" s="10" t="str">
        <f>""</f>
        <v/>
      </c>
      <c r="K2527" s="10" t="str">
        <f>"PFES1162631853_0001"</f>
        <v>PFES1162631853_0001</v>
      </c>
      <c r="L2527" s="10">
        <v>1</v>
      </c>
      <c r="M2527" s="10">
        <v>2</v>
      </c>
    </row>
    <row r="2528" spans="1:13">
      <c r="A2528" s="8">
        <v>43278</v>
      </c>
      <c r="B2528" s="9">
        <v>0.46666666666666662</v>
      </c>
      <c r="C2528" s="10" t="str">
        <f>"FES1162631872"</f>
        <v>FES1162631872</v>
      </c>
      <c r="D2528" s="10" t="s">
        <v>19</v>
      </c>
      <c r="E2528" s="10" t="s">
        <v>843</v>
      </c>
      <c r="F2528" s="10" t="str">
        <f>"2170637611 "</f>
        <v xml:space="preserve">2170637611 </v>
      </c>
      <c r="G2528" s="10" t="str">
        <f t="shared" si="69"/>
        <v>ON1</v>
      </c>
      <c r="H2528" s="10" t="s">
        <v>21</v>
      </c>
      <c r="I2528" s="10" t="s">
        <v>702</v>
      </c>
      <c r="J2528" s="10" t="str">
        <f>""</f>
        <v/>
      </c>
      <c r="K2528" s="10" t="str">
        <f>"PFES1162631872_0001"</f>
        <v>PFES1162631872_0001</v>
      </c>
      <c r="L2528" s="10">
        <v>1</v>
      </c>
      <c r="M2528" s="10">
        <v>1</v>
      </c>
    </row>
    <row r="2529" spans="1:13">
      <c r="A2529" s="8">
        <v>43278</v>
      </c>
      <c r="B2529" s="9">
        <v>0.46666666666666662</v>
      </c>
      <c r="C2529" s="10" t="str">
        <f>"FES1162631918"</f>
        <v>FES1162631918</v>
      </c>
      <c r="D2529" s="10" t="s">
        <v>19</v>
      </c>
      <c r="E2529" s="10" t="s">
        <v>647</v>
      </c>
      <c r="F2529" s="10" t="str">
        <f>"2170638747 "</f>
        <v xml:space="preserve">2170638747 </v>
      </c>
      <c r="G2529" s="10" t="str">
        <f t="shared" si="69"/>
        <v>ON1</v>
      </c>
      <c r="H2529" s="10" t="s">
        <v>21</v>
      </c>
      <c r="I2529" s="10" t="s">
        <v>358</v>
      </c>
      <c r="J2529" s="10" t="str">
        <f>""</f>
        <v/>
      </c>
      <c r="K2529" s="10" t="str">
        <f>"PFES1162631918_0001"</f>
        <v>PFES1162631918_0001</v>
      </c>
      <c r="L2529" s="10">
        <v>1</v>
      </c>
      <c r="M2529" s="10">
        <v>1</v>
      </c>
    </row>
    <row r="2530" spans="1:13">
      <c r="A2530" s="8">
        <v>43278</v>
      </c>
      <c r="B2530" s="9">
        <v>0.46597222222222223</v>
      </c>
      <c r="C2530" s="10" t="str">
        <f>"FES1162631912"</f>
        <v>FES1162631912</v>
      </c>
      <c r="D2530" s="10" t="s">
        <v>19</v>
      </c>
      <c r="E2530" s="10" t="s">
        <v>117</v>
      </c>
      <c r="F2530" s="10" t="str">
        <f>"2170638735 "</f>
        <v xml:space="preserve">2170638735 </v>
      </c>
      <c r="G2530" s="10" t="str">
        <f t="shared" si="69"/>
        <v>ON1</v>
      </c>
      <c r="H2530" s="10" t="s">
        <v>21</v>
      </c>
      <c r="I2530" s="10" t="s">
        <v>118</v>
      </c>
      <c r="J2530" s="10" t="str">
        <f>""</f>
        <v/>
      </c>
      <c r="K2530" s="10" t="str">
        <f>"PFES1162631912_0001"</f>
        <v>PFES1162631912_0001</v>
      </c>
      <c r="L2530" s="10">
        <v>1</v>
      </c>
      <c r="M2530" s="10">
        <v>1</v>
      </c>
    </row>
    <row r="2531" spans="1:13">
      <c r="A2531" s="8">
        <v>43278</v>
      </c>
      <c r="B2531" s="9">
        <v>0.46597222222222223</v>
      </c>
      <c r="C2531" s="10" t="str">
        <f>"FES1162631906"</f>
        <v>FES1162631906</v>
      </c>
      <c r="D2531" s="10" t="s">
        <v>19</v>
      </c>
      <c r="E2531" s="10" t="s">
        <v>503</v>
      </c>
      <c r="F2531" s="10" t="str">
        <f>"2170638729 "</f>
        <v xml:space="preserve">2170638729 </v>
      </c>
      <c r="G2531" s="10" t="str">
        <f t="shared" si="69"/>
        <v>ON1</v>
      </c>
      <c r="H2531" s="10" t="s">
        <v>21</v>
      </c>
      <c r="I2531" s="10" t="s">
        <v>158</v>
      </c>
      <c r="J2531" s="10" t="str">
        <f>""</f>
        <v/>
      </c>
      <c r="K2531" s="10" t="str">
        <f>"PFES1162631906_0001"</f>
        <v>PFES1162631906_0001</v>
      </c>
      <c r="L2531" s="10">
        <v>1</v>
      </c>
      <c r="M2531" s="10">
        <v>1</v>
      </c>
    </row>
    <row r="2532" spans="1:13">
      <c r="A2532" s="8">
        <v>43278</v>
      </c>
      <c r="B2532" s="9">
        <v>0.46527777777777773</v>
      </c>
      <c r="C2532" s="10" t="str">
        <f>"FES1162631919"</f>
        <v>FES1162631919</v>
      </c>
      <c r="D2532" s="10" t="s">
        <v>19</v>
      </c>
      <c r="E2532" s="10" t="s">
        <v>216</v>
      </c>
      <c r="F2532" s="10" t="str">
        <f>"2170638750 "</f>
        <v xml:space="preserve">2170638750 </v>
      </c>
      <c r="G2532" s="10" t="str">
        <f t="shared" si="69"/>
        <v>ON1</v>
      </c>
      <c r="H2532" s="10" t="s">
        <v>21</v>
      </c>
      <c r="I2532" s="10" t="s">
        <v>110</v>
      </c>
      <c r="J2532" s="10" t="str">
        <f>""</f>
        <v/>
      </c>
      <c r="K2532" s="10" t="str">
        <f>"PFES1162631919_0001"</f>
        <v>PFES1162631919_0001</v>
      </c>
      <c r="L2532" s="10">
        <v>1</v>
      </c>
      <c r="M2532" s="10">
        <v>1</v>
      </c>
    </row>
    <row r="2533" spans="1:13">
      <c r="A2533" s="8">
        <v>43278</v>
      </c>
      <c r="B2533" s="9">
        <v>0.46319444444444446</v>
      </c>
      <c r="C2533" s="10" t="str">
        <f>"FES1162631904"</f>
        <v>FES1162631904</v>
      </c>
      <c r="D2533" s="10" t="s">
        <v>19</v>
      </c>
      <c r="E2533" s="10" t="s">
        <v>1028</v>
      </c>
      <c r="F2533" s="10" t="str">
        <f>"2170638726 "</f>
        <v xml:space="preserve">2170638726 </v>
      </c>
      <c r="G2533" s="10" t="str">
        <f t="shared" si="69"/>
        <v>ON1</v>
      </c>
      <c r="H2533" s="10" t="s">
        <v>21</v>
      </c>
      <c r="I2533" s="10" t="s">
        <v>1029</v>
      </c>
      <c r="J2533" s="10" t="str">
        <f>""</f>
        <v/>
      </c>
      <c r="K2533" s="10" t="str">
        <f>"PFES1162631904_0001"</f>
        <v>PFES1162631904_0001</v>
      </c>
      <c r="L2533" s="10">
        <v>1</v>
      </c>
      <c r="M2533" s="10">
        <v>1</v>
      </c>
    </row>
    <row r="2534" spans="1:13">
      <c r="A2534" s="8">
        <v>43278</v>
      </c>
      <c r="B2534" s="9">
        <v>0.46249999999999997</v>
      </c>
      <c r="C2534" s="10" t="str">
        <f>"FES1162631900"</f>
        <v>FES1162631900</v>
      </c>
      <c r="D2534" s="10" t="s">
        <v>19</v>
      </c>
      <c r="E2534" s="10" t="s">
        <v>426</v>
      </c>
      <c r="F2534" s="10" t="str">
        <f>"2170638721 "</f>
        <v xml:space="preserve">2170638721 </v>
      </c>
      <c r="G2534" s="10" t="str">
        <f t="shared" si="69"/>
        <v>ON1</v>
      </c>
      <c r="H2534" s="10" t="s">
        <v>21</v>
      </c>
      <c r="I2534" s="10" t="s">
        <v>427</v>
      </c>
      <c r="J2534" s="10" t="str">
        <f>""</f>
        <v/>
      </c>
      <c r="K2534" s="10" t="str">
        <f>"PFES1162631900_0001"</f>
        <v>PFES1162631900_0001</v>
      </c>
      <c r="L2534" s="10">
        <v>1</v>
      </c>
      <c r="M2534" s="10">
        <v>1</v>
      </c>
    </row>
    <row r="2535" spans="1:13">
      <c r="A2535" s="8">
        <v>43278</v>
      </c>
      <c r="B2535" s="9">
        <v>0.46180555555555558</v>
      </c>
      <c r="C2535" s="10" t="str">
        <f>"FES1162631913"</f>
        <v>FES1162631913</v>
      </c>
      <c r="D2535" s="10" t="s">
        <v>19</v>
      </c>
      <c r="E2535" s="10" t="s">
        <v>197</v>
      </c>
      <c r="F2535" s="10" t="str">
        <f>"2170638737 "</f>
        <v xml:space="preserve">2170638737 </v>
      </c>
      <c r="G2535" s="10" t="str">
        <f t="shared" si="69"/>
        <v>ON1</v>
      </c>
      <c r="H2535" s="10" t="s">
        <v>21</v>
      </c>
      <c r="I2535" s="10" t="s">
        <v>131</v>
      </c>
      <c r="J2535" s="10" t="str">
        <f>""</f>
        <v/>
      </c>
      <c r="K2535" s="10" t="str">
        <f>"PFES1162631913_0001"</f>
        <v>PFES1162631913_0001</v>
      </c>
      <c r="L2535" s="10">
        <v>1</v>
      </c>
      <c r="M2535" s="10">
        <v>1</v>
      </c>
    </row>
    <row r="2536" spans="1:13">
      <c r="A2536" s="8">
        <v>43278</v>
      </c>
      <c r="B2536" s="9">
        <v>0.45833333333333331</v>
      </c>
      <c r="C2536" s="10" t="str">
        <f>"FES1162631916"</f>
        <v>FES1162631916</v>
      </c>
      <c r="D2536" s="10" t="s">
        <v>19</v>
      </c>
      <c r="E2536" s="10" t="s">
        <v>68</v>
      </c>
      <c r="F2536" s="10" t="str">
        <f>"2170638740 "</f>
        <v xml:space="preserve">2170638740 </v>
      </c>
      <c r="G2536" s="10" t="str">
        <f t="shared" si="69"/>
        <v>ON1</v>
      </c>
      <c r="H2536" s="10" t="s">
        <v>21</v>
      </c>
      <c r="I2536" s="10" t="s">
        <v>69</v>
      </c>
      <c r="J2536" s="10" t="str">
        <f>""</f>
        <v/>
      </c>
      <c r="K2536" s="10" t="str">
        <f>"PFES1162631916_0001"</f>
        <v>PFES1162631916_0001</v>
      </c>
      <c r="L2536" s="10">
        <v>1</v>
      </c>
      <c r="M2536" s="10">
        <v>1</v>
      </c>
    </row>
    <row r="2537" spans="1:13">
      <c r="A2537" s="8">
        <v>43278</v>
      </c>
      <c r="B2537" s="9">
        <v>0.45277777777777778</v>
      </c>
      <c r="C2537" s="10" t="str">
        <f>"FES1162631828"</f>
        <v>FES1162631828</v>
      </c>
      <c r="D2537" s="10" t="s">
        <v>19</v>
      </c>
      <c r="E2537" s="10" t="s">
        <v>781</v>
      </c>
      <c r="F2537" s="10" t="str">
        <f>"2170632389 "</f>
        <v xml:space="preserve">2170632389 </v>
      </c>
      <c r="G2537" s="10" t="str">
        <f t="shared" si="69"/>
        <v>ON1</v>
      </c>
      <c r="H2537" s="10" t="s">
        <v>21</v>
      </c>
      <c r="I2537" s="10" t="s">
        <v>305</v>
      </c>
      <c r="J2537" s="10" t="str">
        <f>""</f>
        <v/>
      </c>
      <c r="K2537" s="10" t="str">
        <f>"PFES1162631828_0001"</f>
        <v>PFES1162631828_0001</v>
      </c>
      <c r="L2537" s="10">
        <v>2</v>
      </c>
      <c r="M2537" s="10">
        <v>18</v>
      </c>
    </row>
    <row r="2538" spans="1:13">
      <c r="A2538" s="8">
        <v>43278</v>
      </c>
      <c r="B2538" s="9">
        <v>0.40416666666666662</v>
      </c>
      <c r="C2538" s="10" t="str">
        <f>"FES1162631889"</f>
        <v>FES1162631889</v>
      </c>
      <c r="D2538" s="10" t="s">
        <v>19</v>
      </c>
      <c r="E2538" s="10" t="s">
        <v>403</v>
      </c>
      <c r="F2538" s="10" t="str">
        <f>"2170638711 "</f>
        <v xml:space="preserve">2170638711 </v>
      </c>
      <c r="G2538" s="10" t="str">
        <f t="shared" si="69"/>
        <v>ON1</v>
      </c>
      <c r="H2538" s="10" t="s">
        <v>21</v>
      </c>
      <c r="I2538" s="10" t="s">
        <v>66</v>
      </c>
      <c r="J2538" s="10" t="str">
        <f>""</f>
        <v/>
      </c>
      <c r="K2538" s="10" t="str">
        <f>"PFES1162631889_0001"</f>
        <v>PFES1162631889_0001</v>
      </c>
      <c r="L2538" s="10">
        <v>1</v>
      </c>
      <c r="M2538" s="10">
        <v>1</v>
      </c>
    </row>
    <row r="2539" spans="1:13">
      <c r="A2539" s="8">
        <v>43278</v>
      </c>
      <c r="B2539" s="9">
        <v>0.40347222222222223</v>
      </c>
      <c r="C2539" s="10" t="str">
        <f>"FES1162631881"</f>
        <v>FES1162631881</v>
      </c>
      <c r="D2539" s="10" t="s">
        <v>19</v>
      </c>
      <c r="E2539" s="10" t="s">
        <v>62</v>
      </c>
      <c r="F2539" s="10" t="str">
        <f>"2170638699 "</f>
        <v xml:space="preserve">2170638699 </v>
      </c>
      <c r="G2539" s="10" t="str">
        <f t="shared" si="69"/>
        <v>ON1</v>
      </c>
      <c r="H2539" s="10" t="s">
        <v>21</v>
      </c>
      <c r="I2539" s="10" t="s">
        <v>63</v>
      </c>
      <c r="J2539" s="10" t="str">
        <f>""</f>
        <v/>
      </c>
      <c r="K2539" s="10" t="str">
        <f>"PFES1162631881_0001"</f>
        <v>PFES1162631881_0001</v>
      </c>
      <c r="L2539" s="10">
        <v>1</v>
      </c>
      <c r="M2539" s="10">
        <v>1</v>
      </c>
    </row>
    <row r="2540" spans="1:13">
      <c r="A2540" s="8">
        <v>43278</v>
      </c>
      <c r="B2540" s="9">
        <v>0.40347222222222223</v>
      </c>
      <c r="C2540" s="10" t="str">
        <f>"FES1162631887"</f>
        <v>FES1162631887</v>
      </c>
      <c r="D2540" s="10" t="s">
        <v>19</v>
      </c>
      <c r="E2540" s="10" t="s">
        <v>128</v>
      </c>
      <c r="F2540" s="10" t="str">
        <f>"2170638709 "</f>
        <v xml:space="preserve">2170638709 </v>
      </c>
      <c r="G2540" s="10" t="str">
        <f t="shared" si="69"/>
        <v>ON1</v>
      </c>
      <c r="H2540" s="10" t="s">
        <v>21</v>
      </c>
      <c r="I2540" s="10" t="s">
        <v>129</v>
      </c>
      <c r="J2540" s="10" t="str">
        <f>""</f>
        <v/>
      </c>
      <c r="K2540" s="10" t="str">
        <f>"PFES1162631887_0001"</f>
        <v>PFES1162631887_0001</v>
      </c>
      <c r="L2540" s="10">
        <v>1</v>
      </c>
      <c r="M2540" s="10">
        <v>1</v>
      </c>
    </row>
    <row r="2541" spans="1:13">
      <c r="A2541" s="8">
        <v>43278</v>
      </c>
      <c r="B2541" s="9">
        <v>0.40347222222222223</v>
      </c>
      <c r="C2541" s="10" t="str">
        <f>"FES1162631870"</f>
        <v>FES1162631870</v>
      </c>
      <c r="D2541" s="10" t="s">
        <v>19</v>
      </c>
      <c r="E2541" s="10" t="s">
        <v>29</v>
      </c>
      <c r="F2541" s="10" t="str">
        <f>"2170637206 "</f>
        <v xml:space="preserve">2170637206 </v>
      </c>
      <c r="G2541" s="10" t="str">
        <f t="shared" si="69"/>
        <v>ON1</v>
      </c>
      <c r="H2541" s="10" t="s">
        <v>21</v>
      </c>
      <c r="I2541" s="10" t="s">
        <v>30</v>
      </c>
      <c r="J2541" s="10" t="str">
        <f>""</f>
        <v/>
      </c>
      <c r="K2541" s="10" t="str">
        <f>"PFES1162631870_0001"</f>
        <v>PFES1162631870_0001</v>
      </c>
      <c r="L2541" s="10">
        <v>1</v>
      </c>
      <c r="M2541" s="10">
        <v>1</v>
      </c>
    </row>
    <row r="2542" spans="1:13">
      <c r="A2542" s="8">
        <v>43278</v>
      </c>
      <c r="B2542" s="9">
        <v>0.40277777777777773</v>
      </c>
      <c r="C2542" s="10" t="str">
        <f>"FES1162631905"</f>
        <v>FES1162631905</v>
      </c>
      <c r="D2542" s="10" t="s">
        <v>19</v>
      </c>
      <c r="E2542" s="10" t="s">
        <v>87</v>
      </c>
      <c r="F2542" s="10" t="str">
        <f>"2170638728 "</f>
        <v xml:space="preserve">2170638728 </v>
      </c>
      <c r="G2542" s="10" t="str">
        <f t="shared" si="69"/>
        <v>ON1</v>
      </c>
      <c r="H2542" s="10" t="s">
        <v>21</v>
      </c>
      <c r="I2542" s="10" t="s">
        <v>104</v>
      </c>
      <c r="J2542" s="10" t="str">
        <f>""</f>
        <v/>
      </c>
      <c r="K2542" s="10" t="str">
        <f>"PFES1162631905_0001"</f>
        <v>PFES1162631905_0001</v>
      </c>
      <c r="L2542" s="10">
        <v>1</v>
      </c>
      <c r="M2542" s="10">
        <v>1</v>
      </c>
    </row>
    <row r="2543" spans="1:13">
      <c r="A2543" s="8">
        <v>43278</v>
      </c>
      <c r="B2543" s="9">
        <v>0.40277777777777773</v>
      </c>
      <c r="C2543" s="10" t="str">
        <f>"FES1162631920"</f>
        <v>FES1162631920</v>
      </c>
      <c r="D2543" s="10" t="s">
        <v>19</v>
      </c>
      <c r="E2543" s="10" t="s">
        <v>60</v>
      </c>
      <c r="F2543" s="10" t="str">
        <f>"2170638753 "</f>
        <v xml:space="preserve">2170638753 </v>
      </c>
      <c r="G2543" s="10" t="str">
        <f t="shared" si="69"/>
        <v>ON1</v>
      </c>
      <c r="H2543" s="10" t="s">
        <v>21</v>
      </c>
      <c r="I2543" s="10" t="s">
        <v>61</v>
      </c>
      <c r="J2543" s="10" t="str">
        <f>""</f>
        <v/>
      </c>
      <c r="K2543" s="10" t="str">
        <f>"PFES1162631920_0001"</f>
        <v>PFES1162631920_0001</v>
      </c>
      <c r="L2543" s="10">
        <v>1</v>
      </c>
      <c r="M2543" s="10">
        <v>1</v>
      </c>
    </row>
    <row r="2544" spans="1:13">
      <c r="A2544" s="8">
        <v>43278</v>
      </c>
      <c r="B2544" s="9">
        <v>0.40069444444444446</v>
      </c>
      <c r="C2544" s="10" t="str">
        <f>"FES1162631896"</f>
        <v>FES1162631896</v>
      </c>
      <c r="D2544" s="10" t="s">
        <v>19</v>
      </c>
      <c r="E2544" s="10" t="s">
        <v>314</v>
      </c>
      <c r="F2544" s="10" t="str">
        <f>"2170638720 "</f>
        <v xml:space="preserve">2170638720 </v>
      </c>
      <c r="G2544" s="10" t="str">
        <f t="shared" si="69"/>
        <v>ON1</v>
      </c>
      <c r="H2544" s="10" t="s">
        <v>21</v>
      </c>
      <c r="I2544" s="10" t="s">
        <v>57</v>
      </c>
      <c r="J2544" s="10" t="str">
        <f>""</f>
        <v/>
      </c>
      <c r="K2544" s="10" t="str">
        <f>"PFES1162631896_0001"</f>
        <v>PFES1162631896_0001</v>
      </c>
      <c r="L2544" s="10">
        <v>1</v>
      </c>
      <c r="M2544" s="10">
        <v>1</v>
      </c>
    </row>
    <row r="2545" spans="1:13">
      <c r="A2545" s="8">
        <v>43278</v>
      </c>
      <c r="B2545" s="9">
        <v>0.40069444444444446</v>
      </c>
      <c r="C2545" s="10" t="str">
        <f>"FES1162631892"</f>
        <v>FES1162631892</v>
      </c>
      <c r="D2545" s="10" t="s">
        <v>19</v>
      </c>
      <c r="E2545" s="10" t="s">
        <v>125</v>
      </c>
      <c r="F2545" s="10" t="str">
        <f>"2170638715 "</f>
        <v xml:space="preserve">2170638715 </v>
      </c>
      <c r="G2545" s="10" t="str">
        <f t="shared" si="69"/>
        <v>ON1</v>
      </c>
      <c r="H2545" s="10" t="s">
        <v>21</v>
      </c>
      <c r="I2545" s="10" t="s">
        <v>57</v>
      </c>
      <c r="J2545" s="10" t="str">
        <f>""</f>
        <v/>
      </c>
      <c r="K2545" s="10" t="str">
        <f>"PFES1162631892_0001"</f>
        <v>PFES1162631892_0001</v>
      </c>
      <c r="L2545" s="10">
        <v>1</v>
      </c>
      <c r="M2545" s="10">
        <v>1</v>
      </c>
    </row>
    <row r="2546" spans="1:13">
      <c r="A2546" s="8">
        <v>43278</v>
      </c>
      <c r="B2546" s="9">
        <v>0.39999999999999997</v>
      </c>
      <c r="C2546" s="10" t="str">
        <f>"FES1162631878"</f>
        <v>FES1162631878</v>
      </c>
      <c r="D2546" s="10" t="s">
        <v>19</v>
      </c>
      <c r="E2546" s="10" t="s">
        <v>731</v>
      </c>
      <c r="F2546" s="10" t="str">
        <f>"2170638692 "</f>
        <v xml:space="preserve">2170638692 </v>
      </c>
      <c r="G2546" s="10" t="str">
        <f t="shared" si="69"/>
        <v>ON1</v>
      </c>
      <c r="H2546" s="10" t="s">
        <v>21</v>
      </c>
      <c r="I2546" s="10" t="s">
        <v>96</v>
      </c>
      <c r="J2546" s="10" t="str">
        <f>""</f>
        <v/>
      </c>
      <c r="K2546" s="10" t="str">
        <f>"PFES1162631878_0001"</f>
        <v>PFES1162631878_0001</v>
      </c>
      <c r="L2546" s="10">
        <v>1</v>
      </c>
      <c r="M2546" s="10">
        <v>1</v>
      </c>
    </row>
    <row r="2547" spans="1:13">
      <c r="A2547" s="8">
        <v>43278</v>
      </c>
      <c r="B2547" s="9">
        <v>0.39027777777777778</v>
      </c>
      <c r="C2547" s="10" t="str">
        <f>"FES1162631864"</f>
        <v>FES1162631864</v>
      </c>
      <c r="D2547" s="10" t="s">
        <v>19</v>
      </c>
      <c r="E2547" s="10" t="s">
        <v>60</v>
      </c>
      <c r="F2547" s="10" t="str">
        <f>"2170638698 "</f>
        <v xml:space="preserve">2170638698 </v>
      </c>
      <c r="G2547" s="10" t="str">
        <f t="shared" si="69"/>
        <v>ON1</v>
      </c>
      <c r="H2547" s="10" t="s">
        <v>21</v>
      </c>
      <c r="I2547" s="10" t="s">
        <v>61</v>
      </c>
      <c r="J2547" s="10" t="str">
        <f>""</f>
        <v/>
      </c>
      <c r="K2547" s="10" t="str">
        <f>"PFES1162631864_0001"</f>
        <v>PFES1162631864_0001</v>
      </c>
      <c r="L2547" s="10">
        <v>1</v>
      </c>
      <c r="M2547" s="10">
        <v>1</v>
      </c>
    </row>
    <row r="2548" spans="1:13">
      <c r="A2548" s="8">
        <v>43278</v>
      </c>
      <c r="B2548" s="9">
        <v>0.39027777777777778</v>
      </c>
      <c r="C2548" s="10" t="str">
        <f>"FES1162631890"</f>
        <v>FES1162631890</v>
      </c>
      <c r="D2548" s="10" t="s">
        <v>19</v>
      </c>
      <c r="E2548" s="10" t="s">
        <v>314</v>
      </c>
      <c r="F2548" s="10" t="str">
        <f>"2170638713 "</f>
        <v xml:space="preserve">2170638713 </v>
      </c>
      <c r="G2548" s="10" t="str">
        <f t="shared" si="69"/>
        <v>ON1</v>
      </c>
      <c r="H2548" s="10" t="s">
        <v>21</v>
      </c>
      <c r="I2548" s="10" t="s">
        <v>57</v>
      </c>
      <c r="J2548" s="10" t="str">
        <f>""</f>
        <v/>
      </c>
      <c r="K2548" s="10" t="str">
        <f>"PFES1162631890_0001"</f>
        <v>PFES1162631890_0001</v>
      </c>
      <c r="L2548" s="10">
        <v>1</v>
      </c>
      <c r="M2548" s="10">
        <v>1</v>
      </c>
    </row>
    <row r="2549" spans="1:13">
      <c r="A2549" s="8">
        <v>43278</v>
      </c>
      <c r="B2549" s="9">
        <v>0.38958333333333334</v>
      </c>
      <c r="C2549" s="10" t="str">
        <f>"FES1162631760"</f>
        <v>FES1162631760</v>
      </c>
      <c r="D2549" s="10" t="s">
        <v>19</v>
      </c>
      <c r="E2549" s="10" t="s">
        <v>1030</v>
      </c>
      <c r="F2549" s="10" t="str">
        <f>"2170637583 "</f>
        <v xml:space="preserve">2170637583 </v>
      </c>
      <c r="G2549" s="10" t="str">
        <f t="shared" si="69"/>
        <v>ON1</v>
      </c>
      <c r="H2549" s="10" t="s">
        <v>21</v>
      </c>
      <c r="I2549" s="10" t="s">
        <v>1031</v>
      </c>
      <c r="J2549" s="10" t="str">
        <f>""</f>
        <v/>
      </c>
      <c r="K2549" s="10" t="str">
        <f>"PFES1162631760_0001"</f>
        <v>PFES1162631760_0001</v>
      </c>
      <c r="L2549" s="10">
        <v>1</v>
      </c>
      <c r="M2549" s="10">
        <v>1</v>
      </c>
    </row>
    <row r="2550" spans="1:13">
      <c r="A2550" s="8">
        <v>43278</v>
      </c>
      <c r="B2550" s="9">
        <v>0.38263888888888892</v>
      </c>
      <c r="C2550" s="10" t="str">
        <f>"FES1162631865"</f>
        <v>FES1162631865</v>
      </c>
      <c r="D2550" s="10" t="s">
        <v>19</v>
      </c>
      <c r="E2550" s="10" t="s">
        <v>234</v>
      </c>
      <c r="F2550" s="10" t="str">
        <f>"2170609797 "</f>
        <v xml:space="preserve">2170609797 </v>
      </c>
      <c r="G2550" s="10" t="str">
        <f t="shared" si="69"/>
        <v>ON1</v>
      </c>
      <c r="H2550" s="10" t="s">
        <v>21</v>
      </c>
      <c r="I2550" s="10" t="s">
        <v>200</v>
      </c>
      <c r="J2550" s="10" t="str">
        <f>""</f>
        <v/>
      </c>
      <c r="K2550" s="10" t="str">
        <f>"PFES1162631865_0001"</f>
        <v>PFES1162631865_0001</v>
      </c>
      <c r="L2550" s="10">
        <v>1</v>
      </c>
      <c r="M2550" s="10">
        <v>1</v>
      </c>
    </row>
    <row r="2551" spans="1:13">
      <c r="A2551" s="8">
        <v>43278</v>
      </c>
      <c r="B2551" s="9">
        <v>0.38194444444444442</v>
      </c>
      <c r="C2551" s="10" t="str">
        <f>"FES1162631634"</f>
        <v>FES1162631634</v>
      </c>
      <c r="D2551" s="10" t="s">
        <v>19</v>
      </c>
      <c r="E2551" s="10" t="s">
        <v>310</v>
      </c>
      <c r="F2551" s="10" t="str">
        <f>"2170635317 "</f>
        <v xml:space="preserve">2170635317 </v>
      </c>
      <c r="G2551" s="10" t="str">
        <f t="shared" si="69"/>
        <v>ON1</v>
      </c>
      <c r="H2551" s="10" t="s">
        <v>21</v>
      </c>
      <c r="I2551" s="10" t="s">
        <v>255</v>
      </c>
      <c r="J2551" s="10" t="str">
        <f>""</f>
        <v/>
      </c>
      <c r="K2551" s="10" t="str">
        <f>"PFES1162631634_0001"</f>
        <v>PFES1162631634_0001</v>
      </c>
      <c r="L2551" s="10">
        <v>1</v>
      </c>
      <c r="M2551" s="10">
        <v>1</v>
      </c>
    </row>
    <row r="2552" spans="1:13">
      <c r="A2552" s="8">
        <v>43278</v>
      </c>
      <c r="B2552" s="9">
        <v>0.38194444444444442</v>
      </c>
      <c r="C2552" s="10" t="str">
        <f>"FES1162631893"</f>
        <v>FES1162631893</v>
      </c>
      <c r="D2552" s="10" t="s">
        <v>19</v>
      </c>
      <c r="E2552" s="10" t="s">
        <v>263</v>
      </c>
      <c r="F2552" s="10" t="str">
        <f>"2170638704 "</f>
        <v xml:space="preserve">2170638704 </v>
      </c>
      <c r="G2552" s="10" t="str">
        <f t="shared" si="69"/>
        <v>ON1</v>
      </c>
      <c r="H2552" s="10" t="s">
        <v>21</v>
      </c>
      <c r="I2552" s="10" t="s">
        <v>578</v>
      </c>
      <c r="J2552" s="10" t="str">
        <f>""</f>
        <v/>
      </c>
      <c r="K2552" s="10" t="str">
        <f>"PFES1162631893_0001"</f>
        <v>PFES1162631893_0001</v>
      </c>
      <c r="L2552" s="10">
        <v>1</v>
      </c>
      <c r="M2552" s="10">
        <v>1</v>
      </c>
    </row>
    <row r="2553" spans="1:13">
      <c r="A2553" s="8">
        <v>43278</v>
      </c>
      <c r="B2553" s="9">
        <v>0.37916666666666665</v>
      </c>
      <c r="C2553" s="10" t="str">
        <f>"FES1162631866"</f>
        <v>FES1162631866</v>
      </c>
      <c r="D2553" s="10" t="s">
        <v>19</v>
      </c>
      <c r="E2553" s="10" t="s">
        <v>1032</v>
      </c>
      <c r="F2553" s="10" t="str">
        <f>"2170635879 "</f>
        <v xml:space="preserve">2170635879 </v>
      </c>
      <c r="G2553" s="10" t="str">
        <f t="shared" si="69"/>
        <v>ON1</v>
      </c>
      <c r="H2553" s="10" t="s">
        <v>21</v>
      </c>
      <c r="I2553" s="10" t="s">
        <v>131</v>
      </c>
      <c r="J2553" s="10" t="str">
        <f>""</f>
        <v/>
      </c>
      <c r="K2553" s="10" t="str">
        <f>"PFES1162631866_0001"</f>
        <v>PFES1162631866_0001</v>
      </c>
      <c r="L2553" s="10">
        <v>1</v>
      </c>
      <c r="M2553" s="10">
        <v>1</v>
      </c>
    </row>
    <row r="2554" spans="1:13">
      <c r="A2554" s="8">
        <v>43278</v>
      </c>
      <c r="B2554" s="9">
        <v>0.37847222222222227</v>
      </c>
      <c r="C2554" s="10" t="str">
        <f>"FES1162631885"</f>
        <v>FES1162631885</v>
      </c>
      <c r="D2554" s="10" t="s">
        <v>19</v>
      </c>
      <c r="E2554" s="10" t="s">
        <v>538</v>
      </c>
      <c r="F2554" s="10" t="str">
        <f>"2170638705 "</f>
        <v xml:space="preserve">2170638705 </v>
      </c>
      <c r="G2554" s="10" t="str">
        <f t="shared" si="69"/>
        <v>ON1</v>
      </c>
      <c r="H2554" s="10" t="s">
        <v>21</v>
      </c>
      <c r="I2554" s="10" t="s">
        <v>83</v>
      </c>
      <c r="J2554" s="10" t="str">
        <f>""</f>
        <v/>
      </c>
      <c r="K2554" s="10" t="str">
        <f>"PFES1162631885_0001"</f>
        <v>PFES1162631885_0001</v>
      </c>
      <c r="L2554" s="10">
        <v>1</v>
      </c>
      <c r="M2554" s="10">
        <v>1</v>
      </c>
    </row>
    <row r="2555" spans="1:13">
      <c r="A2555" s="8">
        <v>43278</v>
      </c>
      <c r="B2555" s="9">
        <v>0.37777777777777777</v>
      </c>
      <c r="C2555" s="10" t="str">
        <f>"FES1162631871"</f>
        <v>FES1162631871</v>
      </c>
      <c r="D2555" s="10" t="s">
        <v>19</v>
      </c>
      <c r="E2555" s="10" t="s">
        <v>74</v>
      </c>
      <c r="F2555" s="10" t="str">
        <f>"21706367243 "</f>
        <v xml:space="preserve">21706367243 </v>
      </c>
      <c r="G2555" s="10" t="str">
        <f t="shared" si="69"/>
        <v>ON1</v>
      </c>
      <c r="H2555" s="10" t="s">
        <v>21</v>
      </c>
      <c r="I2555" s="10" t="s">
        <v>75</v>
      </c>
      <c r="J2555" s="10" t="str">
        <f>""</f>
        <v/>
      </c>
      <c r="K2555" s="10" t="str">
        <f>"PFES1162631871_0001"</f>
        <v>PFES1162631871_0001</v>
      </c>
      <c r="L2555" s="10">
        <v>1</v>
      </c>
      <c r="M2555" s="10">
        <v>1</v>
      </c>
    </row>
    <row r="2556" spans="1:13">
      <c r="A2556" s="8">
        <v>43278</v>
      </c>
      <c r="B2556" s="9">
        <v>0.37708333333333338</v>
      </c>
      <c r="C2556" s="10" t="str">
        <f>"FES1162631862"</f>
        <v>FES1162631862</v>
      </c>
      <c r="D2556" s="10" t="s">
        <v>19</v>
      </c>
      <c r="E2556" s="10" t="s">
        <v>602</v>
      </c>
      <c r="F2556" s="10" t="str">
        <f>"2170638683 "</f>
        <v xml:space="preserve">2170638683 </v>
      </c>
      <c r="G2556" s="10" t="str">
        <f t="shared" si="69"/>
        <v>ON1</v>
      </c>
      <c r="H2556" s="10" t="s">
        <v>21</v>
      </c>
      <c r="I2556" s="10" t="s">
        <v>108</v>
      </c>
      <c r="J2556" s="10" t="str">
        <f>""</f>
        <v/>
      </c>
      <c r="K2556" s="10" t="str">
        <f>"PFES1162631862_0001"</f>
        <v>PFES1162631862_0001</v>
      </c>
      <c r="L2556" s="10">
        <v>1</v>
      </c>
      <c r="M2556" s="10">
        <v>1</v>
      </c>
    </row>
    <row r="2557" spans="1:13">
      <c r="A2557" s="8">
        <v>43278</v>
      </c>
      <c r="B2557" s="9">
        <v>0.37638888888888888</v>
      </c>
      <c r="C2557" s="10" t="str">
        <f>"FES1162631692"</f>
        <v>FES1162631692</v>
      </c>
      <c r="D2557" s="10" t="s">
        <v>19</v>
      </c>
      <c r="E2557" s="10" t="s">
        <v>249</v>
      </c>
      <c r="F2557" s="10" t="str">
        <f>"2170636762 "</f>
        <v xml:space="preserve">2170636762 </v>
      </c>
      <c r="G2557" s="10" t="str">
        <f t="shared" si="69"/>
        <v>ON1</v>
      </c>
      <c r="H2557" s="10" t="s">
        <v>21</v>
      </c>
      <c r="I2557" s="10" t="s">
        <v>59</v>
      </c>
      <c r="J2557" s="10" t="str">
        <f>""</f>
        <v/>
      </c>
      <c r="K2557" s="10" t="str">
        <f>"PFES1162631692_0001"</f>
        <v>PFES1162631692_0001</v>
      </c>
      <c r="L2557" s="10">
        <v>1</v>
      </c>
      <c r="M2557" s="10">
        <v>1</v>
      </c>
    </row>
    <row r="2558" spans="1:13">
      <c r="A2558" s="8">
        <v>43278</v>
      </c>
      <c r="B2558" s="9">
        <v>0.3756944444444445</v>
      </c>
      <c r="C2558" s="10" t="str">
        <f>"FES1162631846"</f>
        <v>FES1162631846</v>
      </c>
      <c r="D2558" s="10" t="s">
        <v>19</v>
      </c>
      <c r="E2558" s="10" t="s">
        <v>602</v>
      </c>
      <c r="F2558" s="10" t="str">
        <f>"2170638664 "</f>
        <v xml:space="preserve">2170638664 </v>
      </c>
      <c r="G2558" s="10" t="str">
        <f t="shared" si="69"/>
        <v>ON1</v>
      </c>
      <c r="H2558" s="10" t="s">
        <v>21</v>
      </c>
      <c r="I2558" s="10" t="s">
        <v>108</v>
      </c>
      <c r="J2558" s="10" t="str">
        <f>""</f>
        <v/>
      </c>
      <c r="K2558" s="10" t="str">
        <f>"PFES1162631846_0001"</f>
        <v>PFES1162631846_0001</v>
      </c>
      <c r="L2558" s="10">
        <v>1</v>
      </c>
      <c r="M2558" s="10">
        <v>1</v>
      </c>
    </row>
    <row r="2559" spans="1:13">
      <c r="A2559" s="8">
        <v>43278</v>
      </c>
      <c r="B2559" s="9">
        <v>0.3756944444444445</v>
      </c>
      <c r="C2559" s="10" t="str">
        <f>"FES1162631858"</f>
        <v>FES1162631858</v>
      </c>
      <c r="D2559" s="10" t="s">
        <v>19</v>
      </c>
      <c r="E2559" s="10" t="s">
        <v>602</v>
      </c>
      <c r="F2559" s="10" t="str">
        <f>"2170638678 "</f>
        <v xml:space="preserve">2170638678 </v>
      </c>
      <c r="G2559" s="10" t="str">
        <f t="shared" si="69"/>
        <v>ON1</v>
      </c>
      <c r="H2559" s="10" t="s">
        <v>21</v>
      </c>
      <c r="I2559" s="10" t="s">
        <v>108</v>
      </c>
      <c r="J2559" s="10" t="str">
        <f>""</f>
        <v/>
      </c>
      <c r="K2559" s="10" t="str">
        <f>"PFES1162631858_0001"</f>
        <v>PFES1162631858_0001</v>
      </c>
      <c r="L2559" s="10">
        <v>1</v>
      </c>
      <c r="M2559" s="10">
        <v>1</v>
      </c>
    </row>
    <row r="2560" spans="1:13">
      <c r="A2560" s="8">
        <v>43278</v>
      </c>
      <c r="B2560" s="9">
        <v>0.375</v>
      </c>
      <c r="C2560" s="10" t="str">
        <f>"FES1162631849"</f>
        <v>FES1162631849</v>
      </c>
      <c r="D2560" s="10" t="s">
        <v>19</v>
      </c>
      <c r="E2560" s="10" t="s">
        <v>602</v>
      </c>
      <c r="F2560" s="10" t="str">
        <f>"2170638667 "</f>
        <v xml:space="preserve">2170638667 </v>
      </c>
      <c r="G2560" s="10" t="str">
        <f t="shared" si="69"/>
        <v>ON1</v>
      </c>
      <c r="H2560" s="10" t="s">
        <v>21</v>
      </c>
      <c r="I2560" s="10" t="s">
        <v>108</v>
      </c>
      <c r="J2560" s="10" t="str">
        <f>""</f>
        <v/>
      </c>
      <c r="K2560" s="10" t="str">
        <f>"PFES1162631849_0001"</f>
        <v>PFES1162631849_0001</v>
      </c>
      <c r="L2560" s="10">
        <v>1</v>
      </c>
      <c r="M2560" s="10">
        <v>1</v>
      </c>
    </row>
    <row r="2561" spans="1:13">
      <c r="A2561" s="8">
        <v>43278</v>
      </c>
      <c r="B2561" s="9">
        <v>0.37361111111111112</v>
      </c>
      <c r="C2561" s="10" t="str">
        <f>"FES1162631761"</f>
        <v>FES1162631761</v>
      </c>
      <c r="D2561" s="10" t="s">
        <v>19</v>
      </c>
      <c r="E2561" s="10" t="s">
        <v>1033</v>
      </c>
      <c r="F2561" s="10" t="str">
        <f>"2170638504 "</f>
        <v xml:space="preserve">2170638504 </v>
      </c>
      <c r="G2561" s="10" t="str">
        <f t="shared" si="69"/>
        <v>ON1</v>
      </c>
      <c r="H2561" s="10" t="s">
        <v>21</v>
      </c>
      <c r="I2561" s="10" t="s">
        <v>91</v>
      </c>
      <c r="J2561" s="10" t="str">
        <f>""</f>
        <v/>
      </c>
      <c r="K2561" s="10" t="str">
        <f>"PFES1162631761_0001"</f>
        <v>PFES1162631761_0001</v>
      </c>
      <c r="L2561" s="10">
        <v>1</v>
      </c>
      <c r="M2561" s="10">
        <v>1</v>
      </c>
    </row>
    <row r="2562" spans="1:13">
      <c r="A2562" s="8">
        <v>43278</v>
      </c>
      <c r="B2562" s="9">
        <v>0.37361111111111112</v>
      </c>
      <c r="C2562" s="10" t="str">
        <f>"FES1162631805"</f>
        <v>FES1162631805</v>
      </c>
      <c r="D2562" s="10" t="s">
        <v>19</v>
      </c>
      <c r="E2562" s="10" t="s">
        <v>204</v>
      </c>
      <c r="F2562" s="10" t="str">
        <f>"2170638374 "</f>
        <v xml:space="preserve">2170638374 </v>
      </c>
      <c r="G2562" s="10" t="str">
        <f t="shared" si="69"/>
        <v>ON1</v>
      </c>
      <c r="H2562" s="10" t="s">
        <v>21</v>
      </c>
      <c r="I2562" s="10" t="s">
        <v>205</v>
      </c>
      <c r="J2562" s="10" t="str">
        <f>""</f>
        <v/>
      </c>
      <c r="K2562" s="10" t="str">
        <f>"PFES1162631805_0001"</f>
        <v>PFES1162631805_0001</v>
      </c>
      <c r="L2562" s="10">
        <v>1</v>
      </c>
      <c r="M2562" s="10">
        <v>1</v>
      </c>
    </row>
    <row r="2563" spans="1:13">
      <c r="A2563" s="8">
        <v>43278</v>
      </c>
      <c r="B2563" s="9">
        <v>0.37291666666666662</v>
      </c>
      <c r="C2563" s="10" t="str">
        <f>"FES1162631882"</f>
        <v>FES1162631882</v>
      </c>
      <c r="D2563" s="10" t="s">
        <v>19</v>
      </c>
      <c r="E2563" s="10" t="s">
        <v>27</v>
      </c>
      <c r="F2563" s="10" t="str">
        <f>"2170631882 "</f>
        <v xml:space="preserve">2170631882 </v>
      </c>
      <c r="G2563" s="10" t="str">
        <f t="shared" si="69"/>
        <v>ON1</v>
      </c>
      <c r="H2563" s="10" t="s">
        <v>21</v>
      </c>
      <c r="I2563" s="10" t="s">
        <v>28</v>
      </c>
      <c r="J2563" s="10" t="str">
        <f>""</f>
        <v/>
      </c>
      <c r="K2563" s="10" t="str">
        <f>"PFES1162631882_0001"</f>
        <v>PFES1162631882_0001</v>
      </c>
      <c r="L2563" s="10">
        <v>1</v>
      </c>
      <c r="M2563" s="10">
        <v>1</v>
      </c>
    </row>
    <row r="2564" spans="1:13">
      <c r="A2564" s="8">
        <v>43278</v>
      </c>
      <c r="B2564" s="9">
        <v>0.37291666666666662</v>
      </c>
      <c r="C2564" s="10" t="str">
        <f>"FES1162631876"</f>
        <v>FES1162631876</v>
      </c>
      <c r="D2564" s="10" t="s">
        <v>19</v>
      </c>
      <c r="E2564" s="10" t="s">
        <v>1034</v>
      </c>
      <c r="F2564" s="10" t="str">
        <f>"2170638689 "</f>
        <v xml:space="preserve">2170638689 </v>
      </c>
      <c r="G2564" s="10" t="str">
        <f t="shared" si="69"/>
        <v>ON1</v>
      </c>
      <c r="H2564" s="10" t="s">
        <v>21</v>
      </c>
      <c r="I2564" s="10" t="s">
        <v>112</v>
      </c>
      <c r="J2564" s="10" t="str">
        <f>""</f>
        <v/>
      </c>
      <c r="K2564" s="10" t="str">
        <f>"PFES1162631876_0001"</f>
        <v>PFES1162631876_0001</v>
      </c>
      <c r="L2564" s="10">
        <v>1</v>
      </c>
      <c r="M2564" s="10">
        <v>1</v>
      </c>
    </row>
    <row r="2565" spans="1:13">
      <c r="A2565" s="8">
        <v>43279</v>
      </c>
      <c r="B2565" s="9">
        <v>0.69791666666666663</v>
      </c>
      <c r="C2565" s="10" t="str">
        <f>"FES1162632412"</f>
        <v>FES1162632412</v>
      </c>
      <c r="D2565" s="10" t="s">
        <v>19</v>
      </c>
      <c r="E2565" s="10" t="s">
        <v>191</v>
      </c>
      <c r="F2565" s="10" t="str">
        <f>"2170638547 "</f>
        <v xml:space="preserve">2170638547 </v>
      </c>
      <c r="G2565" s="10" t="str">
        <f t="shared" si="69"/>
        <v>ON1</v>
      </c>
      <c r="H2565" s="10" t="s">
        <v>21</v>
      </c>
      <c r="I2565" s="10" t="s">
        <v>192</v>
      </c>
      <c r="J2565" s="10" t="str">
        <f>""</f>
        <v/>
      </c>
      <c r="K2565" s="10" t="str">
        <f>"PFES1162632412_0001"</f>
        <v>PFES1162632412_0001</v>
      </c>
      <c r="L2565" s="10">
        <v>1</v>
      </c>
      <c r="M2565" s="10">
        <v>2</v>
      </c>
    </row>
    <row r="2566" spans="1:13">
      <c r="A2566" s="8">
        <v>43279</v>
      </c>
      <c r="B2566" s="9">
        <v>0.69791666666666663</v>
      </c>
      <c r="C2566" s="10" t="str">
        <f>"FES1162632403"</f>
        <v>FES1162632403</v>
      </c>
      <c r="D2566" s="10" t="s">
        <v>19</v>
      </c>
      <c r="E2566" s="10" t="s">
        <v>1035</v>
      </c>
      <c r="F2566" s="10" t="str">
        <f>"2170639161 "</f>
        <v xml:space="preserve">2170639161 </v>
      </c>
      <c r="G2566" s="10" t="str">
        <f t="shared" si="69"/>
        <v>ON1</v>
      </c>
      <c r="H2566" s="10" t="s">
        <v>21</v>
      </c>
      <c r="I2566" s="10" t="s">
        <v>279</v>
      </c>
      <c r="J2566" s="10" t="str">
        <f>""</f>
        <v/>
      </c>
      <c r="K2566" s="10" t="str">
        <f>"PFES1162632403_0001"</f>
        <v>PFES1162632403_0001</v>
      </c>
      <c r="L2566" s="10">
        <v>1</v>
      </c>
      <c r="M2566" s="10">
        <v>2</v>
      </c>
    </row>
    <row r="2567" spans="1:13">
      <c r="A2567" s="8">
        <v>43279</v>
      </c>
      <c r="B2567" s="9">
        <v>0.6972222222222223</v>
      </c>
      <c r="C2567" s="10" t="str">
        <f>"FES1162632327"</f>
        <v>FES1162632327</v>
      </c>
      <c r="D2567" s="10" t="s">
        <v>19</v>
      </c>
      <c r="E2567" s="10" t="s">
        <v>300</v>
      </c>
      <c r="F2567" s="10" t="str">
        <f>"2170637529 "</f>
        <v xml:space="preserve">2170637529 </v>
      </c>
      <c r="G2567" s="10" t="str">
        <f t="shared" si="69"/>
        <v>ON1</v>
      </c>
      <c r="H2567" s="10" t="s">
        <v>21</v>
      </c>
      <c r="I2567" s="10" t="s">
        <v>301</v>
      </c>
      <c r="J2567" s="10" t="str">
        <f>""</f>
        <v/>
      </c>
      <c r="K2567" s="10" t="str">
        <f>"PFES1162632327_0001"</f>
        <v>PFES1162632327_0001</v>
      </c>
      <c r="L2567" s="10">
        <v>1</v>
      </c>
      <c r="M2567" s="10">
        <v>5</v>
      </c>
    </row>
    <row r="2568" spans="1:13">
      <c r="A2568" s="8">
        <v>43279</v>
      </c>
      <c r="B2568" s="9">
        <v>0.6958333333333333</v>
      </c>
      <c r="C2568" s="10" t="str">
        <f>"FES1162632386"</f>
        <v>FES1162632386</v>
      </c>
      <c r="D2568" s="10" t="s">
        <v>19</v>
      </c>
      <c r="E2568" s="10" t="s">
        <v>48</v>
      </c>
      <c r="F2568" s="10" t="str">
        <f>"2170639132 "</f>
        <v xml:space="preserve">2170639132 </v>
      </c>
      <c r="G2568" s="10" t="str">
        <f t="shared" si="69"/>
        <v>ON1</v>
      </c>
      <c r="H2568" s="10" t="s">
        <v>21</v>
      </c>
      <c r="I2568" s="10" t="s">
        <v>46</v>
      </c>
      <c r="J2568" s="10" t="str">
        <f>""</f>
        <v/>
      </c>
      <c r="K2568" s="10" t="str">
        <f>"PFES1162632386_0001"</f>
        <v>PFES1162632386_0001</v>
      </c>
      <c r="L2568" s="10">
        <v>1</v>
      </c>
      <c r="M2568" s="10">
        <v>13</v>
      </c>
    </row>
    <row r="2569" spans="1:13">
      <c r="A2569" s="8">
        <v>43279</v>
      </c>
      <c r="B2569" s="9">
        <v>0.69513888888888886</v>
      </c>
      <c r="C2569" s="10" t="str">
        <f>"FES1162632350"</f>
        <v>FES1162632350</v>
      </c>
      <c r="D2569" s="10" t="s">
        <v>19</v>
      </c>
      <c r="E2569" s="10" t="s">
        <v>263</v>
      </c>
      <c r="F2569" s="10" t="str">
        <f>"2170635308 "</f>
        <v xml:space="preserve">2170635308 </v>
      </c>
      <c r="G2569" s="10" t="str">
        <f t="shared" si="69"/>
        <v>ON1</v>
      </c>
      <c r="H2569" s="10" t="s">
        <v>21</v>
      </c>
      <c r="I2569" s="10" t="s">
        <v>230</v>
      </c>
      <c r="J2569" s="10" t="str">
        <f>""</f>
        <v/>
      </c>
      <c r="K2569" s="10" t="str">
        <f>"PFES1162632350_0001"</f>
        <v>PFES1162632350_0001</v>
      </c>
      <c r="L2569" s="10">
        <v>1</v>
      </c>
      <c r="M2569" s="10">
        <v>3</v>
      </c>
    </row>
    <row r="2570" spans="1:13">
      <c r="A2570" s="8">
        <v>43279</v>
      </c>
      <c r="B2570" s="9">
        <v>0.69444444444444453</v>
      </c>
      <c r="C2570" s="10" t="str">
        <f>"FES1162632156"</f>
        <v>FES1162632156</v>
      </c>
      <c r="D2570" s="10" t="s">
        <v>19</v>
      </c>
      <c r="E2570" s="10" t="s">
        <v>1036</v>
      </c>
      <c r="F2570" s="10" t="str">
        <f>"2170618880 "</f>
        <v xml:space="preserve">2170618880 </v>
      </c>
      <c r="G2570" s="10" t="str">
        <f t="shared" si="69"/>
        <v>ON1</v>
      </c>
      <c r="H2570" s="10" t="s">
        <v>21</v>
      </c>
      <c r="I2570" s="10" t="s">
        <v>519</v>
      </c>
      <c r="J2570" s="10" t="str">
        <f>""</f>
        <v/>
      </c>
      <c r="K2570" s="10" t="str">
        <f>"PFES1162632156_0001"</f>
        <v>PFES1162632156_0001</v>
      </c>
      <c r="L2570" s="10">
        <v>1</v>
      </c>
      <c r="M2570" s="10">
        <v>4</v>
      </c>
    </row>
    <row r="2571" spans="1:13">
      <c r="A2571" s="8">
        <v>43279</v>
      </c>
      <c r="B2571" s="9">
        <v>0.69444444444444453</v>
      </c>
      <c r="C2571" s="10" t="str">
        <f>"FES1162632397"</f>
        <v>FES1162632397</v>
      </c>
      <c r="D2571" s="10" t="s">
        <v>19</v>
      </c>
      <c r="E2571" s="10" t="s">
        <v>531</v>
      </c>
      <c r="F2571" s="10" t="str">
        <f>"2170639152 "</f>
        <v xml:space="preserve">2170639152 </v>
      </c>
      <c r="G2571" s="10" t="str">
        <f t="shared" si="69"/>
        <v>ON1</v>
      </c>
      <c r="H2571" s="10" t="s">
        <v>21</v>
      </c>
      <c r="I2571" s="10" t="s">
        <v>265</v>
      </c>
      <c r="J2571" s="10" t="str">
        <f>""</f>
        <v/>
      </c>
      <c r="K2571" s="10" t="str">
        <f>"PFES1162632397_0001"</f>
        <v>PFES1162632397_0001</v>
      </c>
      <c r="L2571" s="10">
        <v>1</v>
      </c>
      <c r="M2571" s="10">
        <v>1</v>
      </c>
    </row>
    <row r="2572" spans="1:13">
      <c r="A2572" s="8">
        <v>43279</v>
      </c>
      <c r="B2572" s="9">
        <v>0.69374999999999998</v>
      </c>
      <c r="C2572" s="10" t="str">
        <f>"FES1162632366"</f>
        <v>FES1162632366</v>
      </c>
      <c r="D2572" s="10" t="s">
        <v>19</v>
      </c>
      <c r="E2572" s="10" t="s">
        <v>602</v>
      </c>
      <c r="F2572" s="10" t="str">
        <f>"2170638675 "</f>
        <v xml:space="preserve">2170638675 </v>
      </c>
      <c r="G2572" s="10" t="str">
        <f t="shared" si="69"/>
        <v>ON1</v>
      </c>
      <c r="H2572" s="10" t="s">
        <v>21</v>
      </c>
      <c r="I2572" s="10" t="s">
        <v>108</v>
      </c>
      <c r="J2572" s="10" t="str">
        <f>""</f>
        <v/>
      </c>
      <c r="K2572" s="10" t="str">
        <f>"PFES1162632366_0001"</f>
        <v>PFES1162632366_0001</v>
      </c>
      <c r="L2572" s="10">
        <v>1</v>
      </c>
      <c r="M2572" s="10">
        <v>2</v>
      </c>
    </row>
    <row r="2573" spans="1:13">
      <c r="A2573" s="8">
        <v>43279</v>
      </c>
      <c r="B2573" s="9">
        <v>0.69236111111111109</v>
      </c>
      <c r="C2573" s="10" t="str">
        <f>"FES1162632363"</f>
        <v>FES1162632363</v>
      </c>
      <c r="D2573" s="10" t="s">
        <v>19</v>
      </c>
      <c r="E2573" s="10" t="s">
        <v>602</v>
      </c>
      <c r="F2573" s="10" t="str">
        <f>"2170638674 "</f>
        <v xml:space="preserve">2170638674 </v>
      </c>
      <c r="G2573" s="10" t="str">
        <f t="shared" si="69"/>
        <v>ON1</v>
      </c>
      <c r="H2573" s="10" t="s">
        <v>21</v>
      </c>
      <c r="I2573" s="10" t="s">
        <v>108</v>
      </c>
      <c r="J2573" s="10" t="str">
        <f>""</f>
        <v/>
      </c>
      <c r="K2573" s="10" t="str">
        <f>"PFES1162632363_0001"</f>
        <v>PFES1162632363_0001</v>
      </c>
      <c r="L2573" s="10">
        <v>1</v>
      </c>
      <c r="M2573" s="10">
        <v>6</v>
      </c>
    </row>
    <row r="2574" spans="1:13">
      <c r="A2574" s="8">
        <v>43279</v>
      </c>
      <c r="B2574" s="9">
        <v>0.69166666666666676</v>
      </c>
      <c r="C2574" s="10" t="str">
        <f>"FES1162632411"</f>
        <v>FES1162632411</v>
      </c>
      <c r="D2574" s="10" t="s">
        <v>19</v>
      </c>
      <c r="E2574" s="10" t="s">
        <v>335</v>
      </c>
      <c r="F2574" s="10" t="str">
        <f>"2170639058 "</f>
        <v xml:space="preserve">2170639058 </v>
      </c>
      <c r="G2574" s="10" t="str">
        <f t="shared" si="69"/>
        <v>ON1</v>
      </c>
      <c r="H2574" s="10" t="s">
        <v>21</v>
      </c>
      <c r="I2574" s="10" t="s">
        <v>336</v>
      </c>
      <c r="J2574" s="10" t="str">
        <f>""</f>
        <v/>
      </c>
      <c r="K2574" s="10" t="str">
        <f>"PFES1162632411_0001"</f>
        <v>PFES1162632411_0001</v>
      </c>
      <c r="L2574" s="10">
        <v>1</v>
      </c>
      <c r="M2574" s="10">
        <v>2</v>
      </c>
    </row>
    <row r="2575" spans="1:13">
      <c r="A2575" s="8">
        <v>43279</v>
      </c>
      <c r="B2575" s="9">
        <v>0.69097222222222221</v>
      </c>
      <c r="C2575" s="10" t="str">
        <f>"FES1162632365"</f>
        <v>FES1162632365</v>
      </c>
      <c r="D2575" s="10" t="s">
        <v>19</v>
      </c>
      <c r="E2575" s="10" t="s">
        <v>204</v>
      </c>
      <c r="F2575" s="10" t="str">
        <f>"2170638374 "</f>
        <v xml:space="preserve">2170638374 </v>
      </c>
      <c r="G2575" s="10" t="str">
        <f t="shared" si="69"/>
        <v>ON1</v>
      </c>
      <c r="H2575" s="10" t="s">
        <v>21</v>
      </c>
      <c r="I2575" s="10" t="s">
        <v>205</v>
      </c>
      <c r="J2575" s="10" t="str">
        <f>""</f>
        <v/>
      </c>
      <c r="K2575" s="10" t="str">
        <f>"PFES1162632365_0001"</f>
        <v>PFES1162632365_0001</v>
      </c>
      <c r="L2575" s="10">
        <v>1</v>
      </c>
      <c r="M2575" s="10">
        <v>6</v>
      </c>
    </row>
    <row r="2576" spans="1:13">
      <c r="A2576" s="8">
        <v>43279</v>
      </c>
      <c r="B2576" s="9">
        <v>0.68958333333333333</v>
      </c>
      <c r="C2576" s="10" t="str">
        <f>"FES1162632157"</f>
        <v>FES1162632157</v>
      </c>
      <c r="D2576" s="10" t="s">
        <v>19</v>
      </c>
      <c r="E2576" s="10" t="s">
        <v>1037</v>
      </c>
      <c r="F2576" s="10" t="str">
        <f>"2170633172 "</f>
        <v xml:space="preserve">2170633172 </v>
      </c>
      <c r="G2576" s="10" t="str">
        <f t="shared" si="69"/>
        <v>ON1</v>
      </c>
      <c r="H2576" s="10" t="s">
        <v>21</v>
      </c>
      <c r="I2576" s="10" t="s">
        <v>156</v>
      </c>
      <c r="J2576" s="10" t="str">
        <f>""</f>
        <v/>
      </c>
      <c r="K2576" s="10" t="str">
        <f>"PFES1162632157_0001"</f>
        <v>PFES1162632157_0001</v>
      </c>
      <c r="L2576" s="10">
        <v>2</v>
      </c>
      <c r="M2576" s="10">
        <v>5</v>
      </c>
    </row>
    <row r="2577" spans="1:13">
      <c r="A2577" s="8">
        <v>43279</v>
      </c>
      <c r="B2577" s="9">
        <v>0.68819444444444444</v>
      </c>
      <c r="C2577" s="10" t="str">
        <f>"FES1162632346"</f>
        <v>FES1162632346</v>
      </c>
      <c r="D2577" s="10" t="s">
        <v>19</v>
      </c>
      <c r="E2577" s="10" t="s">
        <v>119</v>
      </c>
      <c r="F2577" s="10" t="str">
        <f>"2170638346 "</f>
        <v xml:space="preserve">2170638346 </v>
      </c>
      <c r="G2577" s="10" t="str">
        <f t="shared" si="69"/>
        <v>ON1</v>
      </c>
      <c r="H2577" s="10" t="s">
        <v>21</v>
      </c>
      <c r="I2577" s="10" t="s">
        <v>83</v>
      </c>
      <c r="J2577" s="10" t="str">
        <f>""</f>
        <v/>
      </c>
      <c r="K2577" s="10" t="str">
        <f>"PFES1162632346_0001"</f>
        <v>PFES1162632346_0001</v>
      </c>
      <c r="L2577" s="10">
        <v>1</v>
      </c>
      <c r="M2577" s="10">
        <v>13</v>
      </c>
    </row>
    <row r="2578" spans="1:13">
      <c r="A2578" s="8">
        <v>43279</v>
      </c>
      <c r="B2578" s="9">
        <v>0.6875</v>
      </c>
      <c r="C2578" s="10" t="str">
        <f>"FES1162632367"</f>
        <v>FES1162632367</v>
      </c>
      <c r="D2578" s="10" t="s">
        <v>19</v>
      </c>
      <c r="E2578" s="10" t="s">
        <v>1038</v>
      </c>
      <c r="F2578" s="10" t="str">
        <f>"2170637994 "</f>
        <v xml:space="preserve">2170637994 </v>
      </c>
      <c r="G2578" s="10" t="str">
        <f t="shared" si="69"/>
        <v>ON1</v>
      </c>
      <c r="H2578" s="10" t="s">
        <v>21</v>
      </c>
      <c r="I2578" s="10" t="s">
        <v>230</v>
      </c>
      <c r="J2578" s="10" t="str">
        <f>""</f>
        <v/>
      </c>
      <c r="K2578" s="10" t="str">
        <f>"PFES1162632367_0001"</f>
        <v>PFES1162632367_0001</v>
      </c>
      <c r="L2578" s="10">
        <v>1</v>
      </c>
      <c r="M2578" s="10">
        <v>3</v>
      </c>
    </row>
    <row r="2579" spans="1:13">
      <c r="A2579" s="8">
        <v>43279</v>
      </c>
      <c r="B2579" s="9">
        <v>0.68402777777777779</v>
      </c>
      <c r="C2579" s="10" t="str">
        <f>"FES1162632389"</f>
        <v>FES1162632389</v>
      </c>
      <c r="D2579" s="10" t="s">
        <v>19</v>
      </c>
      <c r="E2579" s="10" t="s">
        <v>249</v>
      </c>
      <c r="F2579" s="10" t="str">
        <f>"2170639135 "</f>
        <v xml:space="preserve">2170639135 </v>
      </c>
      <c r="G2579" s="10" t="str">
        <f t="shared" si="69"/>
        <v>ON1</v>
      </c>
      <c r="H2579" s="10" t="s">
        <v>21</v>
      </c>
      <c r="I2579" s="10" t="s">
        <v>59</v>
      </c>
      <c r="J2579" s="10" t="str">
        <f>""</f>
        <v/>
      </c>
      <c r="K2579" s="10" t="str">
        <f>"PFES1162632389_0001"</f>
        <v>PFES1162632389_0001</v>
      </c>
      <c r="L2579" s="10">
        <v>1</v>
      </c>
      <c r="M2579" s="10">
        <v>1</v>
      </c>
    </row>
    <row r="2580" spans="1:13">
      <c r="A2580" s="8">
        <v>43279</v>
      </c>
      <c r="B2580" s="9">
        <v>0.68402777777777779</v>
      </c>
      <c r="C2580" s="10" t="str">
        <f>"FES1162632337"</f>
        <v>FES1162632337</v>
      </c>
      <c r="D2580" s="10" t="s">
        <v>19</v>
      </c>
      <c r="E2580" s="10" t="s">
        <v>976</v>
      </c>
      <c r="F2580" s="10" t="str">
        <f>"2170638612 "</f>
        <v xml:space="preserve">2170638612 </v>
      </c>
      <c r="G2580" s="10" t="str">
        <f t="shared" si="69"/>
        <v>ON1</v>
      </c>
      <c r="H2580" s="10" t="s">
        <v>21</v>
      </c>
      <c r="I2580" s="10" t="s">
        <v>53</v>
      </c>
      <c r="J2580" s="10" t="str">
        <f>""</f>
        <v/>
      </c>
      <c r="K2580" s="10" t="str">
        <f>"PFES1162632337_0001"</f>
        <v>PFES1162632337_0001</v>
      </c>
      <c r="L2580" s="10">
        <v>1</v>
      </c>
      <c r="M2580" s="10">
        <v>1</v>
      </c>
    </row>
    <row r="2581" spans="1:13">
      <c r="A2581" s="8">
        <v>43279</v>
      </c>
      <c r="B2581" s="9">
        <v>0.68333333333333324</v>
      </c>
      <c r="C2581" s="10" t="str">
        <f>"FES1162632248"</f>
        <v>FES1162632248</v>
      </c>
      <c r="D2581" s="10" t="s">
        <v>19</v>
      </c>
      <c r="E2581" s="10" t="s">
        <v>119</v>
      </c>
      <c r="F2581" s="10" t="str">
        <f>"2170637123 "</f>
        <v xml:space="preserve">2170637123 </v>
      </c>
      <c r="G2581" s="10" t="str">
        <f t="shared" si="69"/>
        <v>ON1</v>
      </c>
      <c r="H2581" s="10" t="s">
        <v>21</v>
      </c>
      <c r="I2581" s="10" t="s">
        <v>83</v>
      </c>
      <c r="J2581" s="10" t="str">
        <f>""</f>
        <v/>
      </c>
      <c r="K2581" s="10" t="str">
        <f>"PFES1162632248_0001"</f>
        <v>PFES1162632248_0001</v>
      </c>
      <c r="L2581" s="10">
        <v>1</v>
      </c>
      <c r="M2581" s="10">
        <v>1</v>
      </c>
    </row>
    <row r="2582" spans="1:13">
      <c r="A2582" s="8">
        <v>43279</v>
      </c>
      <c r="B2582" s="9">
        <v>0.6777777777777777</v>
      </c>
      <c r="C2582" s="10" t="str">
        <f>"FES1162632276"</f>
        <v>FES1162632276</v>
      </c>
      <c r="D2582" s="10" t="s">
        <v>19</v>
      </c>
      <c r="E2582" s="10" t="s">
        <v>328</v>
      </c>
      <c r="F2582" s="10" t="str">
        <f>"2170637347 "</f>
        <v xml:space="preserve">2170637347 </v>
      </c>
      <c r="G2582" s="10" t="str">
        <f t="shared" si="69"/>
        <v>ON1</v>
      </c>
      <c r="H2582" s="10" t="s">
        <v>21</v>
      </c>
      <c r="I2582" s="10" t="s">
        <v>329</v>
      </c>
      <c r="J2582" s="10" t="str">
        <f>""</f>
        <v/>
      </c>
      <c r="K2582" s="10" t="str">
        <f>"PFES1162632276_0001"</f>
        <v>PFES1162632276_0001</v>
      </c>
      <c r="L2582" s="10">
        <v>1</v>
      </c>
      <c r="M2582" s="10">
        <v>4</v>
      </c>
    </row>
    <row r="2583" spans="1:13">
      <c r="A2583" s="8">
        <v>43279</v>
      </c>
      <c r="B2583" s="9">
        <v>0.67708333333333337</v>
      </c>
      <c r="C2583" s="10" t="str">
        <f>"FES1162632232"</f>
        <v>FES1162632232</v>
      </c>
      <c r="D2583" s="10" t="s">
        <v>19</v>
      </c>
      <c r="E2583" s="10" t="s">
        <v>178</v>
      </c>
      <c r="F2583" s="10" t="str">
        <f>"2170636460 "</f>
        <v xml:space="preserve">2170636460 </v>
      </c>
      <c r="G2583" s="10" t="str">
        <f t="shared" si="69"/>
        <v>ON1</v>
      </c>
      <c r="H2583" s="10" t="s">
        <v>21</v>
      </c>
      <c r="I2583" s="10" t="s">
        <v>93</v>
      </c>
      <c r="J2583" s="10" t="str">
        <f>""</f>
        <v/>
      </c>
      <c r="K2583" s="10" t="str">
        <f>"PFES1162632232_0001"</f>
        <v>PFES1162632232_0001</v>
      </c>
      <c r="L2583" s="10">
        <v>1</v>
      </c>
      <c r="M2583" s="10">
        <v>2</v>
      </c>
    </row>
    <row r="2584" spans="1:13">
      <c r="A2584" s="8">
        <v>43279</v>
      </c>
      <c r="B2584" s="9">
        <v>0.67569444444444438</v>
      </c>
      <c r="C2584" s="10" t="str">
        <f>"FES1162632400"</f>
        <v>FES1162632400</v>
      </c>
      <c r="D2584" s="10" t="s">
        <v>19</v>
      </c>
      <c r="E2584" s="10" t="s">
        <v>145</v>
      </c>
      <c r="F2584" s="10" t="str">
        <f>"2170639155 "</f>
        <v xml:space="preserve">2170639155 </v>
      </c>
      <c r="G2584" s="10" t="str">
        <f t="shared" si="69"/>
        <v>ON1</v>
      </c>
      <c r="H2584" s="10" t="s">
        <v>21</v>
      </c>
      <c r="I2584" s="10" t="s">
        <v>146</v>
      </c>
      <c r="J2584" s="10" t="str">
        <f>""</f>
        <v/>
      </c>
      <c r="K2584" s="10" t="str">
        <f>"PFES1162632400_0001"</f>
        <v>PFES1162632400_0001</v>
      </c>
      <c r="L2584" s="10">
        <v>1</v>
      </c>
      <c r="M2584" s="10">
        <v>1</v>
      </c>
    </row>
    <row r="2585" spans="1:13">
      <c r="A2585" s="8">
        <v>43279</v>
      </c>
      <c r="B2585" s="9">
        <v>0.6743055555555556</v>
      </c>
      <c r="C2585" s="10" t="str">
        <f>"FES1162632406"</f>
        <v>FES1162632406</v>
      </c>
      <c r="D2585" s="10" t="s">
        <v>19</v>
      </c>
      <c r="E2585" s="10" t="s">
        <v>975</v>
      </c>
      <c r="F2585" s="10" t="str">
        <f>"2170639166 "</f>
        <v xml:space="preserve">2170639166 </v>
      </c>
      <c r="G2585" s="10" t="str">
        <f t="shared" si="69"/>
        <v>ON1</v>
      </c>
      <c r="H2585" s="10" t="s">
        <v>21</v>
      </c>
      <c r="I2585" s="10" t="s">
        <v>439</v>
      </c>
      <c r="J2585" s="10" t="str">
        <f>""</f>
        <v/>
      </c>
      <c r="K2585" s="10" t="str">
        <f>"PFES1162632406_0001"</f>
        <v>PFES1162632406_0001</v>
      </c>
      <c r="L2585" s="10">
        <v>1</v>
      </c>
      <c r="M2585" s="10">
        <v>4</v>
      </c>
    </row>
    <row r="2586" spans="1:13">
      <c r="A2586" s="8">
        <v>43279</v>
      </c>
      <c r="B2586" s="9">
        <v>0.67361111111111116</v>
      </c>
      <c r="C2586" s="10" t="str">
        <f>"FES1162632352"</f>
        <v>FES1162632352</v>
      </c>
      <c r="D2586" s="10" t="s">
        <v>19</v>
      </c>
      <c r="E2586" s="10" t="s">
        <v>1039</v>
      </c>
      <c r="F2586" s="10" t="str">
        <f>"2170638962 "</f>
        <v xml:space="preserve">2170638962 </v>
      </c>
      <c r="G2586" s="10" t="str">
        <f>"DBC"</f>
        <v>DBC</v>
      </c>
      <c r="H2586" s="10" t="s">
        <v>21</v>
      </c>
      <c r="I2586" s="10" t="s">
        <v>36</v>
      </c>
      <c r="J2586" s="10" t="str">
        <f>""</f>
        <v/>
      </c>
      <c r="K2586" s="10" t="str">
        <f>"PFES1162632352_0001"</f>
        <v>PFES1162632352_0001</v>
      </c>
      <c r="L2586" s="10">
        <v>1</v>
      </c>
      <c r="M2586" s="10">
        <v>25</v>
      </c>
    </row>
    <row r="2587" spans="1:13">
      <c r="A2587" s="8">
        <v>43279</v>
      </c>
      <c r="B2587" s="9">
        <v>0.67291666666666661</v>
      </c>
      <c r="C2587" s="10" t="str">
        <f>"FES1162632404"</f>
        <v>FES1162632404</v>
      </c>
      <c r="D2587" s="10" t="s">
        <v>19</v>
      </c>
      <c r="E2587" s="10" t="s">
        <v>193</v>
      </c>
      <c r="F2587" s="10" t="str">
        <f>"2170639162 "</f>
        <v xml:space="preserve">2170639162 </v>
      </c>
      <c r="G2587" s="10" t="str">
        <f t="shared" ref="G2587:G2638" si="70">"ON1"</f>
        <v>ON1</v>
      </c>
      <c r="H2587" s="10" t="s">
        <v>21</v>
      </c>
      <c r="I2587" s="10" t="s">
        <v>30</v>
      </c>
      <c r="J2587" s="10" t="str">
        <f>""</f>
        <v/>
      </c>
      <c r="K2587" s="10" t="str">
        <f>"PFES1162632404_0001"</f>
        <v>PFES1162632404_0001</v>
      </c>
      <c r="L2587" s="10">
        <v>1</v>
      </c>
      <c r="M2587" s="10">
        <v>1</v>
      </c>
    </row>
    <row r="2588" spans="1:13">
      <c r="A2588" s="8">
        <v>43279</v>
      </c>
      <c r="B2588" s="9">
        <v>0.67222222222222217</v>
      </c>
      <c r="C2588" s="10" t="str">
        <f>"FES1162632377"</f>
        <v>FES1162632377</v>
      </c>
      <c r="D2588" s="10" t="s">
        <v>19</v>
      </c>
      <c r="E2588" s="10" t="s">
        <v>323</v>
      </c>
      <c r="F2588" s="10" t="str">
        <f>"2170638943 "</f>
        <v xml:space="preserve">2170638943 </v>
      </c>
      <c r="G2588" s="10" t="str">
        <f t="shared" si="70"/>
        <v>ON1</v>
      </c>
      <c r="H2588" s="10" t="s">
        <v>21</v>
      </c>
      <c r="I2588" s="10" t="s">
        <v>324</v>
      </c>
      <c r="J2588" s="10" t="str">
        <f>""</f>
        <v/>
      </c>
      <c r="K2588" s="10" t="str">
        <f>"PFES1162632377_0001"</f>
        <v>PFES1162632377_0001</v>
      </c>
      <c r="L2588" s="10">
        <v>1</v>
      </c>
      <c r="M2588" s="10">
        <v>1</v>
      </c>
    </row>
    <row r="2589" spans="1:13">
      <c r="A2589" s="8">
        <v>43279</v>
      </c>
      <c r="B2589" s="9">
        <v>0.67222222222222217</v>
      </c>
      <c r="C2589" s="10" t="str">
        <f>"FES1162632336"</f>
        <v>FES1162632336</v>
      </c>
      <c r="D2589" s="10" t="s">
        <v>19</v>
      </c>
      <c r="E2589" s="10" t="s">
        <v>745</v>
      </c>
      <c r="F2589" s="10" t="str">
        <f>"2170638368 "</f>
        <v xml:space="preserve">2170638368 </v>
      </c>
      <c r="G2589" s="10" t="str">
        <f t="shared" si="70"/>
        <v>ON1</v>
      </c>
      <c r="H2589" s="10" t="s">
        <v>21</v>
      </c>
      <c r="I2589" s="10" t="s">
        <v>85</v>
      </c>
      <c r="J2589" s="10" t="str">
        <f>""</f>
        <v/>
      </c>
      <c r="K2589" s="10" t="str">
        <f>"PFES1162632336_0001"</f>
        <v>PFES1162632336_0001</v>
      </c>
      <c r="L2589" s="10">
        <v>1</v>
      </c>
      <c r="M2589" s="10">
        <v>1</v>
      </c>
    </row>
    <row r="2590" spans="1:13">
      <c r="A2590" s="8">
        <v>43279</v>
      </c>
      <c r="B2590" s="9">
        <v>0.67152777777777783</v>
      </c>
      <c r="C2590" s="10" t="str">
        <f>"FES1162632402"</f>
        <v>FES1162632402</v>
      </c>
      <c r="D2590" s="10" t="s">
        <v>19</v>
      </c>
      <c r="E2590" s="10" t="s">
        <v>99</v>
      </c>
      <c r="F2590" s="10" t="str">
        <f>"2170639160 "</f>
        <v xml:space="preserve">2170639160 </v>
      </c>
      <c r="G2590" s="10" t="str">
        <f t="shared" si="70"/>
        <v>ON1</v>
      </c>
      <c r="H2590" s="10" t="s">
        <v>21</v>
      </c>
      <c r="I2590" s="10" t="s">
        <v>100</v>
      </c>
      <c r="J2590" s="10" t="str">
        <f>""</f>
        <v/>
      </c>
      <c r="K2590" s="10" t="str">
        <f>"PFES1162632402_0001"</f>
        <v>PFES1162632402_0001</v>
      </c>
      <c r="L2590" s="10">
        <v>1</v>
      </c>
      <c r="M2590" s="10">
        <v>1</v>
      </c>
    </row>
    <row r="2591" spans="1:13">
      <c r="A2591" s="8">
        <v>43279</v>
      </c>
      <c r="B2591" s="9">
        <v>0.67152777777777783</v>
      </c>
      <c r="C2591" s="10" t="str">
        <f>"FES1162632396"</f>
        <v>FES1162632396</v>
      </c>
      <c r="D2591" s="10" t="s">
        <v>19</v>
      </c>
      <c r="E2591" s="10" t="s">
        <v>387</v>
      </c>
      <c r="F2591" s="10" t="str">
        <f>"2170639150 "</f>
        <v xml:space="preserve">2170639150 </v>
      </c>
      <c r="G2591" s="10" t="str">
        <f t="shared" si="70"/>
        <v>ON1</v>
      </c>
      <c r="H2591" s="10" t="s">
        <v>21</v>
      </c>
      <c r="I2591" s="10" t="s">
        <v>69</v>
      </c>
      <c r="J2591" s="10" t="str">
        <f>""</f>
        <v/>
      </c>
      <c r="K2591" s="10" t="str">
        <f>"PFES1162632396_0001"</f>
        <v>PFES1162632396_0001</v>
      </c>
      <c r="L2591" s="10">
        <v>1</v>
      </c>
      <c r="M2591" s="10">
        <v>1</v>
      </c>
    </row>
    <row r="2592" spans="1:13">
      <c r="A2592" s="8">
        <v>43279</v>
      </c>
      <c r="B2592" s="9">
        <v>0.67083333333333339</v>
      </c>
      <c r="C2592" s="10" t="str">
        <f>"FES1162632405"</f>
        <v>FES1162632405</v>
      </c>
      <c r="D2592" s="10" t="s">
        <v>19</v>
      </c>
      <c r="E2592" s="10" t="s">
        <v>122</v>
      </c>
      <c r="F2592" s="10" t="str">
        <f>"2170639165 "</f>
        <v xml:space="preserve">2170639165 </v>
      </c>
      <c r="G2592" s="10" t="str">
        <f t="shared" si="70"/>
        <v>ON1</v>
      </c>
      <c r="H2592" s="10" t="s">
        <v>21</v>
      </c>
      <c r="I2592" s="10" t="s">
        <v>75</v>
      </c>
      <c r="J2592" s="10" t="str">
        <f>""</f>
        <v/>
      </c>
      <c r="K2592" s="10" t="str">
        <f>"PFES1162632405_0001"</f>
        <v>PFES1162632405_0001</v>
      </c>
      <c r="L2592" s="10">
        <v>1</v>
      </c>
      <c r="M2592" s="10">
        <v>1</v>
      </c>
    </row>
    <row r="2593" spans="1:13">
      <c r="A2593" s="8">
        <v>43279</v>
      </c>
      <c r="B2593" s="9">
        <v>0.67083333333333339</v>
      </c>
      <c r="C2593" s="10" t="str">
        <f>"FES1162632371"</f>
        <v>FES1162632371</v>
      </c>
      <c r="D2593" s="10" t="s">
        <v>19</v>
      </c>
      <c r="E2593" s="10" t="s">
        <v>466</v>
      </c>
      <c r="F2593" s="10" t="str">
        <f>"2170639107 "</f>
        <v xml:space="preserve">2170639107 </v>
      </c>
      <c r="G2593" s="10" t="str">
        <f t="shared" si="70"/>
        <v>ON1</v>
      </c>
      <c r="H2593" s="10" t="s">
        <v>21</v>
      </c>
      <c r="I2593" s="10" t="s">
        <v>467</v>
      </c>
      <c r="J2593" s="10" t="str">
        <f>""</f>
        <v/>
      </c>
      <c r="K2593" s="10" t="str">
        <f>"PFES1162632371_0001"</f>
        <v>PFES1162632371_0001</v>
      </c>
      <c r="L2593" s="10">
        <v>1</v>
      </c>
      <c r="M2593" s="10">
        <v>1</v>
      </c>
    </row>
    <row r="2594" spans="1:13">
      <c r="A2594" s="8">
        <v>43279</v>
      </c>
      <c r="B2594" s="9">
        <v>0.67013888888888884</v>
      </c>
      <c r="C2594" s="10" t="str">
        <f>"FES1162632332"</f>
        <v>FES1162632332</v>
      </c>
      <c r="D2594" s="10" t="s">
        <v>19</v>
      </c>
      <c r="E2594" s="10" t="s">
        <v>72</v>
      </c>
      <c r="F2594" s="10" t="str">
        <f>"2170638153 "</f>
        <v xml:space="preserve">2170638153 </v>
      </c>
      <c r="G2594" s="10" t="str">
        <f t="shared" si="70"/>
        <v>ON1</v>
      </c>
      <c r="H2594" s="10" t="s">
        <v>21</v>
      </c>
      <c r="I2594" s="10" t="s">
        <v>73</v>
      </c>
      <c r="J2594" s="10" t="str">
        <f>""</f>
        <v/>
      </c>
      <c r="K2594" s="10" t="str">
        <f>"PFES1162632332_0001"</f>
        <v>PFES1162632332_0001</v>
      </c>
      <c r="L2594" s="10">
        <v>1</v>
      </c>
      <c r="M2594" s="10">
        <v>1</v>
      </c>
    </row>
    <row r="2595" spans="1:13">
      <c r="A2595" s="8">
        <v>43279</v>
      </c>
      <c r="B2595" s="9">
        <v>0.66875000000000007</v>
      </c>
      <c r="C2595" s="10" t="str">
        <f>"FES1162632395"</f>
        <v>FES1162632395</v>
      </c>
      <c r="D2595" s="10" t="s">
        <v>19</v>
      </c>
      <c r="E2595" s="10" t="s">
        <v>540</v>
      </c>
      <c r="F2595" s="10" t="str">
        <f>"2170639146 "</f>
        <v xml:space="preserve">2170639146 </v>
      </c>
      <c r="G2595" s="10" t="str">
        <f t="shared" si="70"/>
        <v>ON1</v>
      </c>
      <c r="H2595" s="10" t="s">
        <v>21</v>
      </c>
      <c r="I2595" s="10" t="s">
        <v>55</v>
      </c>
      <c r="J2595" s="10" t="str">
        <f>""</f>
        <v/>
      </c>
      <c r="K2595" s="10" t="str">
        <f>"PFES1162632395_0001"</f>
        <v>PFES1162632395_0001</v>
      </c>
      <c r="L2595" s="10">
        <v>1</v>
      </c>
      <c r="M2595" s="10">
        <v>8</v>
      </c>
    </row>
    <row r="2596" spans="1:13">
      <c r="A2596" s="8">
        <v>43279</v>
      </c>
      <c r="B2596" s="9">
        <v>0.66736111111111107</v>
      </c>
      <c r="C2596" s="10" t="str">
        <f>"FES1162632243"</f>
        <v>FES1162632243</v>
      </c>
      <c r="D2596" s="10" t="s">
        <v>19</v>
      </c>
      <c r="E2596" s="10" t="s">
        <v>1040</v>
      </c>
      <c r="F2596" s="10" t="str">
        <f>"2170636936 "</f>
        <v xml:space="preserve">2170636936 </v>
      </c>
      <c r="G2596" s="10" t="str">
        <f t="shared" si="70"/>
        <v>ON1</v>
      </c>
      <c r="H2596" s="10" t="s">
        <v>21</v>
      </c>
      <c r="I2596" s="10" t="s">
        <v>83</v>
      </c>
      <c r="J2596" s="10" t="str">
        <f>""</f>
        <v/>
      </c>
      <c r="K2596" s="10" t="str">
        <f>"PFES1162632243_0001"</f>
        <v>PFES1162632243_0001</v>
      </c>
      <c r="L2596" s="10">
        <v>1</v>
      </c>
      <c r="M2596" s="10">
        <v>1</v>
      </c>
    </row>
    <row r="2597" spans="1:13">
      <c r="A2597" s="8">
        <v>43279</v>
      </c>
      <c r="B2597" s="9">
        <v>0.66597222222222219</v>
      </c>
      <c r="C2597" s="10" t="str">
        <f>"FES1162632277"</f>
        <v>FES1162632277</v>
      </c>
      <c r="D2597" s="10" t="s">
        <v>19</v>
      </c>
      <c r="E2597" s="10" t="s">
        <v>341</v>
      </c>
      <c r="F2597" s="10" t="str">
        <f>"2170637349 "</f>
        <v xml:space="preserve">2170637349 </v>
      </c>
      <c r="G2597" s="10" t="str">
        <f t="shared" si="70"/>
        <v>ON1</v>
      </c>
      <c r="H2597" s="10" t="s">
        <v>21</v>
      </c>
      <c r="I2597" s="10" t="s">
        <v>342</v>
      </c>
      <c r="J2597" s="10" t="str">
        <f>""</f>
        <v/>
      </c>
      <c r="K2597" s="10" t="str">
        <f>"PFES1162632277_0001"</f>
        <v>PFES1162632277_0001</v>
      </c>
      <c r="L2597" s="10">
        <v>1</v>
      </c>
      <c r="M2597" s="10">
        <v>1</v>
      </c>
    </row>
    <row r="2598" spans="1:13">
      <c r="A2598" s="8">
        <v>43279</v>
      </c>
      <c r="B2598" s="9">
        <v>0.66527777777777775</v>
      </c>
      <c r="C2598" s="10" t="str">
        <f>"FES1162632359"</f>
        <v>FES1162632359</v>
      </c>
      <c r="D2598" s="10" t="s">
        <v>19</v>
      </c>
      <c r="E2598" s="10" t="s">
        <v>122</v>
      </c>
      <c r="F2598" s="10" t="str">
        <f>"2170639101 "</f>
        <v xml:space="preserve">2170639101 </v>
      </c>
      <c r="G2598" s="10" t="str">
        <f t="shared" si="70"/>
        <v>ON1</v>
      </c>
      <c r="H2598" s="10" t="s">
        <v>21</v>
      </c>
      <c r="I2598" s="10" t="s">
        <v>75</v>
      </c>
      <c r="J2598" s="10" t="str">
        <f>""</f>
        <v/>
      </c>
      <c r="K2598" s="10" t="str">
        <f>"PFES1162632359_0001"</f>
        <v>PFES1162632359_0001</v>
      </c>
      <c r="L2598" s="10">
        <v>1</v>
      </c>
      <c r="M2598" s="10">
        <v>1</v>
      </c>
    </row>
    <row r="2599" spans="1:13">
      <c r="A2599" s="8">
        <v>43279</v>
      </c>
      <c r="B2599" s="9">
        <v>0.66527777777777775</v>
      </c>
      <c r="C2599" s="10" t="str">
        <f>"FES1162632217"</f>
        <v>FES1162632217</v>
      </c>
      <c r="D2599" s="10" t="s">
        <v>19</v>
      </c>
      <c r="E2599" s="10" t="s">
        <v>291</v>
      </c>
      <c r="F2599" s="10" t="str">
        <f>"2170638986 "</f>
        <v xml:space="preserve">2170638986 </v>
      </c>
      <c r="G2599" s="10" t="str">
        <f t="shared" si="70"/>
        <v>ON1</v>
      </c>
      <c r="H2599" s="10" t="s">
        <v>21</v>
      </c>
      <c r="I2599" s="10" t="s">
        <v>292</v>
      </c>
      <c r="J2599" s="10" t="str">
        <f>""</f>
        <v/>
      </c>
      <c r="K2599" s="10" t="str">
        <f>"PFES1162632217_0001"</f>
        <v>PFES1162632217_0001</v>
      </c>
      <c r="L2599" s="10">
        <v>1</v>
      </c>
      <c r="M2599" s="10">
        <v>1</v>
      </c>
    </row>
    <row r="2600" spans="1:13">
      <c r="A2600" s="8">
        <v>43279</v>
      </c>
      <c r="B2600" s="9">
        <v>0.6645833333333333</v>
      </c>
      <c r="C2600" s="10" t="str">
        <f>"FES1162632338"</f>
        <v>FES1162632338</v>
      </c>
      <c r="D2600" s="10" t="s">
        <v>19</v>
      </c>
      <c r="E2600" s="10" t="s">
        <v>74</v>
      </c>
      <c r="F2600" s="10" t="str">
        <f>"2170638702 "</f>
        <v xml:space="preserve">2170638702 </v>
      </c>
      <c r="G2600" s="10" t="str">
        <f t="shared" si="70"/>
        <v>ON1</v>
      </c>
      <c r="H2600" s="10" t="s">
        <v>21</v>
      </c>
      <c r="I2600" s="10" t="s">
        <v>75</v>
      </c>
      <c r="J2600" s="10" t="str">
        <f>""</f>
        <v/>
      </c>
      <c r="K2600" s="10" t="str">
        <f>"PFES1162632338_0001"</f>
        <v>PFES1162632338_0001</v>
      </c>
      <c r="L2600" s="10">
        <v>1</v>
      </c>
      <c r="M2600" s="10">
        <v>1</v>
      </c>
    </row>
    <row r="2601" spans="1:13">
      <c r="A2601" s="8">
        <v>43279</v>
      </c>
      <c r="B2601" s="9">
        <v>0.66388888888888886</v>
      </c>
      <c r="C2601" s="10" t="str">
        <f>"FES1162632356"</f>
        <v>FES1162632356</v>
      </c>
      <c r="D2601" s="10" t="s">
        <v>19</v>
      </c>
      <c r="E2601" s="10" t="s">
        <v>894</v>
      </c>
      <c r="F2601" s="10" t="str">
        <f>"2170639098 "</f>
        <v xml:space="preserve">2170639098 </v>
      </c>
      <c r="G2601" s="10" t="str">
        <f t="shared" si="70"/>
        <v>ON1</v>
      </c>
      <c r="H2601" s="10" t="s">
        <v>21</v>
      </c>
      <c r="I2601" s="10" t="s">
        <v>683</v>
      </c>
      <c r="J2601" s="10" t="str">
        <f>""</f>
        <v/>
      </c>
      <c r="K2601" s="10" t="str">
        <f>"PFES1162632356_0001"</f>
        <v>PFES1162632356_0001</v>
      </c>
      <c r="L2601" s="10">
        <v>1</v>
      </c>
      <c r="M2601" s="10">
        <v>4</v>
      </c>
    </row>
    <row r="2602" spans="1:13">
      <c r="A2602" s="8">
        <v>43279</v>
      </c>
      <c r="B2602" s="9">
        <v>0.65972222222222221</v>
      </c>
      <c r="C2602" s="10" t="str">
        <f>"FES1162632374"</f>
        <v>FES1162632374</v>
      </c>
      <c r="D2602" s="10" t="s">
        <v>19</v>
      </c>
      <c r="E2602" s="10" t="s">
        <v>769</v>
      </c>
      <c r="F2602" s="10" t="str">
        <f>"2170639117 "</f>
        <v xml:space="preserve">2170639117 </v>
      </c>
      <c r="G2602" s="10" t="str">
        <f t="shared" si="70"/>
        <v>ON1</v>
      </c>
      <c r="H2602" s="10" t="s">
        <v>21</v>
      </c>
      <c r="I2602" s="10" t="s">
        <v>42</v>
      </c>
      <c r="J2602" s="10" t="str">
        <f>""</f>
        <v/>
      </c>
      <c r="K2602" s="10" t="str">
        <f>"PFES1162632374_0001"</f>
        <v>PFES1162632374_0001</v>
      </c>
      <c r="L2602" s="10">
        <v>1</v>
      </c>
      <c r="M2602" s="10">
        <v>1</v>
      </c>
    </row>
    <row r="2603" spans="1:13">
      <c r="A2603" s="8">
        <v>43279</v>
      </c>
      <c r="B2603" s="9">
        <v>0.65833333333333333</v>
      </c>
      <c r="C2603" s="10" t="str">
        <f>"FES1162632376"</f>
        <v>FES1162632376</v>
      </c>
      <c r="D2603" s="10" t="s">
        <v>19</v>
      </c>
      <c r="E2603" s="10" t="s">
        <v>314</v>
      </c>
      <c r="F2603" s="10" t="str">
        <f>"2170639119 "</f>
        <v xml:space="preserve">2170639119 </v>
      </c>
      <c r="G2603" s="10" t="str">
        <f t="shared" si="70"/>
        <v>ON1</v>
      </c>
      <c r="H2603" s="10" t="s">
        <v>21</v>
      </c>
      <c r="I2603" s="10" t="s">
        <v>57</v>
      </c>
      <c r="J2603" s="10" t="str">
        <f>""</f>
        <v/>
      </c>
      <c r="K2603" s="10" t="str">
        <f>"PFES1162632376_0001"</f>
        <v>PFES1162632376_0001</v>
      </c>
      <c r="L2603" s="10">
        <v>1</v>
      </c>
      <c r="M2603" s="10">
        <v>1</v>
      </c>
    </row>
    <row r="2604" spans="1:13">
      <c r="A2604" s="8">
        <v>43279</v>
      </c>
      <c r="B2604" s="9">
        <v>0.65625</v>
      </c>
      <c r="C2604" s="10" t="str">
        <f>"FES1162632370"</f>
        <v>FES1162632370</v>
      </c>
      <c r="D2604" s="10" t="s">
        <v>19</v>
      </c>
      <c r="E2604" s="10" t="s">
        <v>263</v>
      </c>
      <c r="F2604" s="10" t="str">
        <f>"2170639106 "</f>
        <v xml:space="preserve">2170639106 </v>
      </c>
      <c r="G2604" s="10" t="str">
        <f t="shared" si="70"/>
        <v>ON1</v>
      </c>
      <c r="H2604" s="10" t="s">
        <v>21</v>
      </c>
      <c r="I2604" s="10" t="s">
        <v>230</v>
      </c>
      <c r="J2604" s="10" t="str">
        <f>""</f>
        <v/>
      </c>
      <c r="K2604" s="10" t="str">
        <f>"PFES1162632370_0001"</f>
        <v>PFES1162632370_0001</v>
      </c>
      <c r="L2604" s="10">
        <v>1</v>
      </c>
      <c r="M2604" s="10">
        <v>2</v>
      </c>
    </row>
    <row r="2605" spans="1:13">
      <c r="A2605" s="8">
        <v>43279</v>
      </c>
      <c r="B2605" s="9">
        <v>0.65486111111111112</v>
      </c>
      <c r="C2605" s="10" t="str">
        <f>"FES1162632387"</f>
        <v>FES1162632387</v>
      </c>
      <c r="D2605" s="10" t="s">
        <v>19</v>
      </c>
      <c r="E2605" s="10" t="s">
        <v>252</v>
      </c>
      <c r="F2605" s="10" t="str">
        <f>"2170639133 "</f>
        <v xml:space="preserve">2170639133 </v>
      </c>
      <c r="G2605" s="10" t="str">
        <f t="shared" si="70"/>
        <v>ON1</v>
      </c>
      <c r="H2605" s="10" t="s">
        <v>21</v>
      </c>
      <c r="I2605" s="10" t="s">
        <v>253</v>
      </c>
      <c r="J2605" s="10" t="str">
        <f>""</f>
        <v/>
      </c>
      <c r="K2605" s="10" t="str">
        <f>"PFES1162632387_0001"</f>
        <v>PFES1162632387_0001</v>
      </c>
      <c r="L2605" s="10">
        <v>1</v>
      </c>
      <c r="M2605" s="10">
        <v>1</v>
      </c>
    </row>
    <row r="2606" spans="1:13">
      <c r="A2606" s="8">
        <v>43279</v>
      </c>
      <c r="B2606" s="9">
        <v>0.65347222222222223</v>
      </c>
      <c r="C2606" s="10" t="str">
        <f>"FES1162632278"</f>
        <v>FES1162632278</v>
      </c>
      <c r="D2606" s="10" t="s">
        <v>19</v>
      </c>
      <c r="E2606" s="10" t="s">
        <v>122</v>
      </c>
      <c r="F2606" s="10" t="str">
        <f>"2170637385 "</f>
        <v xml:space="preserve">2170637385 </v>
      </c>
      <c r="G2606" s="10" t="str">
        <f t="shared" si="70"/>
        <v>ON1</v>
      </c>
      <c r="H2606" s="10" t="s">
        <v>21</v>
      </c>
      <c r="I2606" s="10" t="s">
        <v>75</v>
      </c>
      <c r="J2606" s="10" t="str">
        <f>""</f>
        <v/>
      </c>
      <c r="K2606" s="10" t="str">
        <f>"PFES1162632278_0001"</f>
        <v>PFES1162632278_0001</v>
      </c>
      <c r="L2606" s="10">
        <v>1</v>
      </c>
      <c r="M2606" s="10">
        <v>4</v>
      </c>
    </row>
    <row r="2607" spans="1:13">
      <c r="A2607" s="8">
        <v>43279</v>
      </c>
      <c r="B2607" s="9">
        <v>0.65138888888888891</v>
      </c>
      <c r="C2607" s="10" t="str">
        <f>"FES1162632334"</f>
        <v>FES1162632334</v>
      </c>
      <c r="D2607" s="10" t="s">
        <v>19</v>
      </c>
      <c r="E2607" s="10" t="s">
        <v>60</v>
      </c>
      <c r="F2607" s="10" t="str">
        <f>"2170638311 "</f>
        <v xml:space="preserve">2170638311 </v>
      </c>
      <c r="G2607" s="10" t="str">
        <f t="shared" si="70"/>
        <v>ON1</v>
      </c>
      <c r="H2607" s="10" t="s">
        <v>21</v>
      </c>
      <c r="I2607" s="10" t="s">
        <v>61</v>
      </c>
      <c r="J2607" s="10" t="str">
        <f>""</f>
        <v/>
      </c>
      <c r="K2607" s="10" t="str">
        <f>"PFES1162632334_0001"</f>
        <v>PFES1162632334_0001</v>
      </c>
      <c r="L2607" s="10">
        <v>1</v>
      </c>
      <c r="M2607" s="10">
        <v>1</v>
      </c>
    </row>
    <row r="2608" spans="1:13">
      <c r="A2608" s="8">
        <v>43279</v>
      </c>
      <c r="B2608" s="9">
        <v>0.6479166666666667</v>
      </c>
      <c r="C2608" s="10" t="str">
        <f>"FES1162632328"</f>
        <v>FES1162632328</v>
      </c>
      <c r="D2608" s="10" t="s">
        <v>19</v>
      </c>
      <c r="E2608" s="10" t="s">
        <v>64</v>
      </c>
      <c r="F2608" s="10" t="str">
        <f>"2170638472 "</f>
        <v xml:space="preserve">2170638472 </v>
      </c>
      <c r="G2608" s="10" t="str">
        <f t="shared" si="70"/>
        <v>ON1</v>
      </c>
      <c r="H2608" s="10" t="s">
        <v>21</v>
      </c>
      <c r="I2608" s="10" t="s">
        <v>40</v>
      </c>
      <c r="J2608" s="10" t="str">
        <f>""</f>
        <v/>
      </c>
      <c r="K2608" s="10" t="str">
        <f>"PFES1162632328_0001"</f>
        <v>PFES1162632328_0001</v>
      </c>
      <c r="L2608" s="10">
        <v>1</v>
      </c>
      <c r="M2608" s="10">
        <v>1</v>
      </c>
    </row>
    <row r="2609" spans="1:13">
      <c r="A2609" s="8">
        <v>43279</v>
      </c>
      <c r="B2609" s="9">
        <v>0.64722222222222225</v>
      </c>
      <c r="C2609" s="10" t="str">
        <f>"FES1162632333"</f>
        <v>FES1162632333</v>
      </c>
      <c r="D2609" s="10" t="s">
        <v>19</v>
      </c>
      <c r="E2609" s="10" t="s">
        <v>29</v>
      </c>
      <c r="F2609" s="10" t="str">
        <f>"2170638286 "</f>
        <v xml:space="preserve">2170638286 </v>
      </c>
      <c r="G2609" s="10" t="str">
        <f t="shared" si="70"/>
        <v>ON1</v>
      </c>
      <c r="H2609" s="10" t="s">
        <v>21</v>
      </c>
      <c r="I2609" s="10" t="s">
        <v>30</v>
      </c>
      <c r="J2609" s="10" t="str">
        <f>""</f>
        <v/>
      </c>
      <c r="K2609" s="10" t="str">
        <f>"PFES1162632333_0001"</f>
        <v>PFES1162632333_0001</v>
      </c>
      <c r="L2609" s="10">
        <v>1</v>
      </c>
      <c r="M2609" s="10">
        <v>1</v>
      </c>
    </row>
    <row r="2610" spans="1:13">
      <c r="A2610" s="8">
        <v>43279</v>
      </c>
      <c r="B2610" s="9">
        <v>0.64722222222222225</v>
      </c>
      <c r="C2610" s="10" t="str">
        <f>"FES1162632324"</f>
        <v>FES1162632324</v>
      </c>
      <c r="D2610" s="10" t="s">
        <v>19</v>
      </c>
      <c r="E2610" s="10" t="s">
        <v>179</v>
      </c>
      <c r="F2610" s="10" t="str">
        <f>"2170639069 "</f>
        <v xml:space="preserve">2170639069 </v>
      </c>
      <c r="G2610" s="10" t="str">
        <f t="shared" si="70"/>
        <v>ON1</v>
      </c>
      <c r="H2610" s="10" t="s">
        <v>21</v>
      </c>
      <c r="I2610" s="10" t="s">
        <v>180</v>
      </c>
      <c r="J2610" s="10" t="str">
        <f>""</f>
        <v/>
      </c>
      <c r="K2610" s="10" t="str">
        <f>"PFES1162632324_0001"</f>
        <v>PFES1162632324_0001</v>
      </c>
      <c r="L2610" s="10">
        <v>1</v>
      </c>
      <c r="M2610" s="10">
        <v>1</v>
      </c>
    </row>
    <row r="2611" spans="1:13">
      <c r="A2611" s="8">
        <v>43279</v>
      </c>
      <c r="B2611" s="9">
        <v>0.64722222222222225</v>
      </c>
      <c r="C2611" s="10" t="str">
        <f>"FES1162632301"</f>
        <v>FES1162632301</v>
      </c>
      <c r="D2611" s="10" t="s">
        <v>19</v>
      </c>
      <c r="E2611" s="10" t="s">
        <v>130</v>
      </c>
      <c r="F2611" s="10" t="str">
        <f>"2170639037 "</f>
        <v xml:space="preserve">2170639037 </v>
      </c>
      <c r="G2611" s="10" t="str">
        <f t="shared" si="70"/>
        <v>ON1</v>
      </c>
      <c r="H2611" s="10" t="s">
        <v>21</v>
      </c>
      <c r="I2611" s="10" t="s">
        <v>131</v>
      </c>
      <c r="J2611" s="10" t="str">
        <f>""</f>
        <v/>
      </c>
      <c r="K2611" s="10" t="str">
        <f>"PFES1162632301_0001"</f>
        <v>PFES1162632301_0001</v>
      </c>
      <c r="L2611" s="10">
        <v>1</v>
      </c>
      <c r="M2611" s="10">
        <v>1</v>
      </c>
    </row>
    <row r="2612" spans="1:13">
      <c r="A2612" s="8">
        <v>43279</v>
      </c>
      <c r="B2612" s="9">
        <v>0.64652777777777781</v>
      </c>
      <c r="C2612" s="10" t="str">
        <f>"FES1162632393"</f>
        <v>FES1162632393</v>
      </c>
      <c r="D2612" s="10" t="s">
        <v>19</v>
      </c>
      <c r="E2612" s="10" t="s">
        <v>124</v>
      </c>
      <c r="F2612" s="10" t="str">
        <f>"2170639142 "</f>
        <v xml:space="preserve">2170639142 </v>
      </c>
      <c r="G2612" s="10" t="str">
        <f t="shared" si="70"/>
        <v>ON1</v>
      </c>
      <c r="H2612" s="10" t="s">
        <v>21</v>
      </c>
      <c r="I2612" s="10" t="s">
        <v>40</v>
      </c>
      <c r="J2612" s="10" t="str">
        <f>""</f>
        <v/>
      </c>
      <c r="K2612" s="10" t="str">
        <f>"PFES1162632393_0001"</f>
        <v>PFES1162632393_0001</v>
      </c>
      <c r="L2612" s="10">
        <v>1</v>
      </c>
      <c r="M2612" s="10">
        <v>1</v>
      </c>
    </row>
    <row r="2613" spans="1:13">
      <c r="A2613" s="8">
        <v>43279</v>
      </c>
      <c r="B2613" s="9">
        <v>0.64583333333333337</v>
      </c>
      <c r="C2613" s="10" t="str">
        <f>"FES1162632294"</f>
        <v>FES1162632294</v>
      </c>
      <c r="D2613" s="10" t="s">
        <v>19</v>
      </c>
      <c r="E2613" s="10" t="s">
        <v>907</v>
      </c>
      <c r="F2613" s="10" t="str">
        <f>"2170639023 "</f>
        <v xml:space="preserve">2170639023 </v>
      </c>
      <c r="G2613" s="10" t="str">
        <f t="shared" si="70"/>
        <v>ON1</v>
      </c>
      <c r="H2613" s="10" t="s">
        <v>21</v>
      </c>
      <c r="I2613" s="10" t="s">
        <v>908</v>
      </c>
      <c r="J2613" s="10" t="str">
        <f>""</f>
        <v/>
      </c>
      <c r="K2613" s="10" t="str">
        <f>"PFES1162632294_0001"</f>
        <v>PFES1162632294_0001</v>
      </c>
      <c r="L2613" s="10">
        <v>1</v>
      </c>
      <c r="M2613" s="10">
        <v>1</v>
      </c>
    </row>
    <row r="2614" spans="1:13">
      <c r="A2614" s="8">
        <v>43279</v>
      </c>
      <c r="B2614" s="9">
        <v>0.64513888888888882</v>
      </c>
      <c r="C2614" s="10" t="str">
        <f>"FES1162632392"</f>
        <v>FES1162632392</v>
      </c>
      <c r="D2614" s="10" t="s">
        <v>19</v>
      </c>
      <c r="E2614" s="10" t="s">
        <v>191</v>
      </c>
      <c r="F2614" s="10" t="str">
        <f>"2170639140 "</f>
        <v xml:space="preserve">2170639140 </v>
      </c>
      <c r="G2614" s="10" t="str">
        <f t="shared" si="70"/>
        <v>ON1</v>
      </c>
      <c r="H2614" s="10" t="s">
        <v>21</v>
      </c>
      <c r="I2614" s="10" t="s">
        <v>192</v>
      </c>
      <c r="J2614" s="10" t="str">
        <f>""</f>
        <v/>
      </c>
      <c r="K2614" s="10" t="str">
        <f>"PFES1162632392_0001"</f>
        <v>PFES1162632392_0001</v>
      </c>
      <c r="L2614" s="10">
        <v>1</v>
      </c>
      <c r="M2614" s="10">
        <v>1</v>
      </c>
    </row>
    <row r="2615" spans="1:13">
      <c r="A2615" s="8">
        <v>43279</v>
      </c>
      <c r="B2615" s="9">
        <v>0.64513888888888882</v>
      </c>
      <c r="C2615" s="10" t="str">
        <f>"FES1162632245"</f>
        <v>FES1162632245</v>
      </c>
      <c r="D2615" s="10" t="s">
        <v>19</v>
      </c>
      <c r="E2615" s="10" t="s">
        <v>312</v>
      </c>
      <c r="F2615" s="10" t="str">
        <f>"2170636951 "</f>
        <v xml:space="preserve">2170636951 </v>
      </c>
      <c r="G2615" s="10" t="str">
        <f t="shared" si="70"/>
        <v>ON1</v>
      </c>
      <c r="H2615" s="10" t="s">
        <v>21</v>
      </c>
      <c r="I2615" s="10" t="s">
        <v>313</v>
      </c>
      <c r="J2615" s="10" t="str">
        <f>""</f>
        <v/>
      </c>
      <c r="K2615" s="10" t="str">
        <f>"PFES1162632245_0001"</f>
        <v>PFES1162632245_0001</v>
      </c>
      <c r="L2615" s="10">
        <v>1</v>
      </c>
      <c r="M2615" s="10">
        <v>1</v>
      </c>
    </row>
    <row r="2616" spans="1:13">
      <c r="A2616" s="8">
        <v>43279</v>
      </c>
      <c r="B2616" s="9">
        <v>0.64513888888888882</v>
      </c>
      <c r="C2616" s="10" t="str">
        <f>"FES1162632369"</f>
        <v>FES1162632369</v>
      </c>
      <c r="D2616" s="10" t="s">
        <v>19</v>
      </c>
      <c r="E2616" s="10" t="s">
        <v>642</v>
      </c>
      <c r="F2616" s="10" t="str">
        <f>"2170639104 "</f>
        <v xml:space="preserve">2170639104 </v>
      </c>
      <c r="G2616" s="10" t="str">
        <f t="shared" si="70"/>
        <v>ON1</v>
      </c>
      <c r="H2616" s="10" t="s">
        <v>21</v>
      </c>
      <c r="I2616" s="10" t="s">
        <v>285</v>
      </c>
      <c r="J2616" s="10" t="str">
        <f>""</f>
        <v/>
      </c>
      <c r="K2616" s="10" t="str">
        <f>"PFES1162632369_0001"</f>
        <v>PFES1162632369_0001</v>
      </c>
      <c r="L2616" s="10">
        <v>1</v>
      </c>
      <c r="M2616" s="10">
        <v>1</v>
      </c>
    </row>
    <row r="2617" spans="1:13">
      <c r="A2617" s="8">
        <v>43279</v>
      </c>
      <c r="B2617" s="9">
        <v>0.64444444444444449</v>
      </c>
      <c r="C2617" s="10" t="str">
        <f>"FES1162632279"</f>
        <v>FES1162632279</v>
      </c>
      <c r="D2617" s="10" t="s">
        <v>19</v>
      </c>
      <c r="E2617" s="10" t="s">
        <v>429</v>
      </c>
      <c r="F2617" s="10" t="str">
        <f>"2170637394 "</f>
        <v xml:space="preserve">2170637394 </v>
      </c>
      <c r="G2617" s="10" t="str">
        <f t="shared" si="70"/>
        <v>ON1</v>
      </c>
      <c r="H2617" s="10" t="s">
        <v>21</v>
      </c>
      <c r="I2617" s="10" t="s">
        <v>83</v>
      </c>
      <c r="J2617" s="10" t="str">
        <f>""</f>
        <v/>
      </c>
      <c r="K2617" s="10" t="str">
        <f>"PFES1162632279_0001"</f>
        <v>PFES1162632279_0001</v>
      </c>
      <c r="L2617" s="10">
        <v>1</v>
      </c>
      <c r="M2617" s="10">
        <v>1</v>
      </c>
    </row>
    <row r="2618" spans="1:13">
      <c r="A2618" s="8">
        <v>43279</v>
      </c>
      <c r="B2618" s="9">
        <v>0.64444444444444449</v>
      </c>
      <c r="C2618" s="10" t="str">
        <f>"FES1162632313"</f>
        <v>FES1162632313</v>
      </c>
      <c r="D2618" s="10" t="s">
        <v>19</v>
      </c>
      <c r="E2618" s="10" t="s">
        <v>286</v>
      </c>
      <c r="F2618" s="10" t="str">
        <f>"2170639056 "</f>
        <v xml:space="preserve">2170639056 </v>
      </c>
      <c r="G2618" s="10" t="str">
        <f t="shared" si="70"/>
        <v>ON1</v>
      </c>
      <c r="H2618" s="10" t="s">
        <v>21</v>
      </c>
      <c r="I2618" s="10" t="s">
        <v>79</v>
      </c>
      <c r="J2618" s="10" t="str">
        <f>""</f>
        <v/>
      </c>
      <c r="K2618" s="10" t="str">
        <f>"PFES1162632313_0001"</f>
        <v>PFES1162632313_0001</v>
      </c>
      <c r="L2618" s="10">
        <v>1</v>
      </c>
      <c r="M2618" s="10">
        <v>1</v>
      </c>
    </row>
    <row r="2619" spans="1:13">
      <c r="A2619" s="8">
        <v>43279</v>
      </c>
      <c r="B2619" s="9">
        <v>0.6430555555555556</v>
      </c>
      <c r="C2619" s="10" t="str">
        <f>"FES1162632280"</f>
        <v>FES1162632280</v>
      </c>
      <c r="D2619" s="10" t="s">
        <v>19</v>
      </c>
      <c r="E2619" s="10" t="s">
        <v>122</v>
      </c>
      <c r="F2619" s="10" t="str">
        <f>"2170637397 "</f>
        <v xml:space="preserve">2170637397 </v>
      </c>
      <c r="G2619" s="10" t="str">
        <f t="shared" si="70"/>
        <v>ON1</v>
      </c>
      <c r="H2619" s="10" t="s">
        <v>21</v>
      </c>
      <c r="I2619" s="10" t="s">
        <v>75</v>
      </c>
      <c r="J2619" s="10" t="str">
        <f>""</f>
        <v/>
      </c>
      <c r="K2619" s="10" t="str">
        <f>"PFES1162632280_0001"</f>
        <v>PFES1162632280_0001</v>
      </c>
      <c r="L2619" s="10">
        <v>1</v>
      </c>
      <c r="M2619" s="10">
        <v>1</v>
      </c>
    </row>
    <row r="2620" spans="1:13">
      <c r="A2620" s="8">
        <v>43279</v>
      </c>
      <c r="B2620" s="9">
        <v>0.6430555555555556</v>
      </c>
      <c r="C2620" s="10" t="str">
        <f>"FES1162632249"</f>
        <v>FES1162632249</v>
      </c>
      <c r="D2620" s="10" t="s">
        <v>19</v>
      </c>
      <c r="E2620" s="10" t="s">
        <v>291</v>
      </c>
      <c r="F2620" s="10" t="str">
        <f>"2170637131 "</f>
        <v xml:space="preserve">2170637131 </v>
      </c>
      <c r="G2620" s="10" t="str">
        <f t="shared" si="70"/>
        <v>ON1</v>
      </c>
      <c r="H2620" s="10" t="s">
        <v>21</v>
      </c>
      <c r="I2620" s="10" t="s">
        <v>131</v>
      </c>
      <c r="J2620" s="10" t="str">
        <f>""</f>
        <v/>
      </c>
      <c r="K2620" s="10" t="str">
        <f>"PFES1162632249_0001"</f>
        <v>PFES1162632249_0001</v>
      </c>
      <c r="L2620" s="10">
        <v>1</v>
      </c>
      <c r="M2620" s="10">
        <v>1</v>
      </c>
    </row>
    <row r="2621" spans="1:13">
      <c r="A2621" s="8">
        <v>43279</v>
      </c>
      <c r="B2621" s="9">
        <v>0.64236111111111105</v>
      </c>
      <c r="C2621" s="10" t="str">
        <f>"FES1162632305"</f>
        <v>FES1162632305</v>
      </c>
      <c r="D2621" s="10" t="s">
        <v>19</v>
      </c>
      <c r="E2621" s="10" t="s">
        <v>1041</v>
      </c>
      <c r="F2621" s="10" t="str">
        <f>"2170639044 "</f>
        <v xml:space="preserve">2170639044 </v>
      </c>
      <c r="G2621" s="10" t="str">
        <f t="shared" si="70"/>
        <v>ON1</v>
      </c>
      <c r="H2621" s="10" t="s">
        <v>21</v>
      </c>
      <c r="I2621" s="10" t="s">
        <v>93</v>
      </c>
      <c r="J2621" s="10" t="str">
        <f>""</f>
        <v/>
      </c>
      <c r="K2621" s="10" t="str">
        <f>"PFES1162632305_0001"</f>
        <v>PFES1162632305_0001</v>
      </c>
      <c r="L2621" s="10">
        <v>1</v>
      </c>
      <c r="M2621" s="10">
        <v>1</v>
      </c>
    </row>
    <row r="2622" spans="1:13">
      <c r="A2622" s="8">
        <v>43279</v>
      </c>
      <c r="B2622" s="9">
        <v>0.64166666666666672</v>
      </c>
      <c r="C2622" s="10" t="str">
        <f>"FES1162632167"</f>
        <v>FES1162632167</v>
      </c>
      <c r="D2622" s="10" t="s">
        <v>19</v>
      </c>
      <c r="E2622" s="10" t="s">
        <v>605</v>
      </c>
      <c r="F2622" s="10" t="str">
        <f>"2170636637 "</f>
        <v xml:space="preserve">2170636637 </v>
      </c>
      <c r="G2622" s="10" t="str">
        <f t="shared" si="70"/>
        <v>ON1</v>
      </c>
      <c r="H2622" s="10" t="s">
        <v>21</v>
      </c>
      <c r="I2622" s="10" t="s">
        <v>606</v>
      </c>
      <c r="J2622" s="10" t="str">
        <f>""</f>
        <v/>
      </c>
      <c r="K2622" s="10" t="str">
        <f>"PFES1162632167_0001"</f>
        <v>PFES1162632167_0001</v>
      </c>
      <c r="L2622" s="10">
        <v>1</v>
      </c>
      <c r="M2622" s="10">
        <v>1</v>
      </c>
    </row>
    <row r="2623" spans="1:13">
      <c r="A2623" s="8">
        <v>43279</v>
      </c>
      <c r="B2623" s="9">
        <v>0.64166666666666672</v>
      </c>
      <c r="C2623" s="10" t="str">
        <f>"FES1162632358"</f>
        <v>FES1162632358</v>
      </c>
      <c r="D2623" s="10" t="s">
        <v>19</v>
      </c>
      <c r="E2623" s="10" t="s">
        <v>894</v>
      </c>
      <c r="F2623" s="10" t="str">
        <f>"2170639100 "</f>
        <v xml:space="preserve">2170639100 </v>
      </c>
      <c r="G2623" s="10" t="str">
        <f t="shared" si="70"/>
        <v>ON1</v>
      </c>
      <c r="H2623" s="10" t="s">
        <v>21</v>
      </c>
      <c r="I2623" s="10" t="s">
        <v>683</v>
      </c>
      <c r="J2623" s="10" t="str">
        <f>""</f>
        <v/>
      </c>
      <c r="K2623" s="10" t="str">
        <f>"PFES1162632358_0001"</f>
        <v>PFES1162632358_0001</v>
      </c>
      <c r="L2623" s="10">
        <v>1</v>
      </c>
      <c r="M2623" s="10">
        <v>1</v>
      </c>
    </row>
    <row r="2624" spans="1:13">
      <c r="A2624" s="8">
        <v>43279</v>
      </c>
      <c r="B2624" s="9">
        <v>0.64166666666666672</v>
      </c>
      <c r="C2624" s="10" t="str">
        <f>"FES1162632128"</f>
        <v>FES1162632128</v>
      </c>
      <c r="D2624" s="10" t="s">
        <v>19</v>
      </c>
      <c r="E2624" s="10" t="s">
        <v>715</v>
      </c>
      <c r="F2624" s="10" t="str">
        <f>"2170638952 "</f>
        <v xml:space="preserve">2170638952 </v>
      </c>
      <c r="G2624" s="10" t="str">
        <f t="shared" si="70"/>
        <v>ON1</v>
      </c>
      <c r="H2624" s="10" t="s">
        <v>21</v>
      </c>
      <c r="I2624" s="10" t="s">
        <v>255</v>
      </c>
      <c r="J2624" s="10" t="str">
        <f>""</f>
        <v/>
      </c>
      <c r="K2624" s="10" t="str">
        <f>"PFES1162632128_0001"</f>
        <v>PFES1162632128_0001</v>
      </c>
      <c r="L2624" s="10">
        <v>1</v>
      </c>
      <c r="M2624" s="10">
        <v>1</v>
      </c>
    </row>
    <row r="2625" spans="1:13">
      <c r="A2625" s="8">
        <v>43279</v>
      </c>
      <c r="B2625" s="9">
        <v>0.64097222222222217</v>
      </c>
      <c r="C2625" s="10" t="str">
        <f>"FES1162632326"</f>
        <v>FES1162632326</v>
      </c>
      <c r="D2625" s="10" t="s">
        <v>19</v>
      </c>
      <c r="E2625" s="10" t="s">
        <v>286</v>
      </c>
      <c r="F2625" s="10" t="str">
        <f>"2170639072 "</f>
        <v xml:space="preserve">2170639072 </v>
      </c>
      <c r="G2625" s="10" t="str">
        <f t="shared" si="70"/>
        <v>ON1</v>
      </c>
      <c r="H2625" s="10" t="s">
        <v>21</v>
      </c>
      <c r="I2625" s="10" t="s">
        <v>79</v>
      </c>
      <c r="J2625" s="10" t="str">
        <f>""</f>
        <v/>
      </c>
      <c r="K2625" s="10" t="str">
        <f>"PFES1162632326_0001"</f>
        <v>PFES1162632326_0001</v>
      </c>
      <c r="L2625" s="10">
        <v>1</v>
      </c>
      <c r="M2625" s="10">
        <v>1</v>
      </c>
    </row>
    <row r="2626" spans="1:13">
      <c r="A2626" s="8">
        <v>43279</v>
      </c>
      <c r="B2626" s="9">
        <v>0.64027777777777783</v>
      </c>
      <c r="C2626" s="10" t="str">
        <f>"FES1162632347"</f>
        <v>FES1162632347</v>
      </c>
      <c r="D2626" s="10" t="s">
        <v>19</v>
      </c>
      <c r="E2626" s="10" t="s">
        <v>123</v>
      </c>
      <c r="F2626" s="10" t="str">
        <f>"2170639087 "</f>
        <v xml:space="preserve">2170639087 </v>
      </c>
      <c r="G2626" s="10" t="str">
        <f t="shared" si="70"/>
        <v>ON1</v>
      </c>
      <c r="H2626" s="10" t="s">
        <v>21</v>
      </c>
      <c r="I2626" s="10" t="s">
        <v>51</v>
      </c>
      <c r="J2626" s="10" t="str">
        <f>""</f>
        <v/>
      </c>
      <c r="K2626" s="10" t="str">
        <f>"PFES1162632347_0001"</f>
        <v>PFES1162632347_0001</v>
      </c>
      <c r="L2626" s="10">
        <v>1</v>
      </c>
      <c r="M2626" s="10">
        <v>1</v>
      </c>
    </row>
    <row r="2627" spans="1:13">
      <c r="A2627" s="8">
        <v>43279</v>
      </c>
      <c r="B2627" s="9">
        <v>0.64027777777777783</v>
      </c>
      <c r="C2627" s="10" t="str">
        <f>"FES1162632260"</f>
        <v>FES1162632260</v>
      </c>
      <c r="D2627" s="10" t="s">
        <v>19</v>
      </c>
      <c r="E2627" s="10" t="s">
        <v>1042</v>
      </c>
      <c r="F2627" s="10" t="str">
        <f>"21706329844 "</f>
        <v xml:space="preserve">21706329844 </v>
      </c>
      <c r="G2627" s="10" t="str">
        <f t="shared" si="70"/>
        <v>ON1</v>
      </c>
      <c r="H2627" s="10" t="s">
        <v>21</v>
      </c>
      <c r="I2627" s="10" t="s">
        <v>1043</v>
      </c>
      <c r="J2627" s="10" t="str">
        <f>""</f>
        <v/>
      </c>
      <c r="K2627" s="10" t="str">
        <f>"PFES1162632260_0001"</f>
        <v>PFES1162632260_0001</v>
      </c>
      <c r="L2627" s="10">
        <v>1</v>
      </c>
      <c r="M2627" s="10">
        <v>1</v>
      </c>
    </row>
    <row r="2628" spans="1:13">
      <c r="A2628" s="8">
        <v>43279</v>
      </c>
      <c r="B2628" s="9">
        <v>0.64027777777777783</v>
      </c>
      <c r="C2628" s="10" t="str">
        <f>"FES1162632361"</f>
        <v>FES1162632361</v>
      </c>
      <c r="D2628" s="10" t="s">
        <v>19</v>
      </c>
      <c r="E2628" s="10" t="s">
        <v>958</v>
      </c>
      <c r="F2628" s="10" t="str">
        <f>"2170637344 "</f>
        <v xml:space="preserve">2170637344 </v>
      </c>
      <c r="G2628" s="10" t="str">
        <f t="shared" si="70"/>
        <v>ON1</v>
      </c>
      <c r="H2628" s="10" t="s">
        <v>21</v>
      </c>
      <c r="I2628" s="10" t="s">
        <v>702</v>
      </c>
      <c r="J2628" s="10" t="str">
        <f>""</f>
        <v/>
      </c>
      <c r="K2628" s="10" t="str">
        <f>"PFES1162632361_0001"</f>
        <v>PFES1162632361_0001</v>
      </c>
      <c r="L2628" s="10">
        <v>1</v>
      </c>
      <c r="M2628" s="10">
        <v>1</v>
      </c>
    </row>
    <row r="2629" spans="1:13">
      <c r="A2629" s="8">
        <v>43279</v>
      </c>
      <c r="B2629" s="9">
        <v>0.63958333333333328</v>
      </c>
      <c r="C2629" s="10" t="str">
        <f>"FES1162632382"</f>
        <v>FES1162632382</v>
      </c>
      <c r="D2629" s="10" t="s">
        <v>19</v>
      </c>
      <c r="E2629" s="10" t="s">
        <v>117</v>
      </c>
      <c r="F2629" s="10" t="str">
        <f>"2170639127 "</f>
        <v xml:space="preserve">2170639127 </v>
      </c>
      <c r="G2629" s="10" t="str">
        <f t="shared" si="70"/>
        <v>ON1</v>
      </c>
      <c r="H2629" s="10" t="s">
        <v>21</v>
      </c>
      <c r="I2629" s="10" t="s">
        <v>118</v>
      </c>
      <c r="J2629" s="10" t="str">
        <f>""</f>
        <v/>
      </c>
      <c r="K2629" s="10" t="str">
        <f>"PFES1162632382_0001"</f>
        <v>PFES1162632382_0001</v>
      </c>
      <c r="L2629" s="10">
        <v>1</v>
      </c>
      <c r="M2629" s="10">
        <v>1</v>
      </c>
    </row>
    <row r="2630" spans="1:13">
      <c r="A2630" s="8">
        <v>43279</v>
      </c>
      <c r="B2630" s="9">
        <v>0.63958333333333328</v>
      </c>
      <c r="C2630" s="10" t="str">
        <f>"FES1162632300"</f>
        <v>FES1162632300</v>
      </c>
      <c r="D2630" s="10" t="s">
        <v>19</v>
      </c>
      <c r="E2630" s="10" t="s">
        <v>421</v>
      </c>
      <c r="F2630" s="10" t="str">
        <f>"2170639036 "</f>
        <v xml:space="preserve">2170639036 </v>
      </c>
      <c r="G2630" s="10" t="str">
        <f t="shared" si="70"/>
        <v>ON1</v>
      </c>
      <c r="H2630" s="10" t="s">
        <v>21</v>
      </c>
      <c r="I2630" s="10" t="s">
        <v>422</v>
      </c>
      <c r="J2630" s="10" t="str">
        <f>""</f>
        <v/>
      </c>
      <c r="K2630" s="10" t="str">
        <f>"PFES1162632300_0001"</f>
        <v>PFES1162632300_0001</v>
      </c>
      <c r="L2630" s="10">
        <v>1</v>
      </c>
      <c r="M2630" s="10">
        <v>1</v>
      </c>
    </row>
    <row r="2631" spans="1:13">
      <c r="A2631" s="8">
        <v>43279</v>
      </c>
      <c r="B2631" s="9">
        <v>0.63888888888888895</v>
      </c>
      <c r="C2631" s="10" t="str">
        <f>"FES1162632383"</f>
        <v>FES1162632383</v>
      </c>
      <c r="D2631" s="10" t="s">
        <v>19</v>
      </c>
      <c r="E2631" s="10" t="s">
        <v>673</v>
      </c>
      <c r="F2631" s="10" t="str">
        <f>"2170639128 "</f>
        <v xml:space="preserve">2170639128 </v>
      </c>
      <c r="G2631" s="10" t="str">
        <f t="shared" si="70"/>
        <v>ON1</v>
      </c>
      <c r="H2631" s="10" t="s">
        <v>21</v>
      </c>
      <c r="I2631" s="10" t="s">
        <v>674</v>
      </c>
      <c r="J2631" s="10" t="str">
        <f>""</f>
        <v/>
      </c>
      <c r="K2631" s="10" t="str">
        <f>"PFES1162632383_0001"</f>
        <v>PFES1162632383_0001</v>
      </c>
      <c r="L2631" s="10">
        <v>1</v>
      </c>
      <c r="M2631" s="10">
        <v>1</v>
      </c>
    </row>
    <row r="2632" spans="1:13">
      <c r="A2632" s="8">
        <v>43279</v>
      </c>
      <c r="B2632" s="9">
        <v>0.63888888888888895</v>
      </c>
      <c r="C2632" s="10" t="str">
        <f>"FES1162632304"</f>
        <v>FES1162632304</v>
      </c>
      <c r="D2632" s="10" t="s">
        <v>19</v>
      </c>
      <c r="E2632" s="10" t="s">
        <v>1044</v>
      </c>
      <c r="F2632" s="10" t="str">
        <f>"2170639035 "</f>
        <v xml:space="preserve">2170639035 </v>
      </c>
      <c r="G2632" s="10" t="str">
        <f t="shared" si="70"/>
        <v>ON1</v>
      </c>
      <c r="H2632" s="10" t="s">
        <v>21</v>
      </c>
      <c r="I2632" s="10" t="s">
        <v>1045</v>
      </c>
      <c r="J2632" s="10" t="str">
        <f>""</f>
        <v/>
      </c>
      <c r="K2632" s="10" t="str">
        <f>"PFES1162632304_0001"</f>
        <v>PFES1162632304_0001</v>
      </c>
      <c r="L2632" s="10">
        <v>1</v>
      </c>
      <c r="M2632" s="10">
        <v>1</v>
      </c>
    </row>
    <row r="2633" spans="1:13">
      <c r="A2633" s="8">
        <v>43279</v>
      </c>
      <c r="B2633" s="9">
        <v>0.6381944444444444</v>
      </c>
      <c r="C2633" s="10" t="str">
        <f>"FES1162632319"</f>
        <v>FES1162632319</v>
      </c>
      <c r="D2633" s="10" t="s">
        <v>19</v>
      </c>
      <c r="E2633" s="10" t="s">
        <v>905</v>
      </c>
      <c r="F2633" s="10" t="str">
        <f>"217063832 "</f>
        <v xml:space="preserve">217063832 </v>
      </c>
      <c r="G2633" s="10" t="str">
        <f t="shared" si="70"/>
        <v>ON1</v>
      </c>
      <c r="H2633" s="10" t="s">
        <v>21</v>
      </c>
      <c r="I2633" s="10" t="s">
        <v>887</v>
      </c>
      <c r="J2633" s="10" t="str">
        <f>""</f>
        <v/>
      </c>
      <c r="K2633" s="10" t="str">
        <f>"PFES1162632319_0001"</f>
        <v>PFES1162632319_0001</v>
      </c>
      <c r="L2633" s="10">
        <v>1</v>
      </c>
      <c r="M2633" s="10">
        <v>1</v>
      </c>
    </row>
    <row r="2634" spans="1:13">
      <c r="A2634" s="8">
        <v>43279</v>
      </c>
      <c r="B2634" s="9">
        <v>0.6381944444444444</v>
      </c>
      <c r="C2634" s="10" t="str">
        <f>"FES1162632310"</f>
        <v>FES1162632310</v>
      </c>
      <c r="D2634" s="10" t="s">
        <v>19</v>
      </c>
      <c r="E2634" s="10" t="s">
        <v>107</v>
      </c>
      <c r="F2634" s="10" t="str">
        <f>"2170639053 "</f>
        <v xml:space="preserve">2170639053 </v>
      </c>
      <c r="G2634" s="10" t="str">
        <f t="shared" si="70"/>
        <v>ON1</v>
      </c>
      <c r="H2634" s="10" t="s">
        <v>21</v>
      </c>
      <c r="I2634" s="10" t="s">
        <v>108</v>
      </c>
      <c r="J2634" s="10" t="str">
        <f>""</f>
        <v/>
      </c>
      <c r="K2634" s="10" t="str">
        <f>"PFES1162632310_0001"</f>
        <v>PFES1162632310_0001</v>
      </c>
      <c r="L2634" s="10">
        <v>1</v>
      </c>
      <c r="M2634" s="10">
        <v>1</v>
      </c>
    </row>
    <row r="2635" spans="1:13">
      <c r="A2635" s="8">
        <v>43279</v>
      </c>
      <c r="B2635" s="9">
        <v>0.63750000000000007</v>
      </c>
      <c r="C2635" s="10" t="str">
        <f>"FES1162632311"</f>
        <v>FES1162632311</v>
      </c>
      <c r="D2635" s="10" t="s">
        <v>19</v>
      </c>
      <c r="E2635" s="10" t="s">
        <v>339</v>
      </c>
      <c r="F2635" s="10" t="str">
        <f>"2170639054 "</f>
        <v xml:space="preserve">2170639054 </v>
      </c>
      <c r="G2635" s="10" t="str">
        <f t="shared" si="70"/>
        <v>ON1</v>
      </c>
      <c r="H2635" s="10" t="s">
        <v>21</v>
      </c>
      <c r="I2635" s="10" t="s">
        <v>230</v>
      </c>
      <c r="J2635" s="10" t="str">
        <f>""</f>
        <v/>
      </c>
      <c r="K2635" s="10" t="str">
        <f>"PFES1162632311_0001"</f>
        <v>PFES1162632311_0001</v>
      </c>
      <c r="L2635" s="10">
        <v>1</v>
      </c>
      <c r="M2635" s="10">
        <v>1</v>
      </c>
    </row>
    <row r="2636" spans="1:13">
      <c r="A2636" s="8">
        <v>43279</v>
      </c>
      <c r="B2636" s="9">
        <v>0.63750000000000007</v>
      </c>
      <c r="C2636" s="10" t="str">
        <f>"FES1162632292"</f>
        <v>FES1162632292</v>
      </c>
      <c r="D2636" s="10" t="s">
        <v>19</v>
      </c>
      <c r="E2636" s="10" t="s">
        <v>566</v>
      </c>
      <c r="F2636" s="10" t="str">
        <f>"2170639020 "</f>
        <v xml:space="preserve">2170639020 </v>
      </c>
      <c r="G2636" s="10" t="str">
        <f t="shared" si="70"/>
        <v>ON1</v>
      </c>
      <c r="H2636" s="10" t="s">
        <v>21</v>
      </c>
      <c r="I2636" s="10" t="s">
        <v>251</v>
      </c>
      <c r="J2636" s="10" t="str">
        <f>""</f>
        <v/>
      </c>
      <c r="K2636" s="10" t="str">
        <f>"PFES1162632292_0001"</f>
        <v>PFES1162632292_0001</v>
      </c>
      <c r="L2636" s="10">
        <v>1</v>
      </c>
      <c r="M2636" s="10">
        <v>1</v>
      </c>
    </row>
    <row r="2637" spans="1:13">
      <c r="A2637" s="8">
        <v>43279</v>
      </c>
      <c r="B2637" s="9">
        <v>0.60486111111111118</v>
      </c>
      <c r="C2637" s="10" t="str">
        <f>"FES1162632202"</f>
        <v>FES1162632202</v>
      </c>
      <c r="D2637" s="10" t="s">
        <v>19</v>
      </c>
      <c r="E2637" s="10" t="s">
        <v>868</v>
      </c>
      <c r="F2637" s="10" t="str">
        <f>"2170637224 "</f>
        <v xml:space="preserve">2170637224 </v>
      </c>
      <c r="G2637" s="10" t="str">
        <f t="shared" si="70"/>
        <v>ON1</v>
      </c>
      <c r="H2637" s="10" t="s">
        <v>21</v>
      </c>
      <c r="I2637" s="10" t="s">
        <v>869</v>
      </c>
      <c r="J2637" s="10" t="str">
        <f>""</f>
        <v/>
      </c>
      <c r="K2637" s="10" t="str">
        <f>"PFES1162632202_0001"</f>
        <v>PFES1162632202_0001</v>
      </c>
      <c r="L2637" s="10">
        <v>1</v>
      </c>
      <c r="M2637" s="10">
        <v>4</v>
      </c>
    </row>
    <row r="2638" spans="1:13">
      <c r="A2638" s="8">
        <v>43279</v>
      </c>
      <c r="B2638" s="9">
        <v>0.60277777777777775</v>
      </c>
      <c r="C2638" s="10" t="str">
        <f>"FES1162632354"</f>
        <v>FES1162632354</v>
      </c>
      <c r="D2638" s="10" t="s">
        <v>19</v>
      </c>
      <c r="E2638" s="10" t="s">
        <v>474</v>
      </c>
      <c r="F2638" s="10" t="str">
        <f>"2170639094 "</f>
        <v xml:space="preserve">2170639094 </v>
      </c>
      <c r="G2638" s="10" t="str">
        <f t="shared" si="70"/>
        <v>ON1</v>
      </c>
      <c r="H2638" s="10" t="s">
        <v>21</v>
      </c>
      <c r="I2638" s="10" t="s">
        <v>228</v>
      </c>
      <c r="J2638" s="10" t="str">
        <f>""</f>
        <v/>
      </c>
      <c r="K2638" s="10" t="str">
        <f>"PFES1162632354_0001"</f>
        <v>PFES1162632354_0001</v>
      </c>
      <c r="L2638" s="10">
        <v>1</v>
      </c>
      <c r="M2638" s="10">
        <v>3</v>
      </c>
    </row>
    <row r="2639" spans="1:13">
      <c r="A2639" s="8">
        <v>43279</v>
      </c>
      <c r="B2639" s="9">
        <v>0.60138888888888886</v>
      </c>
      <c r="C2639" s="10" t="str">
        <f>"FES1162632164"</f>
        <v>FES1162632164</v>
      </c>
      <c r="D2639" s="10" t="s">
        <v>19</v>
      </c>
      <c r="E2639" s="10" t="s">
        <v>1046</v>
      </c>
      <c r="F2639" s="10" t="str">
        <f>"2170636588 "</f>
        <v xml:space="preserve">2170636588 </v>
      </c>
      <c r="G2639" s="10" t="str">
        <f>"DBC"</f>
        <v>DBC</v>
      </c>
      <c r="H2639" s="10" t="s">
        <v>21</v>
      </c>
      <c r="I2639" s="10" t="s">
        <v>1047</v>
      </c>
      <c r="J2639" s="10" t="str">
        <f>""</f>
        <v/>
      </c>
      <c r="K2639" s="10" t="str">
        <f>"PFES1162632164_0001"</f>
        <v>PFES1162632164_0001</v>
      </c>
      <c r="L2639" s="10">
        <v>1</v>
      </c>
      <c r="M2639" s="10">
        <v>20</v>
      </c>
    </row>
    <row r="2640" spans="1:13">
      <c r="A2640" s="8">
        <v>43279</v>
      </c>
      <c r="B2640" s="9">
        <v>0.59930555555555554</v>
      </c>
      <c r="C2640" s="10" t="str">
        <f>"FES1162632238"</f>
        <v>FES1162632238</v>
      </c>
      <c r="D2640" s="10" t="s">
        <v>19</v>
      </c>
      <c r="E2640" s="10" t="s">
        <v>117</v>
      </c>
      <c r="F2640" s="10" t="str">
        <f>"2170636864 "</f>
        <v xml:space="preserve">2170636864 </v>
      </c>
      <c r="G2640" s="10" t="str">
        <f>"ON1"</f>
        <v>ON1</v>
      </c>
      <c r="H2640" s="10" t="s">
        <v>21</v>
      </c>
      <c r="I2640" s="10" t="s">
        <v>118</v>
      </c>
      <c r="J2640" s="10" t="str">
        <f>""</f>
        <v/>
      </c>
      <c r="K2640" s="10" t="str">
        <f>"PFES1162632238_0001"</f>
        <v>PFES1162632238_0001</v>
      </c>
      <c r="L2640" s="10">
        <v>1</v>
      </c>
      <c r="M2640" s="10">
        <v>5</v>
      </c>
    </row>
    <row r="2641" spans="1:13">
      <c r="A2641" s="8">
        <v>43279</v>
      </c>
      <c r="B2641" s="9">
        <v>0.59722222222222221</v>
      </c>
      <c r="C2641" s="10" t="str">
        <f>"FES1162632296"</f>
        <v>FES1162632296</v>
      </c>
      <c r="D2641" s="10" t="s">
        <v>19</v>
      </c>
      <c r="E2641" s="10" t="s">
        <v>270</v>
      </c>
      <c r="F2641" s="10" t="str">
        <f>"2170639029 "</f>
        <v xml:space="preserve">2170639029 </v>
      </c>
      <c r="G2641" s="10" t="str">
        <f>"ON1"</f>
        <v>ON1</v>
      </c>
      <c r="H2641" s="10" t="s">
        <v>21</v>
      </c>
      <c r="I2641" s="10" t="s">
        <v>238</v>
      </c>
      <c r="J2641" s="10" t="str">
        <f>""</f>
        <v/>
      </c>
      <c r="K2641" s="10" t="str">
        <f>"PFES1162632296_0001"</f>
        <v>PFES1162632296_0001</v>
      </c>
      <c r="L2641" s="10">
        <v>1</v>
      </c>
      <c r="M2641" s="10">
        <v>2</v>
      </c>
    </row>
    <row r="2642" spans="1:13">
      <c r="A2642" s="8">
        <v>43279</v>
      </c>
      <c r="B2642" s="9">
        <v>0.59583333333333333</v>
      </c>
      <c r="C2642" s="10" t="str">
        <f>"FES1162632355"</f>
        <v>FES1162632355</v>
      </c>
      <c r="D2642" s="10" t="s">
        <v>19</v>
      </c>
      <c r="E2642" s="10" t="s">
        <v>474</v>
      </c>
      <c r="F2642" s="10" t="str">
        <f>"2170639097 "</f>
        <v xml:space="preserve">2170639097 </v>
      </c>
      <c r="G2642" s="10" t="str">
        <f>"ON1"</f>
        <v>ON1</v>
      </c>
      <c r="H2642" s="10" t="s">
        <v>21</v>
      </c>
      <c r="I2642" s="10" t="s">
        <v>228</v>
      </c>
      <c r="J2642" s="10" t="str">
        <f>""</f>
        <v/>
      </c>
      <c r="K2642" s="10" t="str">
        <f>"PFES1162632355_0001"</f>
        <v>PFES1162632355_0001</v>
      </c>
      <c r="L2642" s="10">
        <v>2</v>
      </c>
      <c r="M2642" s="10">
        <v>4</v>
      </c>
    </row>
    <row r="2643" spans="1:13">
      <c r="A2643" s="8">
        <v>43279</v>
      </c>
      <c r="B2643" s="9">
        <v>0.59513888888888888</v>
      </c>
      <c r="C2643" s="10" t="str">
        <f>"FES1162632222"</f>
        <v>FES1162632222</v>
      </c>
      <c r="D2643" s="10" t="s">
        <v>19</v>
      </c>
      <c r="E2643" s="10" t="s">
        <v>1048</v>
      </c>
      <c r="F2643" s="10" t="str">
        <f>"2170638961 "</f>
        <v xml:space="preserve">2170638961 </v>
      </c>
      <c r="G2643" s="10" t="str">
        <f t="shared" ref="G2643:G2706" si="71">"ON1"</f>
        <v>ON1</v>
      </c>
      <c r="H2643" s="10" t="s">
        <v>21</v>
      </c>
      <c r="I2643" s="10" t="s">
        <v>349</v>
      </c>
      <c r="J2643" s="10" t="str">
        <f>""</f>
        <v/>
      </c>
      <c r="K2643" s="10" t="str">
        <f>"PFES1162632222_0001"</f>
        <v>PFES1162632222_0001</v>
      </c>
      <c r="L2643" s="10">
        <v>1</v>
      </c>
      <c r="M2643" s="10">
        <v>2</v>
      </c>
    </row>
    <row r="2644" spans="1:13">
      <c r="A2644" s="8">
        <v>43279</v>
      </c>
      <c r="B2644" s="9">
        <v>0.59444444444444444</v>
      </c>
      <c r="C2644" s="10" t="str">
        <f>"FES1162632264"</f>
        <v>FES1162632264</v>
      </c>
      <c r="D2644" s="10" t="s">
        <v>19</v>
      </c>
      <c r="E2644" s="10" t="s">
        <v>67</v>
      </c>
      <c r="F2644" s="10" t="str">
        <f>"2170637059 "</f>
        <v xml:space="preserve">2170637059 </v>
      </c>
      <c r="G2644" s="10" t="str">
        <f t="shared" si="71"/>
        <v>ON1</v>
      </c>
      <c r="H2644" s="10" t="s">
        <v>21</v>
      </c>
      <c r="I2644" s="10" t="s">
        <v>46</v>
      </c>
      <c r="J2644" s="10" t="str">
        <f>""</f>
        <v/>
      </c>
      <c r="K2644" s="10" t="str">
        <f>"PFES1162632264_0001"</f>
        <v>PFES1162632264_0001</v>
      </c>
      <c r="L2644" s="10">
        <v>1</v>
      </c>
      <c r="M2644" s="10">
        <v>2</v>
      </c>
    </row>
    <row r="2645" spans="1:13">
      <c r="A2645" s="8">
        <v>43279</v>
      </c>
      <c r="B2645" s="9">
        <v>0.59305555555555556</v>
      </c>
      <c r="C2645" s="10" t="str">
        <f>"FES1162632235"</f>
        <v>FES1162632235</v>
      </c>
      <c r="D2645" s="10" t="s">
        <v>19</v>
      </c>
      <c r="E2645" s="10" t="s">
        <v>605</v>
      </c>
      <c r="F2645" s="10" t="str">
        <f>"2170636637 "</f>
        <v xml:space="preserve">2170636637 </v>
      </c>
      <c r="G2645" s="10" t="str">
        <f t="shared" si="71"/>
        <v>ON1</v>
      </c>
      <c r="H2645" s="10" t="s">
        <v>21</v>
      </c>
      <c r="I2645" s="10" t="s">
        <v>606</v>
      </c>
      <c r="J2645" s="10" t="str">
        <f>""</f>
        <v/>
      </c>
      <c r="K2645" s="10" t="str">
        <f>"PFES1162632235_0001"</f>
        <v>PFES1162632235_0001</v>
      </c>
      <c r="L2645" s="10">
        <v>1</v>
      </c>
      <c r="M2645" s="10">
        <v>1</v>
      </c>
    </row>
    <row r="2646" spans="1:13">
      <c r="A2646" s="8">
        <v>43279</v>
      </c>
      <c r="B2646" s="9">
        <v>0.59166666666666667</v>
      </c>
      <c r="C2646" s="10" t="str">
        <f>"FES1162627089"</f>
        <v>FES1162627089</v>
      </c>
      <c r="D2646" s="10" t="s">
        <v>19</v>
      </c>
      <c r="E2646" s="10" t="s">
        <v>235</v>
      </c>
      <c r="F2646" s="10" t="str">
        <f>"2170634383 "</f>
        <v xml:space="preserve">2170634383 </v>
      </c>
      <c r="G2646" s="10" t="str">
        <f t="shared" si="71"/>
        <v>ON1</v>
      </c>
      <c r="H2646" s="10" t="s">
        <v>21</v>
      </c>
      <c r="I2646" s="10" t="s">
        <v>26</v>
      </c>
      <c r="J2646" s="10" t="str">
        <f>""</f>
        <v/>
      </c>
      <c r="K2646" s="10" t="str">
        <f>"PFES1162627089_0001"</f>
        <v>PFES1162627089_0001</v>
      </c>
      <c r="L2646" s="10">
        <v>1</v>
      </c>
      <c r="M2646" s="10">
        <v>4</v>
      </c>
    </row>
    <row r="2647" spans="1:13">
      <c r="A2647" s="8">
        <v>43279</v>
      </c>
      <c r="B2647" s="9">
        <v>0.59166666666666667</v>
      </c>
      <c r="C2647" s="10" t="str">
        <f>"FES1162632215"</f>
        <v>FES1162632215</v>
      </c>
      <c r="D2647" s="10" t="s">
        <v>19</v>
      </c>
      <c r="E2647" s="10" t="s">
        <v>1003</v>
      </c>
      <c r="F2647" s="10" t="str">
        <f>"2170638984 "</f>
        <v xml:space="preserve">2170638984 </v>
      </c>
      <c r="G2647" s="10" t="str">
        <f t="shared" si="71"/>
        <v>ON1</v>
      </c>
      <c r="H2647" s="10" t="s">
        <v>21</v>
      </c>
      <c r="I2647" s="10" t="s">
        <v>737</v>
      </c>
      <c r="J2647" s="10" t="str">
        <f>""</f>
        <v/>
      </c>
      <c r="K2647" s="10" t="str">
        <f>"PFES1162632215_0001"</f>
        <v>PFES1162632215_0001</v>
      </c>
      <c r="L2647" s="10">
        <v>1</v>
      </c>
      <c r="M2647" s="10">
        <v>1</v>
      </c>
    </row>
    <row r="2648" spans="1:13">
      <c r="A2648" s="8">
        <v>43279</v>
      </c>
      <c r="B2648" s="9">
        <v>0.59097222222222223</v>
      </c>
      <c r="C2648" s="10" t="str">
        <f>"FES1162632177"</f>
        <v>FES1162632177</v>
      </c>
      <c r="D2648" s="10" t="s">
        <v>19</v>
      </c>
      <c r="E2648" s="10" t="s">
        <v>23</v>
      </c>
      <c r="F2648" s="10" t="str">
        <f>"2170636737 "</f>
        <v xml:space="preserve">2170636737 </v>
      </c>
      <c r="G2648" s="10" t="str">
        <f t="shared" si="71"/>
        <v>ON1</v>
      </c>
      <c r="H2648" s="10" t="s">
        <v>21</v>
      </c>
      <c r="I2648" s="10" t="s">
        <v>24</v>
      </c>
      <c r="J2648" s="10" t="str">
        <f>""</f>
        <v/>
      </c>
      <c r="K2648" s="10" t="str">
        <f>"PFES1162632177_0001"</f>
        <v>PFES1162632177_0001</v>
      </c>
      <c r="L2648" s="10">
        <v>1</v>
      </c>
      <c r="M2648" s="10">
        <v>1</v>
      </c>
    </row>
    <row r="2649" spans="1:13">
      <c r="A2649" s="8">
        <v>43279</v>
      </c>
      <c r="B2649" s="9">
        <v>0.59097222222222223</v>
      </c>
      <c r="C2649" s="10" t="str">
        <f>"FES1162632201"</f>
        <v>FES1162632201</v>
      </c>
      <c r="D2649" s="10" t="s">
        <v>19</v>
      </c>
      <c r="E2649" s="10" t="s">
        <v>1049</v>
      </c>
      <c r="F2649" s="10" t="str">
        <f>"2170637165 "</f>
        <v xml:space="preserve">2170637165 </v>
      </c>
      <c r="G2649" s="10" t="str">
        <f t="shared" si="71"/>
        <v>ON1</v>
      </c>
      <c r="H2649" s="10" t="s">
        <v>21</v>
      </c>
      <c r="I2649" s="10" t="s">
        <v>104</v>
      </c>
      <c r="J2649" s="10" t="str">
        <f>""</f>
        <v/>
      </c>
      <c r="K2649" s="10" t="str">
        <f>"PFES1162632201_0001"</f>
        <v>PFES1162632201_0001</v>
      </c>
      <c r="L2649" s="10">
        <v>1</v>
      </c>
      <c r="M2649" s="10">
        <v>3</v>
      </c>
    </row>
    <row r="2650" spans="1:13">
      <c r="A2650" s="8">
        <v>43279</v>
      </c>
      <c r="B2650" s="9">
        <v>0.59097222222222223</v>
      </c>
      <c r="C2650" s="10" t="str">
        <f>"FES1162632299"</f>
        <v>FES1162632299</v>
      </c>
      <c r="D2650" s="10" t="s">
        <v>19</v>
      </c>
      <c r="E2650" s="10" t="s">
        <v>270</v>
      </c>
      <c r="F2650" s="10" t="str">
        <f>"2170639032 "</f>
        <v xml:space="preserve">2170639032 </v>
      </c>
      <c r="G2650" s="10" t="str">
        <f t="shared" si="71"/>
        <v>ON1</v>
      </c>
      <c r="H2650" s="10" t="s">
        <v>21</v>
      </c>
      <c r="I2650" s="10" t="s">
        <v>238</v>
      </c>
      <c r="J2650" s="10" t="str">
        <f>""</f>
        <v/>
      </c>
      <c r="K2650" s="10" t="str">
        <f>"PFES1162632299_0001"</f>
        <v>PFES1162632299_0001</v>
      </c>
      <c r="L2650" s="10">
        <v>1</v>
      </c>
      <c r="M2650" s="10">
        <v>1</v>
      </c>
    </row>
    <row r="2651" spans="1:13">
      <c r="A2651" s="8">
        <v>43279</v>
      </c>
      <c r="B2651" s="9">
        <v>0.59027777777777779</v>
      </c>
      <c r="C2651" s="10" t="str">
        <f>"FES1162632176"</f>
        <v>FES1162632176</v>
      </c>
      <c r="D2651" s="10" t="s">
        <v>19</v>
      </c>
      <c r="E2651" s="10" t="s">
        <v>23</v>
      </c>
      <c r="F2651" s="10" t="str">
        <f>"2170636736 "</f>
        <v xml:space="preserve">2170636736 </v>
      </c>
      <c r="G2651" s="10" t="str">
        <f t="shared" si="71"/>
        <v>ON1</v>
      </c>
      <c r="H2651" s="10" t="s">
        <v>21</v>
      </c>
      <c r="I2651" s="10" t="s">
        <v>24</v>
      </c>
      <c r="J2651" s="10" t="str">
        <f>""</f>
        <v/>
      </c>
      <c r="K2651" s="10" t="str">
        <f>"PFES1162632176_0001"</f>
        <v>PFES1162632176_0001</v>
      </c>
      <c r="L2651" s="10">
        <v>1</v>
      </c>
      <c r="M2651" s="10">
        <v>1</v>
      </c>
    </row>
    <row r="2652" spans="1:13">
      <c r="A2652" s="8">
        <v>43279</v>
      </c>
      <c r="B2652" s="9">
        <v>0.58958333333333335</v>
      </c>
      <c r="C2652" s="10" t="str">
        <f>"FES1162632341"</f>
        <v>FES1162632341</v>
      </c>
      <c r="D2652" s="10" t="s">
        <v>19</v>
      </c>
      <c r="E2652" s="10" t="s">
        <v>64</v>
      </c>
      <c r="F2652" s="10" t="str">
        <f>"2170639080 "</f>
        <v xml:space="preserve">2170639080 </v>
      </c>
      <c r="G2652" s="10" t="str">
        <f t="shared" si="71"/>
        <v>ON1</v>
      </c>
      <c r="H2652" s="10" t="s">
        <v>21</v>
      </c>
      <c r="I2652" s="10" t="s">
        <v>40</v>
      </c>
      <c r="J2652" s="10" t="str">
        <f>""</f>
        <v/>
      </c>
      <c r="K2652" s="10" t="str">
        <f>"PFES1162632341_0001"</f>
        <v>PFES1162632341_0001</v>
      </c>
      <c r="L2652" s="10">
        <v>1</v>
      </c>
      <c r="M2652" s="10">
        <v>1</v>
      </c>
    </row>
    <row r="2653" spans="1:13">
      <c r="A2653" s="8">
        <v>43279</v>
      </c>
      <c r="B2653" s="9">
        <v>0.58263888888888882</v>
      </c>
      <c r="C2653" s="10" t="str">
        <f>"FES1162632275"</f>
        <v>FES1162632275</v>
      </c>
      <c r="D2653" s="10" t="s">
        <v>19</v>
      </c>
      <c r="E2653" s="10" t="s">
        <v>235</v>
      </c>
      <c r="F2653" s="10" t="str">
        <f>"2170637296 "</f>
        <v xml:space="preserve">2170637296 </v>
      </c>
      <c r="G2653" s="10" t="str">
        <f t="shared" si="71"/>
        <v>ON1</v>
      </c>
      <c r="H2653" s="10" t="s">
        <v>21</v>
      </c>
      <c r="I2653" s="10" t="s">
        <v>26</v>
      </c>
      <c r="J2653" s="10" t="str">
        <f>""</f>
        <v/>
      </c>
      <c r="K2653" s="10" t="str">
        <f>"PFES1162632275_0001"</f>
        <v>PFES1162632275_0001</v>
      </c>
      <c r="L2653" s="10">
        <v>1</v>
      </c>
      <c r="M2653" s="10">
        <v>1</v>
      </c>
    </row>
    <row r="2654" spans="1:13">
      <c r="A2654" s="8">
        <v>43279</v>
      </c>
      <c r="B2654" s="9">
        <v>0.58194444444444449</v>
      </c>
      <c r="C2654" s="10" t="str">
        <f>"FES1162632218"</f>
        <v>FES1162632218</v>
      </c>
      <c r="D2654" s="10" t="s">
        <v>19</v>
      </c>
      <c r="E2654" s="10" t="s">
        <v>67</v>
      </c>
      <c r="F2654" s="10" t="str">
        <f>"2170638987 "</f>
        <v xml:space="preserve">2170638987 </v>
      </c>
      <c r="G2654" s="10" t="str">
        <f t="shared" si="71"/>
        <v>ON1</v>
      </c>
      <c r="H2654" s="10" t="s">
        <v>21</v>
      </c>
      <c r="I2654" s="10" t="s">
        <v>397</v>
      </c>
      <c r="J2654" s="10" t="str">
        <f>""</f>
        <v/>
      </c>
      <c r="K2654" s="10" t="str">
        <f>"PFES1162632218_0001"</f>
        <v>PFES1162632218_0001</v>
      </c>
      <c r="L2654" s="10">
        <v>1</v>
      </c>
      <c r="M2654" s="10">
        <v>5</v>
      </c>
    </row>
    <row r="2655" spans="1:13">
      <c r="A2655" s="8">
        <v>43279</v>
      </c>
      <c r="B2655" s="9">
        <v>0.58194444444444449</v>
      </c>
      <c r="C2655" s="10" t="str">
        <f>"FES1162632233"</f>
        <v>FES1162632233</v>
      </c>
      <c r="D2655" s="10" t="s">
        <v>19</v>
      </c>
      <c r="E2655" s="10" t="s">
        <v>67</v>
      </c>
      <c r="F2655" s="10" t="str">
        <f>"2170636589 "</f>
        <v xml:space="preserve">2170636589 </v>
      </c>
      <c r="G2655" s="10" t="str">
        <f t="shared" si="71"/>
        <v>ON1</v>
      </c>
      <c r="H2655" s="10" t="s">
        <v>21</v>
      </c>
      <c r="I2655" s="10" t="s">
        <v>238</v>
      </c>
      <c r="J2655" s="10" t="str">
        <f>""</f>
        <v/>
      </c>
      <c r="K2655" s="10" t="str">
        <f>"PFES1162632233_0001"</f>
        <v>PFES1162632233_0001</v>
      </c>
      <c r="L2655" s="10">
        <v>1</v>
      </c>
      <c r="M2655" s="10">
        <v>1</v>
      </c>
    </row>
    <row r="2656" spans="1:13">
      <c r="A2656" s="8">
        <v>43279</v>
      </c>
      <c r="B2656" s="9">
        <v>0.58194444444444449</v>
      </c>
      <c r="C2656" s="10" t="str">
        <f>"FES1162632348"</f>
        <v>FES1162632348</v>
      </c>
      <c r="D2656" s="10" t="s">
        <v>19</v>
      </c>
      <c r="E2656" s="10" t="s">
        <v>117</v>
      </c>
      <c r="F2656" s="10" t="str">
        <f>"2170639088 "</f>
        <v xml:space="preserve">2170639088 </v>
      </c>
      <c r="G2656" s="10" t="str">
        <f t="shared" si="71"/>
        <v>ON1</v>
      </c>
      <c r="H2656" s="10" t="s">
        <v>21</v>
      </c>
      <c r="I2656" s="10" t="s">
        <v>118</v>
      </c>
      <c r="J2656" s="10" t="str">
        <f>""</f>
        <v/>
      </c>
      <c r="K2656" s="10" t="str">
        <f>"PFES1162632348_0001"</f>
        <v>PFES1162632348_0001</v>
      </c>
      <c r="L2656" s="10">
        <v>1</v>
      </c>
      <c r="M2656" s="10">
        <v>1</v>
      </c>
    </row>
    <row r="2657" spans="1:13">
      <c r="A2657" s="8">
        <v>43279</v>
      </c>
      <c r="B2657" s="9">
        <v>0.58124999999999993</v>
      </c>
      <c r="C2657" s="10" t="str">
        <f>"FES1162632340"</f>
        <v>FES1162632340</v>
      </c>
      <c r="D2657" s="10" t="s">
        <v>19</v>
      </c>
      <c r="E2657" s="10" t="s">
        <v>381</v>
      </c>
      <c r="F2657" s="10" t="str">
        <f>"2170639078 "</f>
        <v xml:space="preserve">2170639078 </v>
      </c>
      <c r="G2657" s="10" t="str">
        <f t="shared" si="71"/>
        <v>ON1</v>
      </c>
      <c r="H2657" s="10" t="s">
        <v>21</v>
      </c>
      <c r="I2657" s="10" t="s">
        <v>382</v>
      </c>
      <c r="J2657" s="10" t="str">
        <f>""</f>
        <v/>
      </c>
      <c r="K2657" s="10" t="str">
        <f>"PFES1162632340_0001"</f>
        <v>PFES1162632340_0001</v>
      </c>
      <c r="L2657" s="10">
        <v>1</v>
      </c>
      <c r="M2657" s="10">
        <v>1</v>
      </c>
    </row>
    <row r="2658" spans="1:13">
      <c r="A2658" s="8">
        <v>43279</v>
      </c>
      <c r="B2658" s="9">
        <v>0.5805555555555556</v>
      </c>
      <c r="C2658" s="10" t="str">
        <f>"FES1162632297"</f>
        <v>FES1162632297</v>
      </c>
      <c r="D2658" s="10" t="s">
        <v>19</v>
      </c>
      <c r="E2658" s="10" t="s">
        <v>270</v>
      </c>
      <c r="F2658" s="10" t="str">
        <f>"2170639031 "</f>
        <v xml:space="preserve">2170639031 </v>
      </c>
      <c r="G2658" s="10" t="str">
        <f t="shared" si="71"/>
        <v>ON1</v>
      </c>
      <c r="H2658" s="10" t="s">
        <v>21</v>
      </c>
      <c r="I2658" s="10" t="s">
        <v>238</v>
      </c>
      <c r="J2658" s="10" t="str">
        <f>""</f>
        <v/>
      </c>
      <c r="K2658" s="10" t="str">
        <f>"PFES1162632297_0001"</f>
        <v>PFES1162632297_0001</v>
      </c>
      <c r="L2658" s="10">
        <v>1</v>
      </c>
      <c r="M2658" s="10">
        <v>1</v>
      </c>
    </row>
    <row r="2659" spans="1:13">
      <c r="A2659" s="8">
        <v>43279</v>
      </c>
      <c r="B2659" s="9">
        <v>0.57986111111111105</v>
      </c>
      <c r="C2659" s="10" t="str">
        <f>"FES1162632236"</f>
        <v>FES1162632236</v>
      </c>
      <c r="D2659" s="10" t="s">
        <v>19</v>
      </c>
      <c r="E2659" s="10" t="s">
        <v>107</v>
      </c>
      <c r="F2659" s="10" t="str">
        <f>"2170636679 "</f>
        <v xml:space="preserve">2170636679 </v>
      </c>
      <c r="G2659" s="10" t="str">
        <f t="shared" si="71"/>
        <v>ON1</v>
      </c>
      <c r="H2659" s="10" t="s">
        <v>21</v>
      </c>
      <c r="I2659" s="10" t="s">
        <v>108</v>
      </c>
      <c r="J2659" s="10" t="str">
        <f>""</f>
        <v/>
      </c>
      <c r="K2659" s="10" t="str">
        <f>"PFES1162632236_0001"</f>
        <v>PFES1162632236_0001</v>
      </c>
      <c r="L2659" s="10">
        <v>1</v>
      </c>
      <c r="M2659" s="10">
        <v>1</v>
      </c>
    </row>
    <row r="2660" spans="1:13">
      <c r="A2660" s="8">
        <v>43279</v>
      </c>
      <c r="B2660" s="9">
        <v>0.57916666666666672</v>
      </c>
      <c r="C2660" s="10" t="str">
        <f>"FES1162632344"</f>
        <v>FES1162632344</v>
      </c>
      <c r="D2660" s="10" t="s">
        <v>19</v>
      </c>
      <c r="E2660" s="10" t="s">
        <v>426</v>
      </c>
      <c r="F2660" s="10" t="str">
        <f>"2170639084 "</f>
        <v xml:space="preserve">2170639084 </v>
      </c>
      <c r="G2660" s="10" t="str">
        <f t="shared" si="71"/>
        <v>ON1</v>
      </c>
      <c r="H2660" s="10" t="s">
        <v>21</v>
      </c>
      <c r="I2660" s="10" t="s">
        <v>427</v>
      </c>
      <c r="J2660" s="10" t="str">
        <f>""</f>
        <v/>
      </c>
      <c r="K2660" s="10" t="str">
        <f>"PFES1162632344_0001"</f>
        <v>PFES1162632344_0001</v>
      </c>
      <c r="L2660" s="10">
        <v>1</v>
      </c>
      <c r="M2660" s="10">
        <v>1</v>
      </c>
    </row>
    <row r="2661" spans="1:13">
      <c r="A2661" s="8">
        <v>43279</v>
      </c>
      <c r="B2661" s="9">
        <v>0.57916666666666672</v>
      </c>
      <c r="C2661" s="10" t="str">
        <f>"FES1162632295"</f>
        <v>FES1162632295</v>
      </c>
      <c r="D2661" s="10" t="s">
        <v>19</v>
      </c>
      <c r="E2661" s="10" t="s">
        <v>270</v>
      </c>
      <c r="F2661" s="10" t="str">
        <f>"2170639025 "</f>
        <v xml:space="preserve">2170639025 </v>
      </c>
      <c r="G2661" s="10" t="str">
        <f t="shared" si="71"/>
        <v>ON1</v>
      </c>
      <c r="H2661" s="10" t="s">
        <v>21</v>
      </c>
      <c r="I2661" s="10" t="s">
        <v>238</v>
      </c>
      <c r="J2661" s="10" t="str">
        <f>""</f>
        <v/>
      </c>
      <c r="K2661" s="10" t="str">
        <f>"PFES1162632295_0001"</f>
        <v>PFES1162632295_0001</v>
      </c>
      <c r="L2661" s="10">
        <v>1</v>
      </c>
      <c r="M2661" s="10">
        <v>1</v>
      </c>
    </row>
    <row r="2662" spans="1:13">
      <c r="A2662" s="8">
        <v>43279</v>
      </c>
      <c r="B2662" s="9">
        <v>0.57847222222222217</v>
      </c>
      <c r="C2662" s="10" t="str">
        <f>"FES1162632287"</f>
        <v>FES1162632287</v>
      </c>
      <c r="D2662" s="10" t="s">
        <v>19</v>
      </c>
      <c r="E2662" s="10" t="s">
        <v>33</v>
      </c>
      <c r="F2662" s="10" t="str">
        <f>"2170639015 "</f>
        <v xml:space="preserve">2170639015 </v>
      </c>
      <c r="G2662" s="10" t="str">
        <f t="shared" si="71"/>
        <v>ON1</v>
      </c>
      <c r="H2662" s="10" t="s">
        <v>21</v>
      </c>
      <c r="I2662" s="10" t="s">
        <v>34</v>
      </c>
      <c r="J2662" s="10" t="str">
        <f>""</f>
        <v/>
      </c>
      <c r="K2662" s="10" t="str">
        <f>"PFES1162632287_0001"</f>
        <v>PFES1162632287_0001</v>
      </c>
      <c r="L2662" s="10">
        <v>1</v>
      </c>
      <c r="M2662" s="10">
        <v>1</v>
      </c>
    </row>
    <row r="2663" spans="1:13">
      <c r="A2663" s="8">
        <v>43279</v>
      </c>
      <c r="B2663" s="9">
        <v>0.57847222222222217</v>
      </c>
      <c r="C2663" s="10" t="str">
        <f>"FES1162632303"</f>
        <v>FES1162632303</v>
      </c>
      <c r="D2663" s="10" t="s">
        <v>19</v>
      </c>
      <c r="E2663" s="10" t="s">
        <v>1050</v>
      </c>
      <c r="F2663" s="10" t="str">
        <f>"2170639052 "</f>
        <v xml:space="preserve">2170639052 </v>
      </c>
      <c r="G2663" s="10" t="str">
        <f t="shared" si="71"/>
        <v>ON1</v>
      </c>
      <c r="H2663" s="10" t="s">
        <v>21</v>
      </c>
      <c r="I2663" s="10" t="s">
        <v>519</v>
      </c>
      <c r="J2663" s="10" t="str">
        <f>""</f>
        <v/>
      </c>
      <c r="K2663" s="10" t="str">
        <f>"PFES1162632303_0001"</f>
        <v>PFES1162632303_0001</v>
      </c>
      <c r="L2663" s="10">
        <v>1</v>
      </c>
      <c r="M2663" s="10">
        <v>1</v>
      </c>
    </row>
    <row r="2664" spans="1:13">
      <c r="A2664" s="8">
        <v>43279</v>
      </c>
      <c r="B2664" s="9">
        <v>0.57777777777777783</v>
      </c>
      <c r="C2664" s="10" t="str">
        <f>"FES1162632102"</f>
        <v>FES1162632102</v>
      </c>
      <c r="D2664" s="10" t="s">
        <v>19</v>
      </c>
      <c r="E2664" s="10" t="s">
        <v>235</v>
      </c>
      <c r="F2664" s="10" t="str">
        <f>"2170637296 "</f>
        <v xml:space="preserve">2170637296 </v>
      </c>
      <c r="G2664" s="10" t="str">
        <f t="shared" si="71"/>
        <v>ON1</v>
      </c>
      <c r="H2664" s="10" t="s">
        <v>21</v>
      </c>
      <c r="I2664" s="10" t="s">
        <v>26</v>
      </c>
      <c r="J2664" s="10" t="str">
        <f>""</f>
        <v/>
      </c>
      <c r="K2664" s="10" t="str">
        <f>"PFES1162632102_0001"</f>
        <v>PFES1162632102_0001</v>
      </c>
      <c r="L2664" s="10">
        <v>1</v>
      </c>
      <c r="M2664" s="10">
        <v>1</v>
      </c>
    </row>
    <row r="2665" spans="1:13">
      <c r="A2665" s="8">
        <v>43279</v>
      </c>
      <c r="B2665" s="9">
        <v>0.57361111111111118</v>
      </c>
      <c r="C2665" s="10" t="str">
        <f>"FES1162632322"</f>
        <v>FES1162632322</v>
      </c>
      <c r="D2665" s="10" t="s">
        <v>19</v>
      </c>
      <c r="E2665" s="10" t="s">
        <v>119</v>
      </c>
      <c r="F2665" s="10" t="str">
        <f>"2170638921 "</f>
        <v xml:space="preserve">2170638921 </v>
      </c>
      <c r="G2665" s="10" t="str">
        <f t="shared" si="71"/>
        <v>ON1</v>
      </c>
      <c r="H2665" s="10" t="s">
        <v>21</v>
      </c>
      <c r="I2665" s="10" t="s">
        <v>79</v>
      </c>
      <c r="J2665" s="10" t="str">
        <f>""</f>
        <v/>
      </c>
      <c r="K2665" s="10" t="str">
        <f>"PFES1162632322_0001"</f>
        <v>PFES1162632322_0001</v>
      </c>
      <c r="L2665" s="10">
        <v>1</v>
      </c>
      <c r="M2665" s="10">
        <v>8</v>
      </c>
    </row>
    <row r="2666" spans="1:13">
      <c r="A2666" s="8">
        <v>43279</v>
      </c>
      <c r="B2666" s="9">
        <v>0.56388888888888888</v>
      </c>
      <c r="C2666" s="10" t="str">
        <f>"FES1162632226"</f>
        <v>FES1162632226</v>
      </c>
      <c r="D2666" s="10" t="s">
        <v>19</v>
      </c>
      <c r="E2666" s="10" t="s">
        <v>1051</v>
      </c>
      <c r="F2666" s="10" t="str">
        <f>"2170638994 "</f>
        <v xml:space="preserve">2170638994 </v>
      </c>
      <c r="G2666" s="10" t="str">
        <f t="shared" si="71"/>
        <v>ON1</v>
      </c>
      <c r="H2666" s="10" t="s">
        <v>21</v>
      </c>
      <c r="I2666" s="10" t="s">
        <v>1052</v>
      </c>
      <c r="J2666" s="10" t="str">
        <f>""</f>
        <v/>
      </c>
      <c r="K2666" s="10" t="str">
        <f>"PFES1162632226_0001"</f>
        <v>PFES1162632226_0001</v>
      </c>
      <c r="L2666" s="10">
        <v>1</v>
      </c>
      <c r="M2666" s="10">
        <v>3</v>
      </c>
    </row>
    <row r="2667" spans="1:13">
      <c r="A2667" s="8">
        <v>43279</v>
      </c>
      <c r="B2667" s="9">
        <v>0.5625</v>
      </c>
      <c r="C2667" s="10" t="str">
        <f>"FES1162632165"</f>
        <v>FES1162632165</v>
      </c>
      <c r="D2667" s="10" t="s">
        <v>19</v>
      </c>
      <c r="E2667" s="10" t="s">
        <v>117</v>
      </c>
      <c r="F2667" s="10" t="str">
        <f>"2170636607 "</f>
        <v xml:space="preserve">2170636607 </v>
      </c>
      <c r="G2667" s="10" t="str">
        <f t="shared" si="71"/>
        <v>ON1</v>
      </c>
      <c r="H2667" s="10" t="s">
        <v>21</v>
      </c>
      <c r="I2667" s="10" t="s">
        <v>118</v>
      </c>
      <c r="J2667" s="10" t="str">
        <f>""</f>
        <v/>
      </c>
      <c r="K2667" s="10" t="str">
        <f>"PFES1162632165_0001"</f>
        <v>PFES1162632165_0001</v>
      </c>
      <c r="L2667" s="10">
        <v>1</v>
      </c>
      <c r="M2667" s="10">
        <v>1</v>
      </c>
    </row>
    <row r="2668" spans="1:13">
      <c r="A2668" s="8">
        <v>43279</v>
      </c>
      <c r="B2668" s="9">
        <v>0.56111111111111112</v>
      </c>
      <c r="C2668" s="10" t="str">
        <f>"FES1162632170"</f>
        <v>FES1162632170</v>
      </c>
      <c r="D2668" s="10" t="s">
        <v>19</v>
      </c>
      <c r="E2668" s="10" t="s">
        <v>711</v>
      </c>
      <c r="F2668" s="10" t="str">
        <f>"2170636654 "</f>
        <v xml:space="preserve">2170636654 </v>
      </c>
      <c r="G2668" s="10" t="str">
        <f t="shared" si="71"/>
        <v>ON1</v>
      </c>
      <c r="H2668" s="10" t="s">
        <v>21</v>
      </c>
      <c r="I2668" s="10" t="s">
        <v>712</v>
      </c>
      <c r="J2668" s="10" t="str">
        <f>""</f>
        <v/>
      </c>
      <c r="K2668" s="10" t="str">
        <f>"PFES1162632170_0001"</f>
        <v>PFES1162632170_0001</v>
      </c>
      <c r="L2668" s="10">
        <v>1</v>
      </c>
      <c r="M2668" s="10">
        <v>1</v>
      </c>
    </row>
    <row r="2669" spans="1:13">
      <c r="A2669" s="8">
        <v>43279</v>
      </c>
      <c r="B2669" s="9">
        <v>0.56111111111111112</v>
      </c>
      <c r="C2669" s="10" t="str">
        <f>"FES1162632205"</f>
        <v>FES1162632205</v>
      </c>
      <c r="D2669" s="10" t="s">
        <v>19</v>
      </c>
      <c r="E2669" s="10" t="s">
        <v>105</v>
      </c>
      <c r="F2669" s="10" t="str">
        <f>"2170637272 "</f>
        <v xml:space="preserve">2170637272 </v>
      </c>
      <c r="G2669" s="10" t="str">
        <f t="shared" si="71"/>
        <v>ON1</v>
      </c>
      <c r="H2669" s="10" t="s">
        <v>21</v>
      </c>
      <c r="I2669" s="10" t="s">
        <v>106</v>
      </c>
      <c r="J2669" s="10" t="str">
        <f>""</f>
        <v/>
      </c>
      <c r="K2669" s="10" t="str">
        <f>"PFES1162632205_0001"</f>
        <v>PFES1162632205_0001</v>
      </c>
      <c r="L2669" s="10">
        <v>1</v>
      </c>
      <c r="M2669" s="10">
        <v>1</v>
      </c>
    </row>
    <row r="2670" spans="1:13">
      <c r="A2670" s="8">
        <v>43279</v>
      </c>
      <c r="B2670" s="9">
        <v>0.56041666666666667</v>
      </c>
      <c r="C2670" s="10" t="str">
        <f>"FES1162632188"</f>
        <v>FES1162632188</v>
      </c>
      <c r="D2670" s="10" t="s">
        <v>19</v>
      </c>
      <c r="E2670" s="10" t="s">
        <v>117</v>
      </c>
      <c r="F2670" s="10" t="str">
        <f>"2170636910 "</f>
        <v xml:space="preserve">2170636910 </v>
      </c>
      <c r="G2670" s="10" t="str">
        <f t="shared" si="71"/>
        <v>ON1</v>
      </c>
      <c r="H2670" s="10" t="s">
        <v>21</v>
      </c>
      <c r="I2670" s="10" t="s">
        <v>118</v>
      </c>
      <c r="J2670" s="10" t="str">
        <f>""</f>
        <v/>
      </c>
      <c r="K2670" s="10" t="str">
        <f>"PFES1162632188_0001"</f>
        <v>PFES1162632188_0001</v>
      </c>
      <c r="L2670" s="10">
        <v>1</v>
      </c>
      <c r="M2670" s="10">
        <v>5</v>
      </c>
    </row>
    <row r="2671" spans="1:13">
      <c r="A2671" s="8">
        <v>43279</v>
      </c>
      <c r="B2671" s="9">
        <v>0.56041666666666667</v>
      </c>
      <c r="C2671" s="10" t="str">
        <f>"FES1162632204"</f>
        <v>FES1162632204</v>
      </c>
      <c r="D2671" s="10" t="s">
        <v>19</v>
      </c>
      <c r="E2671" s="10" t="s">
        <v>776</v>
      </c>
      <c r="F2671" s="10" t="str">
        <f>"2170637253 "</f>
        <v xml:space="preserve">2170637253 </v>
      </c>
      <c r="G2671" s="10" t="str">
        <f t="shared" si="71"/>
        <v>ON1</v>
      </c>
      <c r="H2671" s="10" t="s">
        <v>21</v>
      </c>
      <c r="I2671" s="10" t="s">
        <v>712</v>
      </c>
      <c r="J2671" s="10" t="str">
        <f>""</f>
        <v/>
      </c>
      <c r="K2671" s="10" t="str">
        <f>"PFES1162632204_0001"</f>
        <v>PFES1162632204_0001</v>
      </c>
      <c r="L2671" s="10">
        <v>1</v>
      </c>
      <c r="M2671" s="10">
        <v>1</v>
      </c>
    </row>
    <row r="2672" spans="1:13">
      <c r="A2672" s="8">
        <v>43279</v>
      </c>
      <c r="B2672" s="9">
        <v>0.55833333333333335</v>
      </c>
      <c r="C2672" s="10" t="str">
        <f>"FES1162632325"</f>
        <v>FES1162632325</v>
      </c>
      <c r="D2672" s="10" t="s">
        <v>19</v>
      </c>
      <c r="E2672" s="10" t="s">
        <v>29</v>
      </c>
      <c r="F2672" s="10" t="str">
        <f>"2170639070 "</f>
        <v xml:space="preserve">2170639070 </v>
      </c>
      <c r="G2672" s="10" t="str">
        <f t="shared" si="71"/>
        <v>ON1</v>
      </c>
      <c r="H2672" s="10" t="s">
        <v>21</v>
      </c>
      <c r="I2672" s="10" t="s">
        <v>30</v>
      </c>
      <c r="J2672" s="10" t="str">
        <f>""</f>
        <v/>
      </c>
      <c r="K2672" s="10" t="str">
        <f>"PFES1162632325_0001"</f>
        <v>PFES1162632325_0001</v>
      </c>
      <c r="L2672" s="10">
        <v>1</v>
      </c>
      <c r="M2672" s="10">
        <v>1</v>
      </c>
    </row>
    <row r="2673" spans="1:13">
      <c r="A2673" s="8">
        <v>43279</v>
      </c>
      <c r="B2673" s="9">
        <v>0.55833333333333335</v>
      </c>
      <c r="C2673" s="10" t="str">
        <f>"FES1162632266"</f>
        <v>FES1162632266</v>
      </c>
      <c r="D2673" s="10" t="s">
        <v>19</v>
      </c>
      <c r="E2673" s="10" t="s">
        <v>605</v>
      </c>
      <c r="F2673" s="10" t="str">
        <f>"2170637107 "</f>
        <v xml:space="preserve">2170637107 </v>
      </c>
      <c r="G2673" s="10" t="str">
        <f t="shared" si="71"/>
        <v>ON1</v>
      </c>
      <c r="H2673" s="10" t="s">
        <v>21</v>
      </c>
      <c r="I2673" s="10" t="s">
        <v>606</v>
      </c>
      <c r="J2673" s="10" t="str">
        <f>""</f>
        <v/>
      </c>
      <c r="K2673" s="10" t="str">
        <f>"PFES1162632266_0001"</f>
        <v>PFES1162632266_0001</v>
      </c>
      <c r="L2673" s="10">
        <v>1</v>
      </c>
      <c r="M2673" s="10">
        <v>1</v>
      </c>
    </row>
    <row r="2674" spans="1:13">
      <c r="A2674" s="8">
        <v>43279</v>
      </c>
      <c r="B2674" s="9">
        <v>0.55833333333333335</v>
      </c>
      <c r="C2674" s="10" t="str">
        <f>"FES1162632186"</f>
        <v>FES1162632186</v>
      </c>
      <c r="D2674" s="10" t="s">
        <v>19</v>
      </c>
      <c r="E2674" s="10" t="s">
        <v>638</v>
      </c>
      <c r="F2674" s="10" t="str">
        <f>"2170636895 "</f>
        <v xml:space="preserve">2170636895 </v>
      </c>
      <c r="G2674" s="10" t="str">
        <f t="shared" si="71"/>
        <v>ON1</v>
      </c>
      <c r="H2674" s="10" t="s">
        <v>21</v>
      </c>
      <c r="I2674" s="10" t="s">
        <v>46</v>
      </c>
      <c r="J2674" s="10" t="str">
        <f>""</f>
        <v/>
      </c>
      <c r="K2674" s="10" t="str">
        <f>"PFES1162632186_0001"</f>
        <v>PFES1162632186_0001</v>
      </c>
      <c r="L2674" s="10">
        <v>1</v>
      </c>
      <c r="M2674" s="10">
        <v>1</v>
      </c>
    </row>
    <row r="2675" spans="1:13">
      <c r="A2675" s="8">
        <v>43279</v>
      </c>
      <c r="B2675" s="9">
        <v>0.55763888888888891</v>
      </c>
      <c r="C2675" s="10" t="str">
        <f>"FES1162632197"</f>
        <v>FES1162632197</v>
      </c>
      <c r="D2675" s="10" t="s">
        <v>19</v>
      </c>
      <c r="E2675" s="10" t="s">
        <v>1053</v>
      </c>
      <c r="F2675" s="10" t="str">
        <f>"2170637049 "</f>
        <v xml:space="preserve">2170637049 </v>
      </c>
      <c r="G2675" s="10" t="str">
        <f t="shared" si="71"/>
        <v>ON1</v>
      </c>
      <c r="H2675" s="10" t="s">
        <v>21</v>
      </c>
      <c r="I2675" s="10" t="s">
        <v>957</v>
      </c>
      <c r="J2675" s="10" t="str">
        <f>""</f>
        <v/>
      </c>
      <c r="K2675" s="10" t="str">
        <f>"PFES1162632197_0001"</f>
        <v>PFES1162632197_0001</v>
      </c>
      <c r="L2675" s="10">
        <v>1</v>
      </c>
      <c r="M2675" s="10">
        <v>1</v>
      </c>
    </row>
    <row r="2676" spans="1:13">
      <c r="A2676" s="8">
        <v>43279</v>
      </c>
      <c r="B2676" s="9">
        <v>0.55694444444444446</v>
      </c>
      <c r="C2676" s="10" t="str">
        <f>"FES1162632148"</f>
        <v>FES1162632148</v>
      </c>
      <c r="D2676" s="10" t="s">
        <v>19</v>
      </c>
      <c r="E2676" s="10" t="s">
        <v>291</v>
      </c>
      <c r="F2676" s="10" t="str">
        <f>"2170638965 "</f>
        <v xml:space="preserve">2170638965 </v>
      </c>
      <c r="G2676" s="10" t="str">
        <f t="shared" si="71"/>
        <v>ON1</v>
      </c>
      <c r="H2676" s="10" t="s">
        <v>21</v>
      </c>
      <c r="I2676" s="10" t="s">
        <v>292</v>
      </c>
      <c r="J2676" s="10" t="str">
        <f>""</f>
        <v/>
      </c>
      <c r="K2676" s="10" t="str">
        <f>"PFES1162632148_0001"</f>
        <v>PFES1162632148_0001</v>
      </c>
      <c r="L2676" s="10">
        <v>1</v>
      </c>
      <c r="M2676" s="10">
        <v>5</v>
      </c>
    </row>
    <row r="2677" spans="1:13">
      <c r="A2677" s="8">
        <v>43279</v>
      </c>
      <c r="B2677" s="9">
        <v>0.55694444444444446</v>
      </c>
      <c r="C2677" s="10" t="str">
        <f>"FES1162632174"</f>
        <v>FES1162632174</v>
      </c>
      <c r="D2677" s="10" t="s">
        <v>19</v>
      </c>
      <c r="E2677" s="10" t="s">
        <v>555</v>
      </c>
      <c r="F2677" s="10" t="str">
        <f>"2170636724 "</f>
        <v xml:space="preserve">2170636724 </v>
      </c>
      <c r="G2677" s="10" t="str">
        <f t="shared" si="71"/>
        <v>ON1</v>
      </c>
      <c r="H2677" s="10" t="s">
        <v>21</v>
      </c>
      <c r="I2677" s="10" t="s">
        <v>556</v>
      </c>
      <c r="J2677" s="10" t="str">
        <f>""</f>
        <v/>
      </c>
      <c r="K2677" s="10" t="str">
        <f>"PFES1162632174_0001"</f>
        <v>PFES1162632174_0001</v>
      </c>
      <c r="L2677" s="10">
        <v>1</v>
      </c>
      <c r="M2677" s="10">
        <v>1</v>
      </c>
    </row>
    <row r="2678" spans="1:13">
      <c r="A2678" s="8">
        <v>43279</v>
      </c>
      <c r="B2678" s="9">
        <v>0.55625000000000002</v>
      </c>
      <c r="C2678" s="10" t="str">
        <f>"FES1162632113"</f>
        <v>FES1162632113</v>
      </c>
      <c r="D2678" s="10" t="s">
        <v>19</v>
      </c>
      <c r="E2678" s="10" t="s">
        <v>1003</v>
      </c>
      <c r="F2678" s="10" t="str">
        <f>"2170638428 "</f>
        <v xml:space="preserve">2170638428 </v>
      </c>
      <c r="G2678" s="10" t="str">
        <f t="shared" si="71"/>
        <v>ON1</v>
      </c>
      <c r="H2678" s="10" t="s">
        <v>21</v>
      </c>
      <c r="I2678" s="10" t="s">
        <v>737</v>
      </c>
      <c r="J2678" s="10" t="str">
        <f>""</f>
        <v/>
      </c>
      <c r="K2678" s="10" t="str">
        <f>"PFES1162632113_0001"</f>
        <v>PFES1162632113_0001</v>
      </c>
      <c r="L2678" s="10">
        <v>1</v>
      </c>
      <c r="M2678" s="10">
        <v>1</v>
      </c>
    </row>
    <row r="2679" spans="1:13">
      <c r="A2679" s="8">
        <v>43279</v>
      </c>
      <c r="B2679" s="9">
        <v>0.55625000000000002</v>
      </c>
      <c r="C2679" s="10" t="str">
        <f>"FES1162632112"</f>
        <v>FES1162632112</v>
      </c>
      <c r="D2679" s="10" t="s">
        <v>19</v>
      </c>
      <c r="E2679" s="10" t="s">
        <v>218</v>
      </c>
      <c r="F2679" s="10" t="str">
        <f>"2170638388 "</f>
        <v xml:space="preserve">2170638388 </v>
      </c>
      <c r="G2679" s="10" t="str">
        <f t="shared" si="71"/>
        <v>ON1</v>
      </c>
      <c r="H2679" s="10" t="s">
        <v>21</v>
      </c>
      <c r="I2679" s="10" t="s">
        <v>108</v>
      </c>
      <c r="J2679" s="10" t="str">
        <f>""</f>
        <v/>
      </c>
      <c r="K2679" s="10" t="str">
        <f>"PFES1162632112_0001"</f>
        <v>PFES1162632112_0001</v>
      </c>
      <c r="L2679" s="10">
        <v>1</v>
      </c>
      <c r="M2679" s="10">
        <v>1</v>
      </c>
    </row>
    <row r="2680" spans="1:13">
      <c r="A2680" s="8">
        <v>43279</v>
      </c>
      <c r="B2680" s="9">
        <v>0.55625000000000002</v>
      </c>
      <c r="C2680" s="10" t="str">
        <f>"FES1162632095"</f>
        <v>FES1162632095</v>
      </c>
      <c r="D2680" s="10" t="s">
        <v>19</v>
      </c>
      <c r="E2680" s="10" t="s">
        <v>599</v>
      </c>
      <c r="F2680" s="10" t="str">
        <f>"2170638146 "</f>
        <v xml:space="preserve">2170638146 </v>
      </c>
      <c r="G2680" s="10" t="str">
        <f t="shared" si="71"/>
        <v>ON1</v>
      </c>
      <c r="H2680" s="10" t="s">
        <v>21</v>
      </c>
      <c r="I2680" s="10" t="s">
        <v>279</v>
      </c>
      <c r="J2680" s="10" t="str">
        <f>""</f>
        <v/>
      </c>
      <c r="K2680" s="10" t="str">
        <f>"PFES1162632095_0001"</f>
        <v>PFES1162632095_0001</v>
      </c>
      <c r="L2680" s="10">
        <v>1</v>
      </c>
      <c r="M2680" s="10">
        <v>7</v>
      </c>
    </row>
    <row r="2681" spans="1:13">
      <c r="A2681" s="8">
        <v>43279</v>
      </c>
      <c r="B2681" s="9">
        <v>0.55555555555555558</v>
      </c>
      <c r="C2681" s="10" t="str">
        <f>"FES1162632155"</f>
        <v>FES1162632155</v>
      </c>
      <c r="D2681" s="10" t="s">
        <v>19</v>
      </c>
      <c r="E2681" s="10" t="s">
        <v>907</v>
      </c>
      <c r="F2681" s="10" t="str">
        <f>"2170638441 "</f>
        <v xml:space="preserve">2170638441 </v>
      </c>
      <c r="G2681" s="10" t="str">
        <f t="shared" si="71"/>
        <v>ON1</v>
      </c>
      <c r="H2681" s="10" t="s">
        <v>21</v>
      </c>
      <c r="I2681" s="10" t="s">
        <v>908</v>
      </c>
      <c r="J2681" s="10" t="str">
        <f>""</f>
        <v/>
      </c>
      <c r="K2681" s="10" t="str">
        <f>"PFES1162632155_0001"</f>
        <v>PFES1162632155_0001</v>
      </c>
      <c r="L2681" s="10">
        <v>1</v>
      </c>
      <c r="M2681" s="10">
        <v>1</v>
      </c>
    </row>
    <row r="2682" spans="1:13">
      <c r="A2682" s="8">
        <v>43279</v>
      </c>
      <c r="B2682" s="9">
        <v>0.55555555555555558</v>
      </c>
      <c r="C2682" s="10" t="str">
        <f>"FES1162632263"</f>
        <v>FES1162632263</v>
      </c>
      <c r="D2682" s="10" t="s">
        <v>19</v>
      </c>
      <c r="E2682" s="10" t="s">
        <v>67</v>
      </c>
      <c r="F2682" s="10" t="str">
        <f>"2170637058 "</f>
        <v xml:space="preserve">2170637058 </v>
      </c>
      <c r="G2682" s="10" t="str">
        <f t="shared" si="71"/>
        <v>ON1</v>
      </c>
      <c r="H2682" s="10" t="s">
        <v>21</v>
      </c>
      <c r="I2682" s="10" t="s">
        <v>46</v>
      </c>
      <c r="J2682" s="10" t="str">
        <f>""</f>
        <v/>
      </c>
      <c r="K2682" s="10" t="str">
        <f>"PFES1162632263_0001"</f>
        <v>PFES1162632263_0001</v>
      </c>
      <c r="L2682" s="10">
        <v>1</v>
      </c>
      <c r="M2682" s="10">
        <v>1</v>
      </c>
    </row>
    <row r="2683" spans="1:13">
      <c r="A2683" s="8">
        <v>43279</v>
      </c>
      <c r="B2683" s="9">
        <v>0.55486111111111114</v>
      </c>
      <c r="C2683" s="10" t="str">
        <f>"FES1162632185"</f>
        <v>FES1162632185</v>
      </c>
      <c r="D2683" s="10" t="s">
        <v>19</v>
      </c>
      <c r="E2683" s="10" t="s">
        <v>306</v>
      </c>
      <c r="F2683" s="10" t="str">
        <f>"2170636859 "</f>
        <v xml:space="preserve">2170636859 </v>
      </c>
      <c r="G2683" s="10" t="str">
        <f t="shared" si="71"/>
        <v>ON1</v>
      </c>
      <c r="H2683" s="10" t="s">
        <v>21</v>
      </c>
      <c r="I2683" s="10" t="s">
        <v>36</v>
      </c>
      <c r="J2683" s="10" t="str">
        <f>""</f>
        <v/>
      </c>
      <c r="K2683" s="10" t="str">
        <f>"PFES1162632185_0001"</f>
        <v>PFES1162632185_0001</v>
      </c>
      <c r="L2683" s="10">
        <v>1</v>
      </c>
      <c r="M2683" s="10">
        <v>1</v>
      </c>
    </row>
    <row r="2684" spans="1:13">
      <c r="A2684" s="8">
        <v>43279</v>
      </c>
      <c r="B2684" s="9">
        <v>0.55486111111111114</v>
      </c>
      <c r="C2684" s="10" t="str">
        <f>"FES1162632189"</f>
        <v>FES1162632189</v>
      </c>
      <c r="D2684" s="10" t="s">
        <v>19</v>
      </c>
      <c r="E2684" s="10" t="s">
        <v>540</v>
      </c>
      <c r="F2684" s="10" t="str">
        <f>"2170636918 "</f>
        <v xml:space="preserve">2170636918 </v>
      </c>
      <c r="G2684" s="10" t="str">
        <f t="shared" si="71"/>
        <v>ON1</v>
      </c>
      <c r="H2684" s="10" t="s">
        <v>21</v>
      </c>
      <c r="I2684" s="10" t="s">
        <v>55</v>
      </c>
      <c r="J2684" s="10" t="str">
        <f>""</f>
        <v/>
      </c>
      <c r="K2684" s="10" t="str">
        <f>"PFES1162632189_0001"</f>
        <v>PFES1162632189_0001</v>
      </c>
      <c r="L2684" s="10">
        <v>1</v>
      </c>
      <c r="M2684" s="10">
        <v>1</v>
      </c>
    </row>
    <row r="2685" spans="1:13">
      <c r="A2685" s="8">
        <v>43279</v>
      </c>
      <c r="B2685" s="9">
        <v>0.55486111111111114</v>
      </c>
      <c r="C2685" s="10" t="str">
        <f>"FES1162632162"</f>
        <v>FES1162632162</v>
      </c>
      <c r="D2685" s="10" t="s">
        <v>19</v>
      </c>
      <c r="E2685" s="10" t="s">
        <v>1054</v>
      </c>
      <c r="F2685" s="10" t="str">
        <f>"2170635814 "</f>
        <v xml:space="preserve">2170635814 </v>
      </c>
      <c r="G2685" s="10" t="str">
        <f t="shared" si="71"/>
        <v>ON1</v>
      </c>
      <c r="H2685" s="10" t="s">
        <v>21</v>
      </c>
      <c r="I2685" s="10" t="s">
        <v>778</v>
      </c>
      <c r="J2685" s="10" t="str">
        <f>""</f>
        <v/>
      </c>
      <c r="K2685" s="10" t="str">
        <f>"PFES1162632162_0001"</f>
        <v>PFES1162632162_0001</v>
      </c>
      <c r="L2685" s="10">
        <v>1</v>
      </c>
      <c r="M2685" s="10">
        <v>1</v>
      </c>
    </row>
    <row r="2686" spans="1:13">
      <c r="A2686" s="8">
        <v>43279</v>
      </c>
      <c r="B2686" s="9">
        <v>0.5541666666666667</v>
      </c>
      <c r="C2686" s="10" t="str">
        <f>"FES1162632268"</f>
        <v>FES1162632268</v>
      </c>
      <c r="D2686" s="10" t="s">
        <v>19</v>
      </c>
      <c r="E2686" s="10" t="s">
        <v>701</v>
      </c>
      <c r="F2686" s="10" t="str">
        <f>"2170637209 "</f>
        <v xml:space="preserve">2170637209 </v>
      </c>
      <c r="G2686" s="10" t="str">
        <f t="shared" si="71"/>
        <v>ON1</v>
      </c>
      <c r="H2686" s="10" t="s">
        <v>21</v>
      </c>
      <c r="I2686" s="10" t="s">
        <v>702</v>
      </c>
      <c r="J2686" s="10" t="str">
        <f>""</f>
        <v/>
      </c>
      <c r="K2686" s="10" t="str">
        <f>"PFES1162632268_0001"</f>
        <v>PFES1162632268_0001</v>
      </c>
      <c r="L2686" s="10">
        <v>1</v>
      </c>
      <c r="M2686" s="10">
        <v>1</v>
      </c>
    </row>
    <row r="2687" spans="1:13">
      <c r="A2687" s="8">
        <v>43279</v>
      </c>
      <c r="B2687" s="9">
        <v>0.5541666666666667</v>
      </c>
      <c r="C2687" s="10" t="str">
        <f>"FES1162632159"</f>
        <v>FES1162632159</v>
      </c>
      <c r="D2687" s="10" t="s">
        <v>19</v>
      </c>
      <c r="E2687" s="10" t="s">
        <v>760</v>
      </c>
      <c r="F2687" s="10" t="str">
        <f>"2170635346 "</f>
        <v xml:space="preserve">2170635346 </v>
      </c>
      <c r="G2687" s="10" t="str">
        <f t="shared" si="71"/>
        <v>ON1</v>
      </c>
      <c r="H2687" s="10" t="s">
        <v>21</v>
      </c>
      <c r="I2687" s="10" t="s">
        <v>604</v>
      </c>
      <c r="J2687" s="10" t="str">
        <f>""</f>
        <v/>
      </c>
      <c r="K2687" s="10" t="str">
        <f>"PFES1162632159_0001"</f>
        <v>PFES1162632159_0001</v>
      </c>
      <c r="L2687" s="10">
        <v>1</v>
      </c>
      <c r="M2687" s="10">
        <v>4</v>
      </c>
    </row>
    <row r="2688" spans="1:13">
      <c r="A2688" s="8">
        <v>43279</v>
      </c>
      <c r="B2688" s="9">
        <v>0.5541666666666667</v>
      </c>
      <c r="C2688" s="10" t="str">
        <f>"FES1162632163"</f>
        <v>FES1162632163</v>
      </c>
      <c r="D2688" s="10" t="s">
        <v>19</v>
      </c>
      <c r="E2688" s="10" t="s">
        <v>615</v>
      </c>
      <c r="F2688" s="10" t="str">
        <f>"217063557 "</f>
        <v xml:space="preserve">217063557 </v>
      </c>
      <c r="G2688" s="10" t="str">
        <f t="shared" si="71"/>
        <v>ON1</v>
      </c>
      <c r="H2688" s="10" t="s">
        <v>21</v>
      </c>
      <c r="I2688" s="10" t="s">
        <v>112</v>
      </c>
      <c r="J2688" s="10" t="str">
        <f>""</f>
        <v/>
      </c>
      <c r="K2688" s="10" t="str">
        <f>"PFES1162632163_0001"</f>
        <v>PFES1162632163_0001</v>
      </c>
      <c r="L2688" s="10">
        <v>1</v>
      </c>
      <c r="M2688" s="10">
        <v>1</v>
      </c>
    </row>
    <row r="2689" spans="1:13">
      <c r="A2689" s="8">
        <v>43279</v>
      </c>
      <c r="B2689" s="9">
        <v>0.55347222222222225</v>
      </c>
      <c r="C2689" s="10" t="str">
        <f>"FES1162632179"</f>
        <v>FES1162632179</v>
      </c>
      <c r="D2689" s="10" t="s">
        <v>19</v>
      </c>
      <c r="E2689" s="10" t="s">
        <v>117</v>
      </c>
      <c r="F2689" s="10" t="str">
        <f>"2170636745 "</f>
        <v xml:space="preserve">2170636745 </v>
      </c>
      <c r="G2689" s="10" t="str">
        <f t="shared" si="71"/>
        <v>ON1</v>
      </c>
      <c r="H2689" s="10" t="s">
        <v>21</v>
      </c>
      <c r="I2689" s="10" t="s">
        <v>118</v>
      </c>
      <c r="J2689" s="10" t="str">
        <f>""</f>
        <v/>
      </c>
      <c r="K2689" s="10" t="str">
        <f>"PFES1162632179_0001"</f>
        <v>PFES1162632179_0001</v>
      </c>
      <c r="L2689" s="10">
        <v>1</v>
      </c>
      <c r="M2689" s="10">
        <v>1</v>
      </c>
    </row>
    <row r="2690" spans="1:13">
      <c r="A2690" s="8">
        <v>43279</v>
      </c>
      <c r="B2690" s="9">
        <v>0.55277777777777781</v>
      </c>
      <c r="C2690" s="10" t="str">
        <f>"FES1162632214"</f>
        <v>FES1162632214</v>
      </c>
      <c r="D2690" s="10" t="s">
        <v>19</v>
      </c>
      <c r="E2690" s="10" t="s">
        <v>152</v>
      </c>
      <c r="F2690" s="10" t="str">
        <f>"2170638983 "</f>
        <v xml:space="preserve">2170638983 </v>
      </c>
      <c r="G2690" s="10" t="str">
        <f t="shared" si="71"/>
        <v>ON1</v>
      </c>
      <c r="H2690" s="10" t="s">
        <v>21</v>
      </c>
      <c r="I2690" s="10" t="s">
        <v>106</v>
      </c>
      <c r="J2690" s="10" t="str">
        <f>""</f>
        <v/>
      </c>
      <c r="K2690" s="10" t="str">
        <f>"PFES1162632214_0001"</f>
        <v>PFES1162632214_0001</v>
      </c>
      <c r="L2690" s="10">
        <v>1</v>
      </c>
      <c r="M2690" s="10">
        <v>2</v>
      </c>
    </row>
    <row r="2691" spans="1:13">
      <c r="A2691" s="8">
        <v>43279</v>
      </c>
      <c r="B2691" s="9">
        <v>0.55277777777777781</v>
      </c>
      <c r="C2691" s="10" t="str">
        <f>"FES1162632131"</f>
        <v>FES1162632131</v>
      </c>
      <c r="D2691" s="10" t="s">
        <v>19</v>
      </c>
      <c r="E2691" s="10" t="s">
        <v>1055</v>
      </c>
      <c r="F2691" s="10" t="str">
        <f>"2170638774 "</f>
        <v xml:space="preserve">2170638774 </v>
      </c>
      <c r="G2691" s="10" t="str">
        <f t="shared" si="71"/>
        <v>ON1</v>
      </c>
      <c r="H2691" s="10" t="s">
        <v>21</v>
      </c>
      <c r="I2691" s="10" t="s">
        <v>28</v>
      </c>
      <c r="J2691" s="10" t="str">
        <f>""</f>
        <v/>
      </c>
      <c r="K2691" s="10" t="str">
        <f>"PFES1162632131_0001"</f>
        <v>PFES1162632131_0001</v>
      </c>
      <c r="L2691" s="10">
        <v>1</v>
      </c>
      <c r="M2691" s="10">
        <v>1</v>
      </c>
    </row>
    <row r="2692" spans="1:13">
      <c r="A2692" s="8">
        <v>43279</v>
      </c>
      <c r="B2692" s="9">
        <v>0.55208333333333337</v>
      </c>
      <c r="C2692" s="10" t="str">
        <f>"FES1162632200"</f>
        <v>FES1162632200</v>
      </c>
      <c r="D2692" s="10" t="s">
        <v>19</v>
      </c>
      <c r="E2692" s="10" t="s">
        <v>1008</v>
      </c>
      <c r="F2692" s="10" t="str">
        <f>"2170637121 "</f>
        <v xml:space="preserve">2170637121 </v>
      </c>
      <c r="G2692" s="10" t="str">
        <f t="shared" si="71"/>
        <v>ON1</v>
      </c>
      <c r="H2692" s="10" t="s">
        <v>21</v>
      </c>
      <c r="I2692" s="10" t="s">
        <v>413</v>
      </c>
      <c r="J2692" s="10" t="str">
        <f>""</f>
        <v/>
      </c>
      <c r="K2692" s="10" t="str">
        <f>"PFES1162632200_0001"</f>
        <v>PFES1162632200_0001</v>
      </c>
      <c r="L2692" s="10">
        <v>1</v>
      </c>
      <c r="M2692" s="10">
        <v>1</v>
      </c>
    </row>
    <row r="2693" spans="1:13">
      <c r="A2693" s="8">
        <v>43279</v>
      </c>
      <c r="B2693" s="9">
        <v>0.55208333333333337</v>
      </c>
      <c r="C2693" s="10" t="str">
        <f>"FES1162632136"</f>
        <v>FES1162632136</v>
      </c>
      <c r="D2693" s="10" t="s">
        <v>19</v>
      </c>
      <c r="E2693" s="10" t="s">
        <v>853</v>
      </c>
      <c r="F2693" s="10" t="str">
        <f>"2170638958 "</f>
        <v xml:space="preserve">2170638958 </v>
      </c>
      <c r="G2693" s="10" t="str">
        <f t="shared" si="71"/>
        <v>ON1</v>
      </c>
      <c r="H2693" s="10" t="s">
        <v>21</v>
      </c>
      <c r="I2693" s="10" t="s">
        <v>59</v>
      </c>
      <c r="J2693" s="10" t="str">
        <f>""</f>
        <v/>
      </c>
      <c r="K2693" s="10" t="str">
        <f>"PFES1162632136_0001"</f>
        <v>PFES1162632136_0001</v>
      </c>
      <c r="L2693" s="10">
        <v>1</v>
      </c>
      <c r="M2693" s="10">
        <v>1</v>
      </c>
    </row>
    <row r="2694" spans="1:13">
      <c r="A2694" s="8">
        <v>43279</v>
      </c>
      <c r="B2694" s="9">
        <v>0.55138888888888882</v>
      </c>
      <c r="C2694" s="10" t="str">
        <f>"FES1162632098"</f>
        <v>FES1162632098</v>
      </c>
      <c r="D2694" s="10" t="s">
        <v>19</v>
      </c>
      <c r="E2694" s="10" t="s">
        <v>901</v>
      </c>
      <c r="F2694" s="10" t="str">
        <f>"2170636096 "</f>
        <v xml:space="preserve">2170636096 </v>
      </c>
      <c r="G2694" s="10" t="str">
        <f t="shared" si="71"/>
        <v>ON1</v>
      </c>
      <c r="H2694" s="10" t="s">
        <v>21</v>
      </c>
      <c r="I2694" s="10" t="s">
        <v>91</v>
      </c>
      <c r="J2694" s="10" t="str">
        <f>""</f>
        <v/>
      </c>
      <c r="K2694" s="10" t="str">
        <f>"PFES1162632098_0001"</f>
        <v>PFES1162632098_0001</v>
      </c>
      <c r="L2694" s="10">
        <v>1</v>
      </c>
      <c r="M2694" s="10">
        <v>1</v>
      </c>
    </row>
    <row r="2695" spans="1:13">
      <c r="A2695" s="8">
        <v>43279</v>
      </c>
      <c r="B2695" s="9">
        <v>0.55069444444444449</v>
      </c>
      <c r="C2695" s="10" t="str">
        <f>"FES1162632274"</f>
        <v>FES1162632274</v>
      </c>
      <c r="D2695" s="10" t="s">
        <v>19</v>
      </c>
      <c r="E2695" s="10" t="s">
        <v>49</v>
      </c>
      <c r="F2695" s="10" t="str">
        <f>"2170637273 "</f>
        <v xml:space="preserve">2170637273 </v>
      </c>
      <c r="G2695" s="10" t="str">
        <f t="shared" si="71"/>
        <v>ON1</v>
      </c>
      <c r="H2695" s="10" t="s">
        <v>21</v>
      </c>
      <c r="I2695" s="10" t="s">
        <v>32</v>
      </c>
      <c r="J2695" s="10" t="str">
        <f>""</f>
        <v/>
      </c>
      <c r="K2695" s="10" t="str">
        <f>"PFES1162632274_0001"</f>
        <v>PFES1162632274_0001</v>
      </c>
      <c r="L2695" s="10">
        <v>1</v>
      </c>
      <c r="M2695" s="10">
        <v>1</v>
      </c>
    </row>
    <row r="2696" spans="1:13">
      <c r="A2696" s="8">
        <v>43279</v>
      </c>
      <c r="B2696" s="9">
        <v>0.54999999999999993</v>
      </c>
      <c r="C2696" s="10" t="str">
        <f>"FES1162632146"</f>
        <v>FES1162632146</v>
      </c>
      <c r="D2696" s="10" t="s">
        <v>19</v>
      </c>
      <c r="E2696" s="10" t="s">
        <v>234</v>
      </c>
      <c r="F2696" s="10" t="str">
        <f>"2170638970 "</f>
        <v xml:space="preserve">2170638970 </v>
      </c>
      <c r="G2696" s="10" t="str">
        <f t="shared" si="71"/>
        <v>ON1</v>
      </c>
      <c r="H2696" s="10" t="s">
        <v>21</v>
      </c>
      <c r="I2696" s="10" t="s">
        <v>200</v>
      </c>
      <c r="J2696" s="10" t="str">
        <f>""</f>
        <v/>
      </c>
      <c r="K2696" s="10" t="str">
        <f>"PFES1162632146_0001"</f>
        <v>PFES1162632146_0001</v>
      </c>
      <c r="L2696" s="10">
        <v>1</v>
      </c>
      <c r="M2696" s="10">
        <v>4</v>
      </c>
    </row>
    <row r="2697" spans="1:13">
      <c r="A2697" s="8">
        <v>43279</v>
      </c>
      <c r="B2697" s="9">
        <v>0.54999999999999993</v>
      </c>
      <c r="C2697" s="10" t="str">
        <f>"FES1162632191"</f>
        <v>FES1162632191</v>
      </c>
      <c r="D2697" s="10" t="s">
        <v>19</v>
      </c>
      <c r="E2697" s="10" t="s">
        <v>1056</v>
      </c>
      <c r="F2697" s="10" t="str">
        <f>"2170636967 "</f>
        <v xml:space="preserve">2170636967 </v>
      </c>
      <c r="G2697" s="10" t="str">
        <f t="shared" si="71"/>
        <v>ON1</v>
      </c>
      <c r="H2697" s="10" t="s">
        <v>21</v>
      </c>
      <c r="I2697" s="10" t="s">
        <v>413</v>
      </c>
      <c r="J2697" s="10" t="str">
        <f>""</f>
        <v/>
      </c>
      <c r="K2697" s="10" t="str">
        <f>"PFES1162632191_0001"</f>
        <v>PFES1162632191_0001</v>
      </c>
      <c r="L2697" s="10">
        <v>1</v>
      </c>
      <c r="M2697" s="10">
        <v>1</v>
      </c>
    </row>
    <row r="2698" spans="1:13">
      <c r="A2698" s="8">
        <v>43279</v>
      </c>
      <c r="B2698" s="9">
        <v>0.5493055555555556</v>
      </c>
      <c r="C2698" s="10" t="str">
        <f>"FES1162632282"</f>
        <v>FES1162632282</v>
      </c>
      <c r="D2698" s="10" t="s">
        <v>19</v>
      </c>
      <c r="E2698" s="10" t="s">
        <v>861</v>
      </c>
      <c r="F2698" s="10" t="str">
        <f>"2170637459 "</f>
        <v xml:space="preserve">2170637459 </v>
      </c>
      <c r="G2698" s="10" t="str">
        <f t="shared" si="71"/>
        <v>ON1</v>
      </c>
      <c r="H2698" s="10" t="s">
        <v>21</v>
      </c>
      <c r="I2698" s="10" t="s">
        <v>32</v>
      </c>
      <c r="J2698" s="10" t="str">
        <f>""</f>
        <v/>
      </c>
      <c r="K2698" s="10" t="str">
        <f>"PFES1162632282_0001"</f>
        <v>PFES1162632282_0001</v>
      </c>
      <c r="L2698" s="10">
        <v>1</v>
      </c>
      <c r="M2698" s="10">
        <v>1</v>
      </c>
    </row>
    <row r="2699" spans="1:13">
      <c r="A2699" s="8">
        <v>43279</v>
      </c>
      <c r="B2699" s="9">
        <v>0.5493055555555556</v>
      </c>
      <c r="C2699" s="10" t="str">
        <f>"FES1162632261"</f>
        <v>FES1162632261</v>
      </c>
      <c r="D2699" s="10" t="s">
        <v>19</v>
      </c>
      <c r="E2699" s="10" t="s">
        <v>49</v>
      </c>
      <c r="F2699" s="10" t="str">
        <f>"2170633525 "</f>
        <v xml:space="preserve">2170633525 </v>
      </c>
      <c r="G2699" s="10" t="str">
        <f t="shared" si="71"/>
        <v>ON1</v>
      </c>
      <c r="H2699" s="10" t="s">
        <v>21</v>
      </c>
      <c r="I2699" s="10" t="s">
        <v>32</v>
      </c>
      <c r="J2699" s="10" t="str">
        <f>""</f>
        <v/>
      </c>
      <c r="K2699" s="10" t="str">
        <f>"PFES1162632261_0001"</f>
        <v>PFES1162632261_0001</v>
      </c>
      <c r="L2699" s="10">
        <v>1</v>
      </c>
      <c r="M2699" s="10">
        <v>1</v>
      </c>
    </row>
    <row r="2700" spans="1:13">
      <c r="A2700" s="8">
        <v>43279</v>
      </c>
      <c r="B2700" s="9">
        <v>0.54861111111111105</v>
      </c>
      <c r="C2700" s="10" t="str">
        <f>"FES1162632195"</f>
        <v>FES1162632195</v>
      </c>
      <c r="D2700" s="10" t="s">
        <v>19</v>
      </c>
      <c r="E2700" s="10" t="s">
        <v>95</v>
      </c>
      <c r="F2700" s="10" t="str">
        <f>"2170637003 "</f>
        <v xml:space="preserve">2170637003 </v>
      </c>
      <c r="G2700" s="10" t="str">
        <f t="shared" si="71"/>
        <v>ON1</v>
      </c>
      <c r="H2700" s="10" t="s">
        <v>21</v>
      </c>
      <c r="I2700" s="10" t="s">
        <v>96</v>
      </c>
      <c r="J2700" s="10" t="str">
        <f>""</f>
        <v/>
      </c>
      <c r="K2700" s="10" t="str">
        <f>"PFES1162632195_0001"</f>
        <v>PFES1162632195_0001</v>
      </c>
      <c r="L2700" s="10">
        <v>1</v>
      </c>
      <c r="M2700" s="10">
        <v>1</v>
      </c>
    </row>
    <row r="2701" spans="1:13">
      <c r="A2701" s="8">
        <v>43279</v>
      </c>
      <c r="B2701" s="9">
        <v>0.54861111111111105</v>
      </c>
      <c r="C2701" s="10" t="str">
        <f>"FES1162632270"</f>
        <v>FES1162632270</v>
      </c>
      <c r="D2701" s="10" t="s">
        <v>19</v>
      </c>
      <c r="E2701" s="10" t="s">
        <v>509</v>
      </c>
      <c r="F2701" s="10" t="str">
        <f>"2170637219 "</f>
        <v xml:space="preserve">2170637219 </v>
      </c>
      <c r="G2701" s="10" t="str">
        <f t="shared" si="71"/>
        <v>ON1</v>
      </c>
      <c r="H2701" s="10" t="s">
        <v>21</v>
      </c>
      <c r="I2701" s="10" t="s">
        <v>53</v>
      </c>
      <c r="J2701" s="10" t="str">
        <f>""</f>
        <v/>
      </c>
      <c r="K2701" s="10" t="str">
        <f>"PFES1162632270_0001"</f>
        <v>PFES1162632270_0001</v>
      </c>
      <c r="L2701" s="10">
        <v>1</v>
      </c>
      <c r="M2701" s="10">
        <v>1</v>
      </c>
    </row>
    <row r="2702" spans="1:13">
      <c r="A2702" s="8">
        <v>43279</v>
      </c>
      <c r="B2702" s="9">
        <v>0.54861111111111105</v>
      </c>
      <c r="C2702" s="10" t="str">
        <f>"FES1162632213"</f>
        <v>FES1162632213</v>
      </c>
      <c r="D2702" s="10" t="s">
        <v>19</v>
      </c>
      <c r="E2702" s="10" t="s">
        <v>119</v>
      </c>
      <c r="F2702" s="10" t="str">
        <f>"2170638981 "</f>
        <v xml:space="preserve">2170638981 </v>
      </c>
      <c r="G2702" s="10" t="str">
        <f t="shared" si="71"/>
        <v>ON1</v>
      </c>
      <c r="H2702" s="10" t="s">
        <v>21</v>
      </c>
      <c r="I2702" s="10" t="s">
        <v>83</v>
      </c>
      <c r="J2702" s="10" t="str">
        <f>""</f>
        <v/>
      </c>
      <c r="K2702" s="10" t="str">
        <f>"PFES1162632213_0001"</f>
        <v>PFES1162632213_0001</v>
      </c>
      <c r="L2702" s="10">
        <v>1</v>
      </c>
      <c r="M2702" s="10">
        <v>1</v>
      </c>
    </row>
    <row r="2703" spans="1:13">
      <c r="A2703" s="8">
        <v>43279</v>
      </c>
      <c r="B2703" s="9">
        <v>0.54791666666666672</v>
      </c>
      <c r="C2703" s="10" t="str">
        <f>"FES1162632192"</f>
        <v>FES1162632192</v>
      </c>
      <c r="D2703" s="10" t="s">
        <v>19</v>
      </c>
      <c r="E2703" s="10" t="s">
        <v>99</v>
      </c>
      <c r="F2703" s="10" t="str">
        <f>"2170636973 "</f>
        <v xml:space="preserve">2170636973 </v>
      </c>
      <c r="G2703" s="10" t="str">
        <f t="shared" si="71"/>
        <v>ON1</v>
      </c>
      <c r="H2703" s="10" t="s">
        <v>21</v>
      </c>
      <c r="I2703" s="10" t="s">
        <v>100</v>
      </c>
      <c r="J2703" s="10" t="str">
        <f>""</f>
        <v/>
      </c>
      <c r="K2703" s="10" t="str">
        <f>"PFES1162632192_0001"</f>
        <v>PFES1162632192_0001</v>
      </c>
      <c r="L2703" s="10">
        <v>1</v>
      </c>
      <c r="M2703" s="10">
        <v>1</v>
      </c>
    </row>
    <row r="2704" spans="1:13">
      <c r="A2704" s="8">
        <v>43279</v>
      </c>
      <c r="B2704" s="9">
        <v>0.54791666666666672</v>
      </c>
      <c r="C2704" s="10" t="str">
        <f>"FES1162632168"</f>
        <v>FES1162632168</v>
      </c>
      <c r="D2704" s="10" t="s">
        <v>19</v>
      </c>
      <c r="E2704" s="10" t="s">
        <v>1057</v>
      </c>
      <c r="F2704" s="10" t="str">
        <f>"2170636642 "</f>
        <v xml:space="preserve">2170636642 </v>
      </c>
      <c r="G2704" s="10" t="str">
        <f t="shared" si="71"/>
        <v>ON1</v>
      </c>
      <c r="H2704" s="10" t="s">
        <v>21</v>
      </c>
      <c r="I2704" s="10" t="s">
        <v>176</v>
      </c>
      <c r="J2704" s="10" t="str">
        <f>""</f>
        <v/>
      </c>
      <c r="K2704" s="10" t="str">
        <f>"PFES1162632168_0001"</f>
        <v>PFES1162632168_0001</v>
      </c>
      <c r="L2704" s="10">
        <v>1</v>
      </c>
      <c r="M2704" s="10">
        <v>1</v>
      </c>
    </row>
    <row r="2705" spans="1:13">
      <c r="A2705" s="8">
        <v>43279</v>
      </c>
      <c r="B2705" s="9">
        <v>0.54722222222222217</v>
      </c>
      <c r="C2705" s="10" t="str">
        <f>"FES1162632246"</f>
        <v>FES1162632246</v>
      </c>
      <c r="D2705" s="10" t="s">
        <v>19</v>
      </c>
      <c r="E2705" s="10" t="s">
        <v>514</v>
      </c>
      <c r="F2705" s="10" t="str">
        <f>"2170637054 "</f>
        <v xml:space="preserve">2170637054 </v>
      </c>
      <c r="G2705" s="10" t="str">
        <f t="shared" si="71"/>
        <v>ON1</v>
      </c>
      <c r="H2705" s="10" t="s">
        <v>21</v>
      </c>
      <c r="I2705" s="10" t="s">
        <v>515</v>
      </c>
      <c r="J2705" s="10" t="str">
        <f>""</f>
        <v/>
      </c>
      <c r="K2705" s="10" t="str">
        <f>"PFES1162632246_0001"</f>
        <v>PFES1162632246_0001</v>
      </c>
      <c r="L2705" s="10">
        <v>1</v>
      </c>
      <c r="M2705" s="10">
        <v>5</v>
      </c>
    </row>
    <row r="2706" spans="1:13">
      <c r="A2706" s="8">
        <v>43279</v>
      </c>
      <c r="B2706" s="9">
        <v>0.54722222222222217</v>
      </c>
      <c r="C2706" s="10" t="str">
        <f>"FES1162632190"</f>
        <v>FES1162632190</v>
      </c>
      <c r="D2706" s="10" t="s">
        <v>19</v>
      </c>
      <c r="E2706" s="10" t="s">
        <v>92</v>
      </c>
      <c r="F2706" s="10" t="str">
        <f>"21706365959 "</f>
        <v xml:space="preserve">21706365959 </v>
      </c>
      <c r="G2706" s="10" t="str">
        <f t="shared" si="71"/>
        <v>ON1</v>
      </c>
      <c r="H2706" s="10" t="s">
        <v>21</v>
      </c>
      <c r="I2706" s="10" t="s">
        <v>93</v>
      </c>
      <c r="J2706" s="10" t="str">
        <f>""</f>
        <v/>
      </c>
      <c r="K2706" s="10" t="str">
        <f>"PFES1162632190_0001"</f>
        <v>PFES1162632190_0001</v>
      </c>
      <c r="L2706" s="10">
        <v>1</v>
      </c>
      <c r="M2706" s="10">
        <v>1</v>
      </c>
    </row>
    <row r="2707" spans="1:13">
      <c r="A2707" s="8">
        <v>43279</v>
      </c>
      <c r="B2707" s="9">
        <v>0.54722222222222217</v>
      </c>
      <c r="C2707" s="10" t="str">
        <f>"FES1162632140"</f>
        <v>FES1162632140</v>
      </c>
      <c r="D2707" s="10" t="s">
        <v>19</v>
      </c>
      <c r="E2707" s="10" t="s">
        <v>354</v>
      </c>
      <c r="F2707" s="10" t="str">
        <f>"2170638960 "</f>
        <v xml:space="preserve">2170638960 </v>
      </c>
      <c r="G2707" s="10" t="str">
        <f t="shared" ref="G2707:G2770" si="72">"ON1"</f>
        <v>ON1</v>
      </c>
      <c r="H2707" s="10" t="s">
        <v>21</v>
      </c>
      <c r="I2707" s="10" t="s">
        <v>349</v>
      </c>
      <c r="J2707" s="10" t="str">
        <f>""</f>
        <v/>
      </c>
      <c r="K2707" s="10" t="str">
        <f>"PFES1162632140_0001"</f>
        <v>PFES1162632140_0001</v>
      </c>
      <c r="L2707" s="10">
        <v>1</v>
      </c>
      <c r="M2707" s="10">
        <v>1</v>
      </c>
    </row>
    <row r="2708" spans="1:13">
      <c r="A2708" s="8">
        <v>43279</v>
      </c>
      <c r="B2708" s="9">
        <v>0.54722222222222217</v>
      </c>
      <c r="C2708" s="10" t="str">
        <f>"FES1162632181"</f>
        <v>FES1162632181</v>
      </c>
      <c r="D2708" s="10" t="s">
        <v>19</v>
      </c>
      <c r="E2708" s="10" t="s">
        <v>394</v>
      </c>
      <c r="F2708" s="10" t="str">
        <f>"2170636793 "</f>
        <v xml:space="preserve">2170636793 </v>
      </c>
      <c r="G2708" s="10" t="str">
        <f t="shared" si="72"/>
        <v>ON1</v>
      </c>
      <c r="H2708" s="10" t="s">
        <v>21</v>
      </c>
      <c r="I2708" s="10" t="s">
        <v>75</v>
      </c>
      <c r="J2708" s="10" t="str">
        <f>""</f>
        <v/>
      </c>
      <c r="K2708" s="10" t="str">
        <f>"PFES1162632181_0001"</f>
        <v>PFES1162632181_0001</v>
      </c>
      <c r="L2708" s="10">
        <v>1</v>
      </c>
      <c r="M2708" s="10">
        <v>1</v>
      </c>
    </row>
    <row r="2709" spans="1:13">
      <c r="A2709" s="8">
        <v>43279</v>
      </c>
      <c r="B2709" s="9">
        <v>0.54652777777777783</v>
      </c>
      <c r="C2709" s="10" t="str">
        <f>"FES1162632175"</f>
        <v>FES1162632175</v>
      </c>
      <c r="D2709" s="10" t="s">
        <v>19</v>
      </c>
      <c r="E2709" s="10" t="s">
        <v>1058</v>
      </c>
      <c r="F2709" s="10" t="str">
        <f>"217063625 "</f>
        <v xml:space="preserve">217063625 </v>
      </c>
      <c r="G2709" s="10" t="str">
        <f t="shared" si="72"/>
        <v>ON1</v>
      </c>
      <c r="H2709" s="10" t="s">
        <v>21</v>
      </c>
      <c r="I2709" s="10" t="s">
        <v>69</v>
      </c>
      <c r="J2709" s="10" t="str">
        <f>""</f>
        <v/>
      </c>
      <c r="K2709" s="10" t="str">
        <f>"PFES1162632175_0001"</f>
        <v>PFES1162632175_0001</v>
      </c>
      <c r="L2709" s="10">
        <v>1</v>
      </c>
      <c r="M2709" s="10">
        <v>1</v>
      </c>
    </row>
    <row r="2710" spans="1:13">
      <c r="A2710" s="8">
        <v>43279</v>
      </c>
      <c r="B2710" s="9">
        <v>0.54652777777777783</v>
      </c>
      <c r="C2710" s="10" t="str">
        <f>"FES1162632184"</f>
        <v>FES1162632184</v>
      </c>
      <c r="D2710" s="10" t="s">
        <v>19</v>
      </c>
      <c r="E2710" s="10" t="s">
        <v>178</v>
      </c>
      <c r="F2710" s="10" t="str">
        <f>"217063849 "</f>
        <v xml:space="preserve">217063849 </v>
      </c>
      <c r="G2710" s="10" t="str">
        <f t="shared" si="72"/>
        <v>ON1</v>
      </c>
      <c r="H2710" s="10" t="s">
        <v>21</v>
      </c>
      <c r="I2710" s="10" t="s">
        <v>93</v>
      </c>
      <c r="J2710" s="10" t="str">
        <f>""</f>
        <v/>
      </c>
      <c r="K2710" s="10" t="str">
        <f>"PFES1162632184_0001"</f>
        <v>PFES1162632184_0001</v>
      </c>
      <c r="L2710" s="10">
        <v>1</v>
      </c>
      <c r="M2710" s="10">
        <v>1</v>
      </c>
    </row>
    <row r="2711" spans="1:13">
      <c r="A2711" s="8">
        <v>43279</v>
      </c>
      <c r="B2711" s="9">
        <v>0.54583333333333328</v>
      </c>
      <c r="C2711" s="10" t="str">
        <f>"FES1162632158"</f>
        <v>FES1162632158</v>
      </c>
      <c r="D2711" s="10" t="s">
        <v>19</v>
      </c>
      <c r="E2711" s="10" t="s">
        <v>49</v>
      </c>
      <c r="F2711" s="10" t="str">
        <f>"2170633520 "</f>
        <v xml:space="preserve">2170633520 </v>
      </c>
      <c r="G2711" s="10" t="str">
        <f t="shared" si="72"/>
        <v>ON1</v>
      </c>
      <c r="H2711" s="10" t="s">
        <v>21</v>
      </c>
      <c r="I2711" s="10" t="s">
        <v>32</v>
      </c>
      <c r="J2711" s="10" t="str">
        <f>""</f>
        <v/>
      </c>
      <c r="K2711" s="10" t="str">
        <f>"PFES1162632158_0001"</f>
        <v>PFES1162632158_0001</v>
      </c>
      <c r="L2711" s="10">
        <v>1</v>
      </c>
      <c r="M2711" s="10">
        <v>7</v>
      </c>
    </row>
    <row r="2712" spans="1:13">
      <c r="A2712" s="8">
        <v>43279</v>
      </c>
      <c r="B2712" s="9">
        <v>0.54583333333333328</v>
      </c>
      <c r="C2712" s="10" t="str">
        <f>"FES1162632290"</f>
        <v>FES1162632290</v>
      </c>
      <c r="D2712" s="10" t="s">
        <v>19</v>
      </c>
      <c r="E2712" s="10" t="s">
        <v>1059</v>
      </c>
      <c r="F2712" s="10" t="str">
        <f>"2170637958 "</f>
        <v xml:space="preserve">2170637958 </v>
      </c>
      <c r="G2712" s="10" t="str">
        <f t="shared" si="72"/>
        <v>ON1</v>
      </c>
      <c r="H2712" s="10" t="s">
        <v>21</v>
      </c>
      <c r="I2712" s="10" t="s">
        <v>309</v>
      </c>
      <c r="J2712" s="10" t="str">
        <f>""</f>
        <v/>
      </c>
      <c r="K2712" s="10" t="str">
        <f>"PFES1162632290_0001"</f>
        <v>PFES1162632290_0001</v>
      </c>
      <c r="L2712" s="10">
        <v>1</v>
      </c>
      <c r="M2712" s="10">
        <v>1</v>
      </c>
    </row>
    <row r="2713" spans="1:13">
      <c r="A2713" s="8">
        <v>43279</v>
      </c>
      <c r="B2713" s="9">
        <v>0.54583333333333328</v>
      </c>
      <c r="C2713" s="10" t="str">
        <f>"FES1162632230"</f>
        <v>FES1162632230</v>
      </c>
      <c r="D2713" s="10" t="s">
        <v>19</v>
      </c>
      <c r="E2713" s="10" t="s">
        <v>74</v>
      </c>
      <c r="F2713" s="10" t="str">
        <f>"2170639003 "</f>
        <v xml:space="preserve">2170639003 </v>
      </c>
      <c r="G2713" s="10" t="str">
        <f t="shared" si="72"/>
        <v>ON1</v>
      </c>
      <c r="H2713" s="10" t="s">
        <v>21</v>
      </c>
      <c r="I2713" s="10" t="s">
        <v>75</v>
      </c>
      <c r="J2713" s="10" t="str">
        <f>""</f>
        <v/>
      </c>
      <c r="K2713" s="10" t="str">
        <f>"PFES1162632230_0001"</f>
        <v>PFES1162632230_0001</v>
      </c>
      <c r="L2713" s="10">
        <v>1</v>
      </c>
      <c r="M2713" s="10">
        <v>1</v>
      </c>
    </row>
    <row r="2714" spans="1:13">
      <c r="A2714" s="8">
        <v>43279</v>
      </c>
      <c r="B2714" s="9">
        <v>0.54583333333333328</v>
      </c>
      <c r="C2714" s="10" t="str">
        <f>"FES1162632194"</f>
        <v>FES1162632194</v>
      </c>
      <c r="D2714" s="10" t="s">
        <v>19</v>
      </c>
      <c r="E2714" s="10" t="s">
        <v>286</v>
      </c>
      <c r="F2714" s="10" t="str">
        <f>"21706369999 "</f>
        <v xml:space="preserve">21706369999 </v>
      </c>
      <c r="G2714" s="10" t="str">
        <f t="shared" si="72"/>
        <v>ON1</v>
      </c>
      <c r="H2714" s="10" t="s">
        <v>21</v>
      </c>
      <c r="I2714" s="10" t="s">
        <v>79</v>
      </c>
      <c r="J2714" s="10" t="str">
        <f>""</f>
        <v/>
      </c>
      <c r="K2714" s="10" t="str">
        <f>"PFES1162632194_0001"</f>
        <v>PFES1162632194_0001</v>
      </c>
      <c r="L2714" s="10">
        <v>1</v>
      </c>
      <c r="M2714" s="10">
        <v>1</v>
      </c>
    </row>
    <row r="2715" spans="1:13">
      <c r="A2715" s="8">
        <v>43279</v>
      </c>
      <c r="B2715" s="9">
        <v>0.54513888888888895</v>
      </c>
      <c r="C2715" s="10" t="str">
        <f>"FES1162632161"</f>
        <v>FES1162632161</v>
      </c>
      <c r="D2715" s="10" t="s">
        <v>19</v>
      </c>
      <c r="E2715" s="10" t="s">
        <v>372</v>
      </c>
      <c r="F2715" s="10" t="str">
        <f>"2170635492 "</f>
        <v xml:space="preserve">2170635492 </v>
      </c>
      <c r="G2715" s="10" t="str">
        <f t="shared" si="72"/>
        <v>ON1</v>
      </c>
      <c r="H2715" s="10" t="s">
        <v>21</v>
      </c>
      <c r="I2715" s="10" t="s">
        <v>93</v>
      </c>
      <c r="J2715" s="10" t="str">
        <f>""</f>
        <v/>
      </c>
      <c r="K2715" s="10" t="str">
        <f>"PFES1162632161_0001"</f>
        <v>PFES1162632161_0001</v>
      </c>
      <c r="L2715" s="10">
        <v>1</v>
      </c>
      <c r="M2715" s="10">
        <v>1</v>
      </c>
    </row>
    <row r="2716" spans="1:13">
      <c r="A2716" s="8">
        <v>43279</v>
      </c>
      <c r="B2716" s="9">
        <v>0.54513888888888895</v>
      </c>
      <c r="C2716" s="10" t="str">
        <f>"FES1162632196"</f>
        <v>FES1162632196</v>
      </c>
      <c r="D2716" s="10" t="s">
        <v>19</v>
      </c>
      <c r="E2716" s="10" t="s">
        <v>996</v>
      </c>
      <c r="F2716" s="10" t="str">
        <f>"2170637022 "</f>
        <v xml:space="preserve">2170637022 </v>
      </c>
      <c r="G2716" s="10" t="str">
        <f t="shared" si="72"/>
        <v>ON1</v>
      </c>
      <c r="H2716" s="10" t="s">
        <v>21</v>
      </c>
      <c r="I2716" s="10" t="s">
        <v>93</v>
      </c>
      <c r="J2716" s="10" t="str">
        <f>""</f>
        <v/>
      </c>
      <c r="K2716" s="10" t="str">
        <f>"PFES1162632196_0001"</f>
        <v>PFES1162632196_0001</v>
      </c>
      <c r="L2716" s="10">
        <v>1</v>
      </c>
      <c r="M2716" s="10">
        <v>1</v>
      </c>
    </row>
    <row r="2717" spans="1:13">
      <c r="A2717" s="8">
        <v>43279</v>
      </c>
      <c r="B2717" s="9">
        <v>0.54513888888888895</v>
      </c>
      <c r="C2717" s="10" t="str">
        <f>"FES1162632111"</f>
        <v>FES1162632111</v>
      </c>
      <c r="D2717" s="10" t="s">
        <v>19</v>
      </c>
      <c r="E2717" s="10" t="s">
        <v>92</v>
      </c>
      <c r="F2717" s="10" t="str">
        <f>"2170638104 "</f>
        <v xml:space="preserve">2170638104 </v>
      </c>
      <c r="G2717" s="10" t="str">
        <f t="shared" si="72"/>
        <v>ON1</v>
      </c>
      <c r="H2717" s="10" t="s">
        <v>21</v>
      </c>
      <c r="I2717" s="10" t="s">
        <v>93</v>
      </c>
      <c r="J2717" s="10" t="str">
        <f>""</f>
        <v/>
      </c>
      <c r="K2717" s="10" t="str">
        <f>"PFES1162632111_0001"</f>
        <v>PFES1162632111_0001</v>
      </c>
      <c r="L2717" s="10">
        <v>1</v>
      </c>
      <c r="M2717" s="10">
        <v>2</v>
      </c>
    </row>
    <row r="2718" spans="1:13">
      <c r="A2718" s="8">
        <v>43279</v>
      </c>
      <c r="B2718" s="9">
        <v>0.5444444444444444</v>
      </c>
      <c r="C2718" s="10" t="str">
        <f>"FES1162632221"</f>
        <v>FES1162632221</v>
      </c>
      <c r="D2718" s="10" t="s">
        <v>19</v>
      </c>
      <c r="E2718" s="10" t="s">
        <v>137</v>
      </c>
      <c r="F2718" s="10" t="str">
        <f>"2170638993 "</f>
        <v xml:space="preserve">2170638993 </v>
      </c>
      <c r="G2718" s="10" t="str">
        <f t="shared" si="72"/>
        <v>ON1</v>
      </c>
      <c r="H2718" s="10" t="s">
        <v>21</v>
      </c>
      <c r="I2718" s="10" t="s">
        <v>93</v>
      </c>
      <c r="J2718" s="10" t="str">
        <f>""</f>
        <v/>
      </c>
      <c r="K2718" s="10" t="str">
        <f>"PFES1162632221_0001"</f>
        <v>PFES1162632221_0001</v>
      </c>
      <c r="L2718" s="10">
        <v>1</v>
      </c>
      <c r="M2718" s="10">
        <v>1</v>
      </c>
    </row>
    <row r="2719" spans="1:13">
      <c r="A2719" s="8">
        <v>43279</v>
      </c>
      <c r="B2719" s="9">
        <v>0.5444444444444444</v>
      </c>
      <c r="C2719" s="10" t="str">
        <f>"FES1162632227"</f>
        <v>FES1162632227</v>
      </c>
      <c r="D2719" s="10" t="s">
        <v>19</v>
      </c>
      <c r="E2719" s="10" t="s">
        <v>1060</v>
      </c>
      <c r="F2719" s="10" t="str">
        <f>"21706388997 "</f>
        <v xml:space="preserve">21706388997 </v>
      </c>
      <c r="G2719" s="10" t="str">
        <f t="shared" si="72"/>
        <v>ON1</v>
      </c>
      <c r="H2719" s="10" t="s">
        <v>21</v>
      </c>
      <c r="I2719" s="10" t="s">
        <v>176</v>
      </c>
      <c r="J2719" s="10" t="str">
        <f>""</f>
        <v/>
      </c>
      <c r="K2719" s="10" t="str">
        <f>"PFES1162632227_0001"</f>
        <v>PFES1162632227_0001</v>
      </c>
      <c r="L2719" s="10">
        <v>1</v>
      </c>
      <c r="M2719" s="10">
        <v>1</v>
      </c>
    </row>
    <row r="2720" spans="1:13">
      <c r="A2720" s="8">
        <v>43279</v>
      </c>
      <c r="B2720" s="9">
        <v>0.54375000000000007</v>
      </c>
      <c r="C2720" s="10" t="str">
        <f>"FES1162632160"</f>
        <v>FES1162632160</v>
      </c>
      <c r="D2720" s="10" t="s">
        <v>19</v>
      </c>
      <c r="E2720" s="10" t="s">
        <v>372</v>
      </c>
      <c r="F2720" s="10" t="str">
        <f>"2170635491 "</f>
        <v xml:space="preserve">2170635491 </v>
      </c>
      <c r="G2720" s="10" t="str">
        <f t="shared" si="72"/>
        <v>ON1</v>
      </c>
      <c r="H2720" s="10" t="s">
        <v>21</v>
      </c>
      <c r="I2720" s="10" t="s">
        <v>93</v>
      </c>
      <c r="J2720" s="10" t="str">
        <f>""</f>
        <v/>
      </c>
      <c r="K2720" s="10" t="str">
        <f>"PFES1162632160_0001"</f>
        <v>PFES1162632160_0001</v>
      </c>
      <c r="L2720" s="10">
        <v>1</v>
      </c>
      <c r="M2720" s="10">
        <v>1</v>
      </c>
    </row>
    <row r="2721" spans="1:13">
      <c r="A2721" s="8">
        <v>43279</v>
      </c>
      <c r="B2721" s="9">
        <v>0.54375000000000007</v>
      </c>
      <c r="C2721" s="10" t="str">
        <f>"FES1162632144"</f>
        <v>FES1162632144</v>
      </c>
      <c r="D2721" s="10" t="s">
        <v>19</v>
      </c>
      <c r="E2721" s="10" t="s">
        <v>341</v>
      </c>
      <c r="F2721" s="10" t="str">
        <f>"2170638968 "</f>
        <v xml:space="preserve">2170638968 </v>
      </c>
      <c r="G2721" s="10" t="str">
        <f t="shared" si="72"/>
        <v>ON1</v>
      </c>
      <c r="H2721" s="10" t="s">
        <v>21</v>
      </c>
      <c r="I2721" s="10" t="s">
        <v>342</v>
      </c>
      <c r="J2721" s="10" t="str">
        <f>""</f>
        <v/>
      </c>
      <c r="K2721" s="10" t="str">
        <f>"PFES1162632144_0001"</f>
        <v>PFES1162632144_0001</v>
      </c>
      <c r="L2721" s="10">
        <v>1</v>
      </c>
      <c r="M2721" s="10">
        <v>3</v>
      </c>
    </row>
    <row r="2722" spans="1:13">
      <c r="A2722" s="8">
        <v>43279</v>
      </c>
      <c r="B2722" s="9">
        <v>0.52847222222222223</v>
      </c>
      <c r="C2722" s="10" t="str">
        <f>"FES1162632097"</f>
        <v>FES1162632097</v>
      </c>
      <c r="D2722" s="10" t="s">
        <v>19</v>
      </c>
      <c r="E2722" s="10" t="s">
        <v>60</v>
      </c>
      <c r="F2722" s="10" t="str">
        <f>"2170638099 "</f>
        <v xml:space="preserve">2170638099 </v>
      </c>
      <c r="G2722" s="10" t="str">
        <f t="shared" si="72"/>
        <v>ON1</v>
      </c>
      <c r="H2722" s="10" t="s">
        <v>21</v>
      </c>
      <c r="I2722" s="10" t="s">
        <v>61</v>
      </c>
      <c r="J2722" s="10" t="str">
        <f>""</f>
        <v/>
      </c>
      <c r="K2722" s="10" t="str">
        <f>"PFES1162632097_0001"</f>
        <v>PFES1162632097_0001</v>
      </c>
      <c r="L2722" s="10">
        <v>1</v>
      </c>
      <c r="M2722" s="10">
        <v>1</v>
      </c>
    </row>
    <row r="2723" spans="1:13">
      <c r="A2723" s="8">
        <v>43279</v>
      </c>
      <c r="B2723" s="9">
        <v>0.52847222222222223</v>
      </c>
      <c r="C2723" s="10" t="str">
        <f>"FES1162632265"</f>
        <v>FES1162632265</v>
      </c>
      <c r="D2723" s="10" t="s">
        <v>19</v>
      </c>
      <c r="E2723" s="10" t="s">
        <v>732</v>
      </c>
      <c r="F2723" s="10" t="str">
        <f>"2170637093 "</f>
        <v xml:space="preserve">2170637093 </v>
      </c>
      <c r="G2723" s="10" t="str">
        <f t="shared" si="72"/>
        <v>ON1</v>
      </c>
      <c r="H2723" s="10" t="s">
        <v>21</v>
      </c>
      <c r="I2723" s="10" t="s">
        <v>55</v>
      </c>
      <c r="J2723" s="10" t="str">
        <f>""</f>
        <v/>
      </c>
      <c r="K2723" s="10" t="str">
        <f>"PFES1162632265_0001"</f>
        <v>PFES1162632265_0001</v>
      </c>
      <c r="L2723" s="10">
        <v>1</v>
      </c>
      <c r="M2723" s="10">
        <v>3</v>
      </c>
    </row>
    <row r="2724" spans="1:13">
      <c r="A2724" s="8">
        <v>43279</v>
      </c>
      <c r="B2724" s="9">
        <v>0.52847222222222223</v>
      </c>
      <c r="C2724" s="10" t="str">
        <f>"FES1162632118"</f>
        <v>FES1162632118</v>
      </c>
      <c r="D2724" s="10" t="s">
        <v>19</v>
      </c>
      <c r="E2724" s="10" t="s">
        <v>906</v>
      </c>
      <c r="F2724" s="10" t="str">
        <f>"2170638937 "</f>
        <v xml:space="preserve">2170638937 </v>
      </c>
      <c r="G2724" s="10" t="str">
        <f t="shared" si="72"/>
        <v>ON1</v>
      </c>
      <c r="H2724" s="10" t="s">
        <v>21</v>
      </c>
      <c r="I2724" s="10" t="s">
        <v>104</v>
      </c>
      <c r="J2724" s="10" t="str">
        <f>""</f>
        <v/>
      </c>
      <c r="K2724" s="10" t="str">
        <f>"PFES1162632118_0001"</f>
        <v>PFES1162632118_0001</v>
      </c>
      <c r="L2724" s="10">
        <v>1</v>
      </c>
      <c r="M2724" s="10">
        <v>1</v>
      </c>
    </row>
    <row r="2725" spans="1:13">
      <c r="A2725" s="8">
        <v>43279</v>
      </c>
      <c r="B2725" s="9">
        <v>0.52777777777777779</v>
      </c>
      <c r="C2725" s="10" t="str">
        <f>"FES1162632129"</f>
        <v>FES1162632129</v>
      </c>
      <c r="D2725" s="10" t="s">
        <v>19</v>
      </c>
      <c r="E2725" s="10" t="s">
        <v>234</v>
      </c>
      <c r="F2725" s="10" t="str">
        <f>"2170638953 "</f>
        <v xml:space="preserve">2170638953 </v>
      </c>
      <c r="G2725" s="10" t="str">
        <f t="shared" si="72"/>
        <v>ON1</v>
      </c>
      <c r="H2725" s="10" t="s">
        <v>21</v>
      </c>
      <c r="I2725" s="10" t="s">
        <v>200</v>
      </c>
      <c r="J2725" s="10" t="str">
        <f>""</f>
        <v/>
      </c>
      <c r="K2725" s="10" t="str">
        <f>"PFES1162632129_0001"</f>
        <v>PFES1162632129_0001</v>
      </c>
      <c r="L2725" s="10">
        <v>1</v>
      </c>
      <c r="M2725" s="10">
        <v>1</v>
      </c>
    </row>
    <row r="2726" spans="1:13">
      <c r="A2726" s="8">
        <v>43279</v>
      </c>
      <c r="B2726" s="9">
        <v>0.52777777777777779</v>
      </c>
      <c r="C2726" s="10" t="str">
        <f>"FES1162632127"</f>
        <v>FES1162632127</v>
      </c>
      <c r="D2726" s="10" t="s">
        <v>19</v>
      </c>
      <c r="E2726" s="10" t="s">
        <v>312</v>
      </c>
      <c r="F2726" s="10" t="str">
        <f>"2170638951 "</f>
        <v xml:space="preserve">2170638951 </v>
      </c>
      <c r="G2726" s="10" t="str">
        <f t="shared" si="72"/>
        <v>ON1</v>
      </c>
      <c r="H2726" s="10" t="s">
        <v>21</v>
      </c>
      <c r="I2726" s="10" t="s">
        <v>313</v>
      </c>
      <c r="J2726" s="10" t="str">
        <f>""</f>
        <v/>
      </c>
      <c r="K2726" s="10" t="str">
        <f>"PFES1162632127_0001"</f>
        <v>PFES1162632127_0001</v>
      </c>
      <c r="L2726" s="10">
        <v>1</v>
      </c>
      <c r="M2726" s="10">
        <v>1</v>
      </c>
    </row>
    <row r="2727" spans="1:13">
      <c r="A2727" s="8">
        <v>43279</v>
      </c>
      <c r="B2727" s="9">
        <v>0.52708333333333335</v>
      </c>
      <c r="C2727" s="10" t="str">
        <f>"FES1162632210"</f>
        <v>FES1162632210</v>
      </c>
      <c r="D2727" s="10" t="s">
        <v>19</v>
      </c>
      <c r="E2727" s="10" t="s">
        <v>625</v>
      </c>
      <c r="F2727" s="10" t="str">
        <f>"2170637954 "</f>
        <v xml:space="preserve">2170637954 </v>
      </c>
      <c r="G2727" s="10" t="str">
        <f t="shared" si="72"/>
        <v>ON1</v>
      </c>
      <c r="H2727" s="10" t="s">
        <v>21</v>
      </c>
      <c r="I2727" s="10" t="s">
        <v>36</v>
      </c>
      <c r="J2727" s="10" t="str">
        <f>""</f>
        <v/>
      </c>
      <c r="K2727" s="10" t="str">
        <f>"PFES1162632210_0001"</f>
        <v>PFES1162632210_0001</v>
      </c>
      <c r="L2727" s="10">
        <v>1</v>
      </c>
      <c r="M2727" s="10">
        <v>1</v>
      </c>
    </row>
    <row r="2728" spans="1:13">
      <c r="A2728" s="8">
        <v>43279</v>
      </c>
      <c r="B2728" s="9">
        <v>0.52708333333333335</v>
      </c>
      <c r="C2728" s="10" t="str">
        <f>"FES1162632150"</f>
        <v>FES1162632150</v>
      </c>
      <c r="D2728" s="10" t="s">
        <v>19</v>
      </c>
      <c r="E2728" s="10" t="s">
        <v>291</v>
      </c>
      <c r="F2728" s="10" t="str">
        <f>"2170638973 "</f>
        <v xml:space="preserve">2170638973 </v>
      </c>
      <c r="G2728" s="10" t="str">
        <f t="shared" si="72"/>
        <v>ON1</v>
      </c>
      <c r="H2728" s="10" t="s">
        <v>21</v>
      </c>
      <c r="I2728" s="10" t="s">
        <v>292</v>
      </c>
      <c r="J2728" s="10" t="str">
        <f>""</f>
        <v/>
      </c>
      <c r="K2728" s="10" t="str">
        <f>"PFES1162632150_0001"</f>
        <v>PFES1162632150_0001</v>
      </c>
      <c r="L2728" s="10">
        <v>1</v>
      </c>
      <c r="M2728" s="10">
        <v>1</v>
      </c>
    </row>
    <row r="2729" spans="1:13">
      <c r="A2729" s="8">
        <v>43279</v>
      </c>
      <c r="B2729" s="9">
        <v>0.52708333333333335</v>
      </c>
      <c r="C2729" s="10" t="str">
        <f>"FES1162632121"</f>
        <v>FES1162632121</v>
      </c>
      <c r="D2729" s="10" t="s">
        <v>19</v>
      </c>
      <c r="E2729" s="10" t="s">
        <v>239</v>
      </c>
      <c r="F2729" s="10" t="str">
        <f>"2170638942 "</f>
        <v xml:space="preserve">2170638942 </v>
      </c>
      <c r="G2729" s="10" t="str">
        <f t="shared" si="72"/>
        <v>ON1</v>
      </c>
      <c r="H2729" s="10" t="s">
        <v>21</v>
      </c>
      <c r="I2729" s="10" t="s">
        <v>240</v>
      </c>
      <c r="J2729" s="10" t="str">
        <f>""</f>
        <v/>
      </c>
      <c r="K2729" s="10" t="str">
        <f>"PFES1162632121_0001"</f>
        <v>PFES1162632121_0001</v>
      </c>
      <c r="L2729" s="10">
        <v>1</v>
      </c>
      <c r="M2729" s="10">
        <v>1</v>
      </c>
    </row>
    <row r="2730" spans="1:13">
      <c r="A2730" s="8">
        <v>43279</v>
      </c>
      <c r="B2730" s="9">
        <v>0.52638888888888891</v>
      </c>
      <c r="C2730" s="10" t="str">
        <f>"FES1162632281"</f>
        <v>FES1162632281</v>
      </c>
      <c r="D2730" s="10" t="s">
        <v>19</v>
      </c>
      <c r="E2730" s="10" t="s">
        <v>757</v>
      </c>
      <c r="F2730" s="10" t="str">
        <f>"2170637404 "</f>
        <v xml:space="preserve">2170637404 </v>
      </c>
      <c r="G2730" s="10" t="str">
        <f t="shared" si="72"/>
        <v>ON1</v>
      </c>
      <c r="H2730" s="10" t="s">
        <v>21</v>
      </c>
      <c r="I2730" s="10" t="s">
        <v>569</v>
      </c>
      <c r="J2730" s="10" t="str">
        <f>""</f>
        <v/>
      </c>
      <c r="K2730" s="10" t="str">
        <f>"PFES1162632281_0001"</f>
        <v>PFES1162632281_0001</v>
      </c>
      <c r="L2730" s="10">
        <v>1</v>
      </c>
      <c r="M2730" s="10">
        <v>1</v>
      </c>
    </row>
    <row r="2731" spans="1:13">
      <c r="A2731" s="8">
        <v>43279</v>
      </c>
      <c r="B2731" s="9">
        <v>0.52638888888888891</v>
      </c>
      <c r="C2731" s="10" t="str">
        <f>"FES1162632212"</f>
        <v>FES1162632212</v>
      </c>
      <c r="D2731" s="10" t="s">
        <v>19</v>
      </c>
      <c r="E2731" s="10" t="s">
        <v>291</v>
      </c>
      <c r="F2731" s="10" t="str">
        <f>"2170638980 "</f>
        <v xml:space="preserve">2170638980 </v>
      </c>
      <c r="G2731" s="10" t="str">
        <f t="shared" si="72"/>
        <v>ON1</v>
      </c>
      <c r="H2731" s="10" t="s">
        <v>21</v>
      </c>
      <c r="I2731" s="10" t="s">
        <v>292</v>
      </c>
      <c r="J2731" s="10" t="str">
        <f>""</f>
        <v/>
      </c>
      <c r="K2731" s="10" t="str">
        <f>"PFES1162632212_0001"</f>
        <v>PFES1162632212_0001</v>
      </c>
      <c r="L2731" s="10">
        <v>1</v>
      </c>
      <c r="M2731" s="10">
        <v>1</v>
      </c>
    </row>
    <row r="2732" spans="1:13">
      <c r="A2732" s="8">
        <v>43279</v>
      </c>
      <c r="B2732" s="9">
        <v>0.52638888888888891</v>
      </c>
      <c r="C2732" s="10" t="str">
        <f>"FES1162632211"</f>
        <v>FES1162632211</v>
      </c>
      <c r="D2732" s="10" t="s">
        <v>19</v>
      </c>
      <c r="E2732" s="10" t="s">
        <v>291</v>
      </c>
      <c r="F2732" s="10" t="str">
        <f>"2170638978 "</f>
        <v xml:space="preserve">2170638978 </v>
      </c>
      <c r="G2732" s="10" t="str">
        <f t="shared" si="72"/>
        <v>ON1</v>
      </c>
      <c r="H2732" s="10" t="s">
        <v>21</v>
      </c>
      <c r="I2732" s="10" t="s">
        <v>292</v>
      </c>
      <c r="J2732" s="10" t="str">
        <f>""</f>
        <v/>
      </c>
      <c r="K2732" s="10" t="str">
        <f>"PFES1162632211_0001"</f>
        <v>PFES1162632211_0001</v>
      </c>
      <c r="L2732" s="10">
        <v>1</v>
      </c>
      <c r="M2732" s="10">
        <v>1</v>
      </c>
    </row>
    <row r="2733" spans="1:13">
      <c r="A2733" s="8">
        <v>43279</v>
      </c>
      <c r="B2733" s="9">
        <v>0.52569444444444446</v>
      </c>
      <c r="C2733" s="10" t="str">
        <f>"FES1162632124"</f>
        <v>FES1162632124</v>
      </c>
      <c r="D2733" s="10" t="s">
        <v>19</v>
      </c>
      <c r="E2733" s="10" t="s">
        <v>327</v>
      </c>
      <c r="F2733" s="10" t="str">
        <f>"2170638947 "</f>
        <v xml:space="preserve">2170638947 </v>
      </c>
      <c r="G2733" s="10" t="str">
        <f t="shared" si="72"/>
        <v>ON1</v>
      </c>
      <c r="H2733" s="10" t="s">
        <v>21</v>
      </c>
      <c r="I2733" s="10" t="s">
        <v>69</v>
      </c>
      <c r="J2733" s="10" t="str">
        <f>""</f>
        <v/>
      </c>
      <c r="K2733" s="10" t="str">
        <f>"PFES1162632124_0001"</f>
        <v>PFES1162632124_0001</v>
      </c>
      <c r="L2733" s="10">
        <v>1</v>
      </c>
      <c r="M2733" s="10">
        <v>1</v>
      </c>
    </row>
    <row r="2734" spans="1:13">
      <c r="A2734" s="8">
        <v>43279</v>
      </c>
      <c r="B2734" s="9">
        <v>0.52569444444444446</v>
      </c>
      <c r="C2734" s="10" t="str">
        <f>"FES1162632239"</f>
        <v>FES1162632239</v>
      </c>
      <c r="D2734" s="10" t="s">
        <v>19</v>
      </c>
      <c r="E2734" s="10" t="s">
        <v>67</v>
      </c>
      <c r="F2734" s="10" t="str">
        <f>"2170636890 "</f>
        <v xml:space="preserve">2170636890 </v>
      </c>
      <c r="G2734" s="10" t="str">
        <f t="shared" si="72"/>
        <v>ON1</v>
      </c>
      <c r="H2734" s="10" t="s">
        <v>21</v>
      </c>
      <c r="I2734" s="10" t="s">
        <v>238</v>
      </c>
      <c r="J2734" s="10" t="str">
        <f>""</f>
        <v/>
      </c>
      <c r="K2734" s="10" t="str">
        <f>"PFES1162632239_0001"</f>
        <v>PFES1162632239_0001</v>
      </c>
      <c r="L2734" s="10">
        <v>1</v>
      </c>
      <c r="M2734" s="10">
        <v>1</v>
      </c>
    </row>
    <row r="2735" spans="1:13">
      <c r="A2735" s="8">
        <v>43279</v>
      </c>
      <c r="B2735" s="9">
        <v>0.52569444444444446</v>
      </c>
      <c r="C2735" s="10" t="str">
        <f>"FES1162632101"</f>
        <v>FES1162632101</v>
      </c>
      <c r="D2735" s="10" t="s">
        <v>19</v>
      </c>
      <c r="E2735" s="10" t="s">
        <v>62</v>
      </c>
      <c r="F2735" s="10" t="str">
        <f>"2170637200 "</f>
        <v xml:space="preserve">2170637200 </v>
      </c>
      <c r="G2735" s="10" t="str">
        <f t="shared" si="72"/>
        <v>ON1</v>
      </c>
      <c r="H2735" s="10" t="s">
        <v>21</v>
      </c>
      <c r="I2735" s="10" t="s">
        <v>63</v>
      </c>
      <c r="J2735" s="10" t="str">
        <f>""</f>
        <v/>
      </c>
      <c r="K2735" s="10" t="str">
        <f>"PFES1162632101_0001"</f>
        <v>PFES1162632101_0001</v>
      </c>
      <c r="L2735" s="10">
        <v>1</v>
      </c>
      <c r="M2735" s="10">
        <v>2</v>
      </c>
    </row>
    <row r="2736" spans="1:13">
      <c r="A2736" s="8">
        <v>43279</v>
      </c>
      <c r="B2736" s="9">
        <v>0.52500000000000002</v>
      </c>
      <c r="C2736" s="10" t="str">
        <f>"FES1162632183"</f>
        <v>FES1162632183</v>
      </c>
      <c r="D2736" s="10" t="s">
        <v>19</v>
      </c>
      <c r="E2736" s="10" t="s">
        <v>540</v>
      </c>
      <c r="F2736" s="10" t="str">
        <f>"2170636836 "</f>
        <v xml:space="preserve">2170636836 </v>
      </c>
      <c r="G2736" s="10" t="str">
        <f t="shared" si="72"/>
        <v>ON1</v>
      </c>
      <c r="H2736" s="10" t="s">
        <v>21</v>
      </c>
      <c r="I2736" s="10" t="s">
        <v>55</v>
      </c>
      <c r="J2736" s="10" t="str">
        <f>""</f>
        <v/>
      </c>
      <c r="K2736" s="10" t="str">
        <f>"PFES1162632183_0001"</f>
        <v>PFES1162632183_0001</v>
      </c>
      <c r="L2736" s="10">
        <v>1</v>
      </c>
      <c r="M2736" s="10">
        <v>1</v>
      </c>
    </row>
    <row r="2737" spans="1:13">
      <c r="A2737" s="8">
        <v>43279</v>
      </c>
      <c r="B2737" s="9">
        <v>0.52500000000000002</v>
      </c>
      <c r="C2737" s="10" t="str">
        <f>"FES1162632315"</f>
        <v>FES1162632315</v>
      </c>
      <c r="D2737" s="10" t="s">
        <v>19</v>
      </c>
      <c r="E2737" s="10" t="s">
        <v>757</v>
      </c>
      <c r="F2737" s="10" t="str">
        <f>"2170639061 "</f>
        <v xml:space="preserve">2170639061 </v>
      </c>
      <c r="G2737" s="10" t="str">
        <f t="shared" si="72"/>
        <v>ON1</v>
      </c>
      <c r="H2737" s="10" t="s">
        <v>21</v>
      </c>
      <c r="I2737" s="10" t="s">
        <v>569</v>
      </c>
      <c r="J2737" s="10" t="str">
        <f>""</f>
        <v/>
      </c>
      <c r="K2737" s="10" t="str">
        <f>"PFES1162632315_0001"</f>
        <v>PFES1162632315_0001</v>
      </c>
      <c r="L2737" s="10">
        <v>1</v>
      </c>
      <c r="M2737" s="10">
        <v>1</v>
      </c>
    </row>
    <row r="2738" spans="1:13">
      <c r="A2738" s="8">
        <v>43279</v>
      </c>
      <c r="B2738" s="9">
        <v>0.52500000000000002</v>
      </c>
      <c r="C2738" s="10" t="str">
        <f>"FES1162632199"</f>
        <v>FES1162632199</v>
      </c>
      <c r="D2738" s="10" t="s">
        <v>19</v>
      </c>
      <c r="E2738" s="10" t="s">
        <v>732</v>
      </c>
      <c r="F2738" s="10" t="str">
        <f>"2170637093 "</f>
        <v xml:space="preserve">2170637093 </v>
      </c>
      <c r="G2738" s="10" t="str">
        <f t="shared" si="72"/>
        <v>ON1</v>
      </c>
      <c r="H2738" s="10" t="s">
        <v>21</v>
      </c>
      <c r="I2738" s="10" t="s">
        <v>55</v>
      </c>
      <c r="J2738" s="10" t="str">
        <f>""</f>
        <v/>
      </c>
      <c r="K2738" s="10" t="str">
        <f>"PFES1162632199_0001"</f>
        <v>PFES1162632199_0001</v>
      </c>
      <c r="L2738" s="10">
        <v>1</v>
      </c>
      <c r="M2738" s="10">
        <v>1</v>
      </c>
    </row>
    <row r="2739" spans="1:13">
      <c r="A2739" s="8">
        <v>43279</v>
      </c>
      <c r="B2739" s="9">
        <v>0.52430555555555558</v>
      </c>
      <c r="C2739" s="10" t="str">
        <f>"FES1162632216"</f>
        <v>FES1162632216</v>
      </c>
      <c r="D2739" s="10" t="s">
        <v>19</v>
      </c>
      <c r="E2739" s="10" t="s">
        <v>152</v>
      </c>
      <c r="F2739" s="10" t="str">
        <f>"2170638985 "</f>
        <v xml:space="preserve">2170638985 </v>
      </c>
      <c r="G2739" s="10" t="str">
        <f t="shared" si="72"/>
        <v>ON1</v>
      </c>
      <c r="H2739" s="10" t="s">
        <v>21</v>
      </c>
      <c r="I2739" s="10" t="s">
        <v>106</v>
      </c>
      <c r="J2739" s="10" t="str">
        <f>""</f>
        <v/>
      </c>
      <c r="K2739" s="10" t="str">
        <f>"PFES1162632216_0001"</f>
        <v>PFES1162632216_0001</v>
      </c>
      <c r="L2739" s="10">
        <v>1</v>
      </c>
      <c r="M2739" s="10">
        <v>3</v>
      </c>
    </row>
    <row r="2740" spans="1:13">
      <c r="A2740" s="8">
        <v>43279</v>
      </c>
      <c r="B2740" s="9">
        <v>0.52430555555555558</v>
      </c>
      <c r="C2740" s="10" t="str">
        <f>"FES1162632285"</f>
        <v>FES1162632285</v>
      </c>
      <c r="D2740" s="10" t="s">
        <v>19</v>
      </c>
      <c r="E2740" s="10" t="s">
        <v>191</v>
      </c>
      <c r="F2740" s="10" t="str">
        <f>"2170638495 "</f>
        <v xml:space="preserve">2170638495 </v>
      </c>
      <c r="G2740" s="10" t="str">
        <f t="shared" si="72"/>
        <v>ON1</v>
      </c>
      <c r="H2740" s="10" t="s">
        <v>21</v>
      </c>
      <c r="I2740" s="10" t="s">
        <v>192</v>
      </c>
      <c r="J2740" s="10" t="str">
        <f>""</f>
        <v/>
      </c>
      <c r="K2740" s="10" t="str">
        <f>"PFES1162632285_0001"</f>
        <v>PFES1162632285_0001</v>
      </c>
      <c r="L2740" s="10">
        <v>1</v>
      </c>
      <c r="M2740" s="10">
        <v>1</v>
      </c>
    </row>
    <row r="2741" spans="1:13">
      <c r="A2741" s="8">
        <v>43279</v>
      </c>
      <c r="B2741" s="9">
        <v>0.52430555555555558</v>
      </c>
      <c r="C2741" s="10" t="str">
        <f>"FES1162632203"</f>
        <v>FES1162632203</v>
      </c>
      <c r="D2741" s="10" t="s">
        <v>19</v>
      </c>
      <c r="E2741" s="10" t="s">
        <v>684</v>
      </c>
      <c r="F2741" s="10" t="str">
        <f>"21706377229 "</f>
        <v xml:space="preserve">21706377229 </v>
      </c>
      <c r="G2741" s="10" t="str">
        <f t="shared" si="72"/>
        <v>ON1</v>
      </c>
      <c r="H2741" s="10" t="s">
        <v>21</v>
      </c>
      <c r="I2741" s="10" t="s">
        <v>382</v>
      </c>
      <c r="J2741" s="10" t="str">
        <f>""</f>
        <v/>
      </c>
      <c r="K2741" s="10" t="str">
        <f>"PFES1162632203_0001"</f>
        <v>PFES1162632203_0001</v>
      </c>
      <c r="L2741" s="10">
        <v>1</v>
      </c>
      <c r="M2741" s="10">
        <v>1</v>
      </c>
    </row>
    <row r="2742" spans="1:13">
      <c r="A2742" s="8">
        <v>43279</v>
      </c>
      <c r="B2742" s="9">
        <v>0.52361111111111114</v>
      </c>
      <c r="C2742" s="10" t="str">
        <f>"FES1162632126"</f>
        <v>FES1162632126</v>
      </c>
      <c r="D2742" s="10" t="s">
        <v>19</v>
      </c>
      <c r="E2742" s="10" t="s">
        <v>525</v>
      </c>
      <c r="F2742" s="10" t="str">
        <f>"2170630950 "</f>
        <v xml:space="preserve">2170630950 </v>
      </c>
      <c r="G2742" s="10" t="str">
        <f t="shared" si="72"/>
        <v>ON1</v>
      </c>
      <c r="H2742" s="10" t="s">
        <v>21</v>
      </c>
      <c r="I2742" s="10" t="s">
        <v>237</v>
      </c>
      <c r="J2742" s="10" t="str">
        <f>""</f>
        <v/>
      </c>
      <c r="K2742" s="10" t="str">
        <f>"PFES1162632126_0001"</f>
        <v>PFES1162632126_0001</v>
      </c>
      <c r="L2742" s="10">
        <v>1</v>
      </c>
      <c r="M2742" s="10">
        <v>1</v>
      </c>
    </row>
    <row r="2743" spans="1:13">
      <c r="A2743" s="8">
        <v>43279</v>
      </c>
      <c r="B2743" s="9">
        <v>0.52361111111111114</v>
      </c>
      <c r="C2743" s="10" t="str">
        <f>"FES1162632147"</f>
        <v>FES1162632147</v>
      </c>
      <c r="D2743" s="10" t="s">
        <v>19</v>
      </c>
      <c r="E2743" s="10" t="s">
        <v>242</v>
      </c>
      <c r="F2743" s="10" t="str">
        <f>"2170638971 "</f>
        <v xml:space="preserve">2170638971 </v>
      </c>
      <c r="G2743" s="10" t="str">
        <f t="shared" si="72"/>
        <v>ON1</v>
      </c>
      <c r="H2743" s="10" t="s">
        <v>21</v>
      </c>
      <c r="I2743" s="10" t="s">
        <v>55</v>
      </c>
      <c r="J2743" s="10" t="str">
        <f>""</f>
        <v/>
      </c>
      <c r="K2743" s="10" t="str">
        <f>"PFES1162632147_0001"</f>
        <v>PFES1162632147_0001</v>
      </c>
      <c r="L2743" s="10">
        <v>1</v>
      </c>
      <c r="M2743" s="10">
        <v>3</v>
      </c>
    </row>
    <row r="2744" spans="1:13">
      <c r="A2744" s="8">
        <v>43279</v>
      </c>
      <c r="B2744" s="9">
        <v>0.5229166666666667</v>
      </c>
      <c r="C2744" s="10" t="str">
        <f>"FES1162632100"</f>
        <v>FES1162632100</v>
      </c>
      <c r="D2744" s="10" t="s">
        <v>19</v>
      </c>
      <c r="E2744" s="10" t="s">
        <v>191</v>
      </c>
      <c r="F2744" s="10" t="str">
        <f>"2170636728 "</f>
        <v xml:space="preserve">2170636728 </v>
      </c>
      <c r="G2744" s="10" t="str">
        <f t="shared" si="72"/>
        <v>ON1</v>
      </c>
      <c r="H2744" s="10" t="s">
        <v>21</v>
      </c>
      <c r="I2744" s="10" t="s">
        <v>192</v>
      </c>
      <c r="J2744" s="10" t="str">
        <f>""</f>
        <v/>
      </c>
      <c r="K2744" s="10" t="str">
        <f>"PFES1162632100_0001"</f>
        <v>PFES1162632100_0001</v>
      </c>
      <c r="L2744" s="10">
        <v>1</v>
      </c>
      <c r="M2744" s="10">
        <v>1</v>
      </c>
    </row>
    <row r="2745" spans="1:13">
      <c r="A2745" s="8">
        <v>43279</v>
      </c>
      <c r="B2745" s="9">
        <v>0.5229166666666667</v>
      </c>
      <c r="C2745" s="10" t="str">
        <f>"FES1162632237"</f>
        <v>FES1162632237</v>
      </c>
      <c r="D2745" s="10" t="s">
        <v>19</v>
      </c>
      <c r="E2745" s="10" t="s">
        <v>64</v>
      </c>
      <c r="F2745" s="10" t="str">
        <f>"2170636786 "</f>
        <v xml:space="preserve">2170636786 </v>
      </c>
      <c r="G2745" s="10" t="str">
        <f t="shared" si="72"/>
        <v>ON1</v>
      </c>
      <c r="H2745" s="10" t="s">
        <v>21</v>
      </c>
      <c r="I2745" s="10" t="s">
        <v>40</v>
      </c>
      <c r="J2745" s="10" t="str">
        <f>""</f>
        <v/>
      </c>
      <c r="K2745" s="10" t="str">
        <f>"PFES1162632237_0001"</f>
        <v>PFES1162632237_0001</v>
      </c>
      <c r="L2745" s="10">
        <v>1</v>
      </c>
      <c r="M2745" s="10">
        <v>1</v>
      </c>
    </row>
    <row r="2746" spans="1:13">
      <c r="A2746" s="8">
        <v>43279</v>
      </c>
      <c r="B2746" s="9">
        <v>0.52222222222222225</v>
      </c>
      <c r="C2746" s="10" t="str">
        <f>"FES1162632178"</f>
        <v>FES1162632178</v>
      </c>
      <c r="D2746" s="10" t="s">
        <v>19</v>
      </c>
      <c r="E2746" s="10" t="s">
        <v>1061</v>
      </c>
      <c r="F2746" s="10" t="str">
        <f>"2170636740 "</f>
        <v xml:space="preserve">2170636740 </v>
      </c>
      <c r="G2746" s="10" t="str">
        <f t="shared" si="72"/>
        <v>ON1</v>
      </c>
      <c r="H2746" s="10" t="s">
        <v>21</v>
      </c>
      <c r="I2746" s="10" t="s">
        <v>104</v>
      </c>
      <c r="J2746" s="10" t="str">
        <f>""</f>
        <v/>
      </c>
      <c r="K2746" s="10" t="str">
        <f>"PFES1162632178_0001"</f>
        <v>PFES1162632178_0001</v>
      </c>
      <c r="L2746" s="10">
        <v>1</v>
      </c>
      <c r="M2746" s="10">
        <v>2</v>
      </c>
    </row>
    <row r="2747" spans="1:13">
      <c r="A2747" s="8">
        <v>43279</v>
      </c>
      <c r="B2747" s="9">
        <v>0.52013888888888882</v>
      </c>
      <c r="C2747" s="10" t="str">
        <f>"FES1162632141"</f>
        <v>FES1162632141</v>
      </c>
      <c r="D2747" s="10" t="s">
        <v>19</v>
      </c>
      <c r="E2747" s="10" t="s">
        <v>29</v>
      </c>
      <c r="F2747" s="10" t="str">
        <f>"2170637624 "</f>
        <v xml:space="preserve">2170637624 </v>
      </c>
      <c r="G2747" s="10" t="str">
        <f t="shared" si="72"/>
        <v>ON1</v>
      </c>
      <c r="H2747" s="10" t="s">
        <v>21</v>
      </c>
      <c r="I2747" s="10" t="s">
        <v>30</v>
      </c>
      <c r="J2747" s="10" t="str">
        <f>""</f>
        <v/>
      </c>
      <c r="K2747" s="10" t="str">
        <f>"PFES1162632141_0001"</f>
        <v>PFES1162632141_0001</v>
      </c>
      <c r="L2747" s="10">
        <v>1</v>
      </c>
      <c r="M2747" s="10">
        <v>1</v>
      </c>
    </row>
    <row r="2748" spans="1:13">
      <c r="A2748" s="8">
        <v>43279</v>
      </c>
      <c r="B2748" s="9">
        <v>0.52013888888888882</v>
      </c>
      <c r="C2748" s="10" t="str">
        <f>"FES1162632169"</f>
        <v>FES1162632169</v>
      </c>
      <c r="D2748" s="10" t="s">
        <v>19</v>
      </c>
      <c r="E2748" s="10" t="s">
        <v>227</v>
      </c>
      <c r="F2748" s="10" t="str">
        <f>"2170636651 "</f>
        <v xml:space="preserve">2170636651 </v>
      </c>
      <c r="G2748" s="10" t="str">
        <f t="shared" si="72"/>
        <v>ON1</v>
      </c>
      <c r="H2748" s="10" t="s">
        <v>21</v>
      </c>
      <c r="I2748" s="10" t="s">
        <v>228</v>
      </c>
      <c r="J2748" s="10" t="str">
        <f>""</f>
        <v/>
      </c>
      <c r="K2748" s="10" t="str">
        <f>"PFES1162632169_0001"</f>
        <v>PFES1162632169_0001</v>
      </c>
      <c r="L2748" s="10">
        <v>1</v>
      </c>
      <c r="M2748" s="10">
        <v>1</v>
      </c>
    </row>
    <row r="2749" spans="1:13">
      <c r="A2749" s="8">
        <v>43279</v>
      </c>
      <c r="B2749" s="9">
        <v>0.51944444444444449</v>
      </c>
      <c r="C2749" s="10" t="str">
        <f>"FES1162632143"</f>
        <v>FES1162632143</v>
      </c>
      <c r="D2749" s="10" t="s">
        <v>19</v>
      </c>
      <c r="E2749" s="10" t="s">
        <v>123</v>
      </c>
      <c r="F2749" s="10" t="str">
        <f>"2170638967 "</f>
        <v xml:space="preserve">2170638967 </v>
      </c>
      <c r="G2749" s="10" t="str">
        <f t="shared" si="72"/>
        <v>ON1</v>
      </c>
      <c r="H2749" s="10" t="s">
        <v>21</v>
      </c>
      <c r="I2749" s="10" t="s">
        <v>51</v>
      </c>
      <c r="J2749" s="10" t="str">
        <f>""</f>
        <v/>
      </c>
      <c r="K2749" s="10" t="str">
        <f>"PFES1162632143_0001"</f>
        <v>PFES1162632143_0001</v>
      </c>
      <c r="L2749" s="10">
        <v>1</v>
      </c>
      <c r="M2749" s="10">
        <v>1</v>
      </c>
    </row>
    <row r="2750" spans="1:13">
      <c r="A2750" s="8">
        <v>43279</v>
      </c>
      <c r="B2750" s="9">
        <v>0.51944444444444449</v>
      </c>
      <c r="C2750" s="10" t="str">
        <f>"FES1162632298"</f>
        <v>FES1162632298</v>
      </c>
      <c r="D2750" s="10" t="s">
        <v>19</v>
      </c>
      <c r="E2750" s="10" t="s">
        <v>1062</v>
      </c>
      <c r="F2750" s="10" t="str">
        <f>"2170639034 "</f>
        <v xml:space="preserve">2170639034 </v>
      </c>
      <c r="G2750" s="10" t="str">
        <f t="shared" si="72"/>
        <v>ON1</v>
      </c>
      <c r="H2750" s="10" t="s">
        <v>21</v>
      </c>
      <c r="I2750" s="10" t="s">
        <v>30</v>
      </c>
      <c r="J2750" s="10" t="str">
        <f>""</f>
        <v/>
      </c>
      <c r="K2750" s="10" t="str">
        <f>"PFES1162632298_0001"</f>
        <v>PFES1162632298_0001</v>
      </c>
      <c r="L2750" s="10">
        <v>1</v>
      </c>
      <c r="M2750" s="10">
        <v>1</v>
      </c>
    </row>
    <row r="2751" spans="1:13">
      <c r="A2751" s="8">
        <v>43279</v>
      </c>
      <c r="B2751" s="9">
        <v>0.51944444444444449</v>
      </c>
      <c r="C2751" s="10" t="str">
        <f>"FES1162632153"</f>
        <v>FES1162632153</v>
      </c>
      <c r="D2751" s="10" t="s">
        <v>19</v>
      </c>
      <c r="E2751" s="10" t="s">
        <v>1063</v>
      </c>
      <c r="F2751" s="10" t="str">
        <f>"2170638979 "</f>
        <v xml:space="preserve">2170638979 </v>
      </c>
      <c r="G2751" s="10" t="str">
        <f t="shared" si="72"/>
        <v>ON1</v>
      </c>
      <c r="H2751" s="10" t="s">
        <v>21</v>
      </c>
      <c r="I2751" s="10" t="s">
        <v>485</v>
      </c>
      <c r="J2751" s="10" t="str">
        <f>""</f>
        <v/>
      </c>
      <c r="K2751" s="10" t="str">
        <f>"PFES1162632153_0001"</f>
        <v>PFES1162632153_0001</v>
      </c>
      <c r="L2751" s="10">
        <v>1</v>
      </c>
      <c r="M2751" s="10">
        <v>1</v>
      </c>
    </row>
    <row r="2752" spans="1:13">
      <c r="A2752" s="8">
        <v>43279</v>
      </c>
      <c r="B2752" s="9">
        <v>0.51874999999999993</v>
      </c>
      <c r="C2752" s="10" t="str">
        <f>"FES1162632180"</f>
        <v>FES1162632180</v>
      </c>
      <c r="D2752" s="10" t="s">
        <v>19</v>
      </c>
      <c r="E2752" s="10" t="s">
        <v>64</v>
      </c>
      <c r="F2752" s="10" t="str">
        <f>"2170636786 "</f>
        <v xml:space="preserve">2170636786 </v>
      </c>
      <c r="G2752" s="10" t="str">
        <f t="shared" si="72"/>
        <v>ON1</v>
      </c>
      <c r="H2752" s="10" t="s">
        <v>21</v>
      </c>
      <c r="I2752" s="10" t="s">
        <v>40</v>
      </c>
      <c r="J2752" s="10" t="str">
        <f>""</f>
        <v/>
      </c>
      <c r="K2752" s="10" t="str">
        <f>"PFES1162632180_0001"</f>
        <v>PFES1162632180_0001</v>
      </c>
      <c r="L2752" s="10">
        <v>1</v>
      </c>
      <c r="M2752" s="10">
        <v>1</v>
      </c>
    </row>
    <row r="2753" spans="1:13">
      <c r="A2753" s="8">
        <v>43279</v>
      </c>
      <c r="B2753" s="9">
        <v>0.5180555555555556</v>
      </c>
      <c r="C2753" s="10" t="str">
        <f>"FES1162632225"</f>
        <v>FES1162632225</v>
      </c>
      <c r="D2753" s="10" t="s">
        <v>19</v>
      </c>
      <c r="E2753" s="10" t="s">
        <v>185</v>
      </c>
      <c r="F2753" s="10" t="str">
        <f>"2170638992 "</f>
        <v xml:space="preserve">2170638992 </v>
      </c>
      <c r="G2753" s="10" t="str">
        <f t="shared" si="72"/>
        <v>ON1</v>
      </c>
      <c r="H2753" s="10" t="s">
        <v>21</v>
      </c>
      <c r="I2753" s="10" t="s">
        <v>186</v>
      </c>
      <c r="J2753" s="10" t="str">
        <f>""</f>
        <v/>
      </c>
      <c r="K2753" s="10" t="str">
        <f>"PFES1162632225_0001"</f>
        <v>PFES1162632225_0001</v>
      </c>
      <c r="L2753" s="10">
        <v>1</v>
      </c>
      <c r="M2753" s="10">
        <v>1</v>
      </c>
    </row>
    <row r="2754" spans="1:13">
      <c r="A2754" s="8">
        <v>43279</v>
      </c>
      <c r="B2754" s="9">
        <v>0.51736111111111105</v>
      </c>
      <c r="C2754" s="10" t="str">
        <f>"FES1162632123"</f>
        <v>FES1162632123</v>
      </c>
      <c r="D2754" s="10" t="s">
        <v>19</v>
      </c>
      <c r="E2754" s="10" t="s">
        <v>286</v>
      </c>
      <c r="F2754" s="10" t="str">
        <f>"2170638946 "</f>
        <v xml:space="preserve">2170638946 </v>
      </c>
      <c r="G2754" s="10" t="str">
        <f t="shared" si="72"/>
        <v>ON1</v>
      </c>
      <c r="H2754" s="10" t="s">
        <v>21</v>
      </c>
      <c r="I2754" s="10" t="s">
        <v>79</v>
      </c>
      <c r="J2754" s="10" t="str">
        <f>""</f>
        <v/>
      </c>
      <c r="K2754" s="10" t="str">
        <f>"PFES1162632123_0001"</f>
        <v>PFES1162632123_0001</v>
      </c>
      <c r="L2754" s="10">
        <v>1</v>
      </c>
      <c r="M2754" s="10">
        <v>1</v>
      </c>
    </row>
    <row r="2755" spans="1:13">
      <c r="A2755" s="8">
        <v>43279</v>
      </c>
      <c r="B2755" s="9">
        <v>0.51736111111111105</v>
      </c>
      <c r="C2755" s="10" t="str">
        <f>"FES1162632139"</f>
        <v>FES1162632139</v>
      </c>
      <c r="D2755" s="10" t="s">
        <v>19</v>
      </c>
      <c r="E2755" s="10" t="s">
        <v>339</v>
      </c>
      <c r="F2755" s="10" t="str">
        <f>"2170636688 "</f>
        <v xml:space="preserve">2170636688 </v>
      </c>
      <c r="G2755" s="10" t="str">
        <f t="shared" si="72"/>
        <v>ON1</v>
      </c>
      <c r="H2755" s="10" t="s">
        <v>21</v>
      </c>
      <c r="I2755" s="10" t="s">
        <v>230</v>
      </c>
      <c r="J2755" s="10" t="str">
        <f>""</f>
        <v/>
      </c>
      <c r="K2755" s="10" t="str">
        <f>"PFES1162632139_0001"</f>
        <v>PFES1162632139_0001</v>
      </c>
      <c r="L2755" s="10">
        <v>1</v>
      </c>
      <c r="M2755" s="10">
        <v>9</v>
      </c>
    </row>
    <row r="2756" spans="1:13">
      <c r="A2756" s="8">
        <v>43279</v>
      </c>
      <c r="B2756" s="9">
        <v>0.51736111111111105</v>
      </c>
      <c r="C2756" s="10" t="str">
        <f>"FES1162632130"</f>
        <v>FES1162632130</v>
      </c>
      <c r="D2756" s="10" t="s">
        <v>19</v>
      </c>
      <c r="E2756" s="10" t="s">
        <v>1064</v>
      </c>
      <c r="F2756" s="10" t="str">
        <f>"2170638955 "</f>
        <v xml:space="preserve">2170638955 </v>
      </c>
      <c r="G2756" s="10" t="str">
        <f t="shared" si="72"/>
        <v>ON1</v>
      </c>
      <c r="H2756" s="10" t="s">
        <v>21</v>
      </c>
      <c r="I2756" s="10" t="s">
        <v>375</v>
      </c>
      <c r="J2756" s="10" t="str">
        <f>""</f>
        <v/>
      </c>
      <c r="K2756" s="10" t="str">
        <f>"PFES1162632130_0001"</f>
        <v>PFES1162632130_0001</v>
      </c>
      <c r="L2756" s="10">
        <v>1</v>
      </c>
      <c r="M2756" s="10">
        <v>1</v>
      </c>
    </row>
    <row r="2757" spans="1:13">
      <c r="A2757" s="8">
        <v>43279</v>
      </c>
      <c r="B2757" s="9">
        <v>0.51666666666666672</v>
      </c>
      <c r="C2757" s="10" t="str">
        <f>"FES1162632173"</f>
        <v>FES1162632173</v>
      </c>
      <c r="D2757" s="10" t="s">
        <v>19</v>
      </c>
      <c r="E2757" s="10" t="s">
        <v>150</v>
      </c>
      <c r="F2757" s="10" t="str">
        <f>"2170636713 "</f>
        <v xml:space="preserve">2170636713 </v>
      </c>
      <c r="G2757" s="10" t="str">
        <f t="shared" si="72"/>
        <v>ON1</v>
      </c>
      <c r="H2757" s="10" t="s">
        <v>21</v>
      </c>
      <c r="I2757" s="10" t="s">
        <v>151</v>
      </c>
      <c r="J2757" s="10" t="str">
        <f>""</f>
        <v/>
      </c>
      <c r="K2757" s="10" t="str">
        <f>"PFES1162632173_0001"</f>
        <v>PFES1162632173_0001</v>
      </c>
      <c r="L2757" s="10">
        <v>1</v>
      </c>
      <c r="M2757" s="10">
        <v>1</v>
      </c>
    </row>
    <row r="2758" spans="1:13">
      <c r="A2758" s="8">
        <v>43279</v>
      </c>
      <c r="B2758" s="9">
        <v>0.51666666666666672</v>
      </c>
      <c r="C2758" s="10" t="str">
        <f>"FES1162632273"</f>
        <v>FES1162632273</v>
      </c>
      <c r="D2758" s="10" t="s">
        <v>19</v>
      </c>
      <c r="E2758" s="10" t="s">
        <v>105</v>
      </c>
      <c r="F2758" s="10" t="str">
        <f>"2170637272 "</f>
        <v xml:space="preserve">2170637272 </v>
      </c>
      <c r="G2758" s="10" t="str">
        <f t="shared" si="72"/>
        <v>ON1</v>
      </c>
      <c r="H2758" s="10" t="s">
        <v>21</v>
      </c>
      <c r="I2758" s="10" t="s">
        <v>106</v>
      </c>
      <c r="J2758" s="10" t="str">
        <f>""</f>
        <v/>
      </c>
      <c r="K2758" s="10" t="str">
        <f>"PFES1162632273_0001"</f>
        <v>PFES1162632273_0001</v>
      </c>
      <c r="L2758" s="10">
        <v>1</v>
      </c>
      <c r="M2758" s="10">
        <v>1</v>
      </c>
    </row>
    <row r="2759" spans="1:13">
      <c r="A2759" s="8">
        <v>43279</v>
      </c>
      <c r="B2759" s="9">
        <v>0.51666666666666672</v>
      </c>
      <c r="C2759" s="10" t="str">
        <f>"FES1162632105"</f>
        <v>FES1162632105</v>
      </c>
      <c r="D2759" s="10" t="s">
        <v>19</v>
      </c>
      <c r="E2759" s="10" t="s">
        <v>99</v>
      </c>
      <c r="F2759" s="10" t="str">
        <f>"2170637451 "</f>
        <v xml:space="preserve">2170637451 </v>
      </c>
      <c r="G2759" s="10" t="str">
        <f t="shared" si="72"/>
        <v>ON1</v>
      </c>
      <c r="H2759" s="10" t="s">
        <v>21</v>
      </c>
      <c r="I2759" s="10" t="s">
        <v>100</v>
      </c>
      <c r="J2759" s="10" t="str">
        <f>""</f>
        <v/>
      </c>
      <c r="K2759" s="10" t="str">
        <f>"PFES1162632105_0001"</f>
        <v>PFES1162632105_0001</v>
      </c>
      <c r="L2759" s="10">
        <v>1</v>
      </c>
      <c r="M2759" s="10">
        <v>1</v>
      </c>
    </row>
    <row r="2760" spans="1:13">
      <c r="A2760" s="8">
        <v>43279</v>
      </c>
      <c r="B2760" s="9">
        <v>0.51597222222222217</v>
      </c>
      <c r="C2760" s="10" t="str">
        <f>"FES1162632110"</f>
        <v>FES1162632110</v>
      </c>
      <c r="D2760" s="10" t="s">
        <v>19</v>
      </c>
      <c r="E2760" s="10" t="s">
        <v>379</v>
      </c>
      <c r="F2760" s="10" t="str">
        <f>"2170638074 "</f>
        <v xml:space="preserve">2170638074 </v>
      </c>
      <c r="G2760" s="10" t="str">
        <f t="shared" si="72"/>
        <v>ON1</v>
      </c>
      <c r="H2760" s="10" t="s">
        <v>21</v>
      </c>
      <c r="I2760" s="10" t="s">
        <v>589</v>
      </c>
      <c r="J2760" s="10" t="str">
        <f>""</f>
        <v/>
      </c>
      <c r="K2760" s="10" t="str">
        <f>"PFES1162632110_0001"</f>
        <v>PFES1162632110_0001</v>
      </c>
      <c r="L2760" s="10">
        <v>1</v>
      </c>
      <c r="M2760" s="10">
        <v>1</v>
      </c>
    </row>
    <row r="2761" spans="1:13">
      <c r="A2761" s="8">
        <v>43279</v>
      </c>
      <c r="B2761" s="9">
        <v>0.51597222222222217</v>
      </c>
      <c r="C2761" s="10" t="str">
        <f>"FES1162632107"</f>
        <v>FES1162632107</v>
      </c>
      <c r="D2761" s="10" t="s">
        <v>19</v>
      </c>
      <c r="E2761" s="10" t="s">
        <v>249</v>
      </c>
      <c r="F2761" s="10" t="str">
        <f>"2170637921 "</f>
        <v xml:space="preserve">2170637921 </v>
      </c>
      <c r="G2761" s="10" t="str">
        <f t="shared" si="72"/>
        <v>ON1</v>
      </c>
      <c r="H2761" s="10" t="s">
        <v>21</v>
      </c>
      <c r="I2761" s="10" t="s">
        <v>59</v>
      </c>
      <c r="J2761" s="10" t="str">
        <f>""</f>
        <v/>
      </c>
      <c r="K2761" s="10" t="str">
        <f>"PFES1162632107_0001"</f>
        <v>PFES1162632107_0001</v>
      </c>
      <c r="L2761" s="10">
        <v>1</v>
      </c>
      <c r="M2761" s="10">
        <v>1</v>
      </c>
    </row>
    <row r="2762" spans="1:13">
      <c r="A2762" s="8">
        <v>43279</v>
      </c>
      <c r="B2762" s="9">
        <v>0.51527777777777783</v>
      </c>
      <c r="C2762" s="10" t="str">
        <f>"FES1162632151"</f>
        <v>FES1162632151</v>
      </c>
      <c r="D2762" s="10" t="s">
        <v>19</v>
      </c>
      <c r="E2762" s="10" t="s">
        <v>291</v>
      </c>
      <c r="F2762" s="10" t="str">
        <f>"2170638976 "</f>
        <v xml:space="preserve">2170638976 </v>
      </c>
      <c r="G2762" s="10" t="str">
        <f t="shared" si="72"/>
        <v>ON1</v>
      </c>
      <c r="H2762" s="10" t="s">
        <v>21</v>
      </c>
      <c r="I2762" s="10" t="s">
        <v>292</v>
      </c>
      <c r="J2762" s="10" t="str">
        <f>""</f>
        <v/>
      </c>
      <c r="K2762" s="10" t="str">
        <f>"PFES1162632151_0001"</f>
        <v>PFES1162632151_0001</v>
      </c>
      <c r="L2762" s="10">
        <v>1</v>
      </c>
      <c r="M2762" s="10">
        <v>1</v>
      </c>
    </row>
    <row r="2763" spans="1:13">
      <c r="A2763" s="8">
        <v>43279</v>
      </c>
      <c r="B2763" s="9">
        <v>0.51527777777777783</v>
      </c>
      <c r="C2763" s="10" t="str">
        <f>"FES1162632240"</f>
        <v>FES1162632240</v>
      </c>
      <c r="D2763" s="10" t="s">
        <v>19</v>
      </c>
      <c r="E2763" s="10" t="s">
        <v>632</v>
      </c>
      <c r="F2763" s="10" t="str">
        <f>"2170636891 "</f>
        <v xml:space="preserve">2170636891 </v>
      </c>
      <c r="G2763" s="10" t="str">
        <f t="shared" si="72"/>
        <v>ON1</v>
      </c>
      <c r="H2763" s="10" t="s">
        <v>21</v>
      </c>
      <c r="I2763" s="10" t="s">
        <v>552</v>
      </c>
      <c r="J2763" s="10" t="str">
        <f>""</f>
        <v/>
      </c>
      <c r="K2763" s="10" t="str">
        <f>"PFES1162632240_0001"</f>
        <v>PFES1162632240_0001</v>
      </c>
      <c r="L2763" s="10">
        <v>1</v>
      </c>
      <c r="M2763" s="10">
        <v>1</v>
      </c>
    </row>
    <row r="2764" spans="1:13">
      <c r="A2764" s="8">
        <v>43279</v>
      </c>
      <c r="B2764" s="9">
        <v>0.51527777777777783</v>
      </c>
      <c r="C2764" s="10" t="str">
        <f>"FES1162632138"</f>
        <v>FES1162632138</v>
      </c>
      <c r="D2764" s="10" t="s">
        <v>19</v>
      </c>
      <c r="E2764" s="10" t="s">
        <v>289</v>
      </c>
      <c r="F2764" s="10" t="str">
        <f>"2170633748 "</f>
        <v xml:space="preserve">2170633748 </v>
      </c>
      <c r="G2764" s="10" t="str">
        <f t="shared" si="72"/>
        <v>ON1</v>
      </c>
      <c r="H2764" s="10" t="s">
        <v>21</v>
      </c>
      <c r="I2764" s="10" t="s">
        <v>290</v>
      </c>
      <c r="J2764" s="10" t="str">
        <f>""</f>
        <v/>
      </c>
      <c r="K2764" s="10" t="str">
        <f>"PFES1162632138_0001"</f>
        <v>PFES1162632138_0001</v>
      </c>
      <c r="L2764" s="10">
        <v>1</v>
      </c>
      <c r="M2764" s="10">
        <v>1</v>
      </c>
    </row>
    <row r="2765" spans="1:13">
      <c r="A2765" s="8">
        <v>43279</v>
      </c>
      <c r="B2765" s="9">
        <v>0.51458333333333328</v>
      </c>
      <c r="C2765" s="10" t="str">
        <f>"FES1162632209"</f>
        <v>FES1162632209</v>
      </c>
      <c r="D2765" s="10" t="s">
        <v>19</v>
      </c>
      <c r="E2765" s="10" t="s">
        <v>249</v>
      </c>
      <c r="F2765" s="10" t="str">
        <f>"2170637921 "</f>
        <v xml:space="preserve">2170637921 </v>
      </c>
      <c r="G2765" s="10" t="str">
        <f t="shared" si="72"/>
        <v>ON1</v>
      </c>
      <c r="H2765" s="10" t="s">
        <v>21</v>
      </c>
      <c r="I2765" s="10" t="s">
        <v>59</v>
      </c>
      <c r="J2765" s="10" t="str">
        <f>""</f>
        <v/>
      </c>
      <c r="K2765" s="10" t="str">
        <f>"PFES1162632209_0001"</f>
        <v>PFES1162632209_0001</v>
      </c>
      <c r="L2765" s="10">
        <v>1</v>
      </c>
      <c r="M2765" s="10">
        <v>1</v>
      </c>
    </row>
    <row r="2766" spans="1:13">
      <c r="A2766" s="8">
        <v>43279</v>
      </c>
      <c r="B2766" s="9">
        <v>0.51458333333333328</v>
      </c>
      <c r="C2766" s="10" t="str">
        <f>"FES1162632193"</f>
        <v>FES1162632193</v>
      </c>
      <c r="D2766" s="10" t="s">
        <v>19</v>
      </c>
      <c r="E2766" s="10" t="s">
        <v>743</v>
      </c>
      <c r="F2766" s="10" t="str">
        <f>"2170636975 "</f>
        <v xml:space="preserve">2170636975 </v>
      </c>
      <c r="G2766" s="10" t="str">
        <f t="shared" si="72"/>
        <v>ON1</v>
      </c>
      <c r="H2766" s="10" t="s">
        <v>21</v>
      </c>
      <c r="I2766" s="10" t="s">
        <v>290</v>
      </c>
      <c r="J2766" s="10" t="str">
        <f>""</f>
        <v/>
      </c>
      <c r="K2766" s="10" t="str">
        <f>"PFES1162632193_0001"</f>
        <v>PFES1162632193_0001</v>
      </c>
      <c r="L2766" s="10">
        <v>1</v>
      </c>
      <c r="M2766" s="10">
        <v>1</v>
      </c>
    </row>
    <row r="2767" spans="1:13">
      <c r="A2767" s="8">
        <v>43279</v>
      </c>
      <c r="B2767" s="9">
        <v>0.51388888888888895</v>
      </c>
      <c r="C2767" s="10" t="str">
        <f>"FES1162632219"</f>
        <v>FES1162632219</v>
      </c>
      <c r="D2767" s="10" t="s">
        <v>19</v>
      </c>
      <c r="E2767" s="10" t="s">
        <v>67</v>
      </c>
      <c r="F2767" s="10" t="str">
        <f>"2170638990 "</f>
        <v xml:space="preserve">2170638990 </v>
      </c>
      <c r="G2767" s="10" t="str">
        <f t="shared" si="72"/>
        <v>ON1</v>
      </c>
      <c r="H2767" s="10" t="s">
        <v>21</v>
      </c>
      <c r="I2767" s="10" t="s">
        <v>32</v>
      </c>
      <c r="J2767" s="10" t="str">
        <f>""</f>
        <v/>
      </c>
      <c r="K2767" s="10" t="str">
        <f>"PFES1162632219_0001"</f>
        <v>PFES1162632219_0001</v>
      </c>
      <c r="L2767" s="10">
        <v>1</v>
      </c>
      <c r="M2767" s="10">
        <v>1</v>
      </c>
    </row>
    <row r="2768" spans="1:13">
      <c r="A2768" s="8">
        <v>43279</v>
      </c>
      <c r="B2768" s="9">
        <v>0.51388888888888895</v>
      </c>
      <c r="C2768" s="10" t="str">
        <f>"FES1162632208"</f>
        <v>FES1162632208</v>
      </c>
      <c r="D2768" s="10" t="s">
        <v>19</v>
      </c>
      <c r="E2768" s="10" t="s">
        <v>33</v>
      </c>
      <c r="F2768" s="10" t="str">
        <f>"2170637821 "</f>
        <v xml:space="preserve">2170637821 </v>
      </c>
      <c r="G2768" s="10" t="str">
        <f t="shared" si="72"/>
        <v>ON1</v>
      </c>
      <c r="H2768" s="10" t="s">
        <v>21</v>
      </c>
      <c r="I2768" s="10" t="s">
        <v>34</v>
      </c>
      <c r="J2768" s="10" t="str">
        <f>""</f>
        <v/>
      </c>
      <c r="K2768" s="10" t="str">
        <f>"PFES1162632208_0001"</f>
        <v>PFES1162632208_0001</v>
      </c>
      <c r="L2768" s="10">
        <v>1</v>
      </c>
      <c r="M2768" s="10">
        <v>1</v>
      </c>
    </row>
    <row r="2769" spans="1:13">
      <c r="A2769" s="8">
        <v>43279</v>
      </c>
      <c r="B2769" s="9">
        <v>0.51388888888888895</v>
      </c>
      <c r="C2769" s="10" t="str">
        <f>"FES1162632252"</f>
        <v>FES1162632252</v>
      </c>
      <c r="D2769" s="10" t="s">
        <v>19</v>
      </c>
      <c r="E2769" s="10" t="s">
        <v>33</v>
      </c>
      <c r="F2769" s="10" t="str">
        <f>"2170637821 "</f>
        <v xml:space="preserve">2170637821 </v>
      </c>
      <c r="G2769" s="10" t="str">
        <f t="shared" si="72"/>
        <v>ON1</v>
      </c>
      <c r="H2769" s="10" t="s">
        <v>21</v>
      </c>
      <c r="I2769" s="10" t="s">
        <v>34</v>
      </c>
      <c r="J2769" s="10" t="str">
        <f>""</f>
        <v/>
      </c>
      <c r="K2769" s="10" t="str">
        <f>"PFES1162632252_0001"</f>
        <v>PFES1162632252_0001</v>
      </c>
      <c r="L2769" s="10">
        <v>1</v>
      </c>
      <c r="M2769" s="10">
        <v>1</v>
      </c>
    </row>
    <row r="2770" spans="1:13">
      <c r="A2770" s="8">
        <v>43279</v>
      </c>
      <c r="B2770" s="9">
        <v>0.5131944444444444</v>
      </c>
      <c r="C2770" s="10" t="str">
        <f>"FES1162632250"</f>
        <v>FES1162632250</v>
      </c>
      <c r="D2770" s="10" t="s">
        <v>19</v>
      </c>
      <c r="E2770" s="10" t="s">
        <v>62</v>
      </c>
      <c r="F2770" s="10" t="str">
        <f>"2170637200 "</f>
        <v xml:space="preserve">2170637200 </v>
      </c>
      <c r="G2770" s="10" t="str">
        <f t="shared" si="72"/>
        <v>ON1</v>
      </c>
      <c r="H2770" s="10" t="s">
        <v>21</v>
      </c>
      <c r="I2770" s="10" t="s">
        <v>63</v>
      </c>
      <c r="J2770" s="10" t="str">
        <f>""</f>
        <v/>
      </c>
      <c r="K2770" s="10" t="str">
        <f>"PFES1162632250_0001"</f>
        <v>PFES1162632250_0001</v>
      </c>
      <c r="L2770" s="10">
        <v>1</v>
      </c>
      <c r="M2770" s="10">
        <v>1</v>
      </c>
    </row>
    <row r="2771" spans="1:13">
      <c r="A2771" s="8">
        <v>43279</v>
      </c>
      <c r="B2771" s="9">
        <v>0.5131944444444444</v>
      </c>
      <c r="C2771" s="10" t="str">
        <f>"FES1162632115"</f>
        <v>FES1162632115</v>
      </c>
      <c r="D2771" s="10" t="s">
        <v>19</v>
      </c>
      <c r="E2771" s="10" t="s">
        <v>341</v>
      </c>
      <c r="F2771" s="10" t="str">
        <f>"2170638858 "</f>
        <v xml:space="preserve">2170638858 </v>
      </c>
      <c r="G2771" s="10" t="str">
        <f t="shared" ref="G2771:G2777" si="73">"ON1"</f>
        <v>ON1</v>
      </c>
      <c r="H2771" s="10" t="s">
        <v>21</v>
      </c>
      <c r="I2771" s="10" t="s">
        <v>342</v>
      </c>
      <c r="J2771" s="10" t="str">
        <f>""</f>
        <v/>
      </c>
      <c r="K2771" s="10" t="str">
        <f>"PFES1162632115_0001"</f>
        <v>PFES1162632115_0001</v>
      </c>
      <c r="L2771" s="10">
        <v>1</v>
      </c>
      <c r="M2771" s="10">
        <v>1</v>
      </c>
    </row>
    <row r="2772" spans="1:13">
      <c r="A2772" s="8">
        <v>43279</v>
      </c>
      <c r="B2772" s="9">
        <v>0.51250000000000007</v>
      </c>
      <c r="C2772" s="10" t="str">
        <f>"FES1162632149"</f>
        <v>FES1162632149</v>
      </c>
      <c r="D2772" s="10" t="s">
        <v>19</v>
      </c>
      <c r="E2772" s="10" t="s">
        <v>291</v>
      </c>
      <c r="F2772" s="10" t="str">
        <f>"2170638972 "</f>
        <v xml:space="preserve">2170638972 </v>
      </c>
      <c r="G2772" s="10" t="str">
        <f t="shared" si="73"/>
        <v>ON1</v>
      </c>
      <c r="H2772" s="10" t="s">
        <v>21</v>
      </c>
      <c r="I2772" s="10" t="s">
        <v>292</v>
      </c>
      <c r="J2772" s="10" t="str">
        <f>""</f>
        <v/>
      </c>
      <c r="K2772" s="10" t="str">
        <f>"PFES1162632149_0001"</f>
        <v>PFES1162632149_0001</v>
      </c>
      <c r="L2772" s="10">
        <v>1</v>
      </c>
      <c r="M2772" s="10">
        <v>1</v>
      </c>
    </row>
    <row r="2773" spans="1:13">
      <c r="A2773" s="8">
        <v>43279</v>
      </c>
      <c r="B2773" s="9">
        <v>0.51250000000000007</v>
      </c>
      <c r="C2773" s="10" t="str">
        <f>"FES1162632171"</f>
        <v>FES1162632171</v>
      </c>
      <c r="D2773" s="10" t="s">
        <v>19</v>
      </c>
      <c r="E2773" s="10" t="s">
        <v>574</v>
      </c>
      <c r="F2773" s="10" t="str">
        <f>"2170636673 "</f>
        <v xml:space="preserve">2170636673 </v>
      </c>
      <c r="G2773" s="10" t="str">
        <f t="shared" si="73"/>
        <v>ON1</v>
      </c>
      <c r="H2773" s="10" t="s">
        <v>21</v>
      </c>
      <c r="I2773" s="10" t="s">
        <v>172</v>
      </c>
      <c r="J2773" s="10" t="str">
        <f>""</f>
        <v/>
      </c>
      <c r="K2773" s="10" t="str">
        <f>"PFES1162632171_0001"</f>
        <v>PFES1162632171_0001</v>
      </c>
      <c r="L2773" s="10">
        <v>1</v>
      </c>
      <c r="M2773" s="10">
        <v>1</v>
      </c>
    </row>
    <row r="2774" spans="1:13">
      <c r="A2774" s="8">
        <v>43279</v>
      </c>
      <c r="B2774" s="9">
        <v>0.51250000000000007</v>
      </c>
      <c r="C2774" s="10" t="str">
        <f>"FES1162632119"</f>
        <v>FES1162632119</v>
      </c>
      <c r="D2774" s="10" t="s">
        <v>19</v>
      </c>
      <c r="E2774" s="10" t="s">
        <v>1065</v>
      </c>
      <c r="F2774" s="10" t="str">
        <f>"2170638938 "</f>
        <v xml:space="preserve">2170638938 </v>
      </c>
      <c r="G2774" s="10" t="str">
        <f t="shared" si="73"/>
        <v>ON1</v>
      </c>
      <c r="H2774" s="10" t="s">
        <v>21</v>
      </c>
      <c r="I2774" s="10" t="s">
        <v>38</v>
      </c>
      <c r="J2774" s="10" t="str">
        <f>""</f>
        <v/>
      </c>
      <c r="K2774" s="10" t="str">
        <f>"PFES1162632119_0001"</f>
        <v>PFES1162632119_0001</v>
      </c>
      <c r="L2774" s="10">
        <v>1</v>
      </c>
      <c r="M2774" s="10">
        <v>1</v>
      </c>
    </row>
    <row r="2775" spans="1:13">
      <c r="A2775" s="8">
        <v>43279</v>
      </c>
      <c r="B2775" s="9">
        <v>0.51180555555555551</v>
      </c>
      <c r="C2775" s="10" t="str">
        <f>"FES1162632244"</f>
        <v>FES1162632244</v>
      </c>
      <c r="D2775" s="10" t="s">
        <v>19</v>
      </c>
      <c r="E2775" s="10" t="s">
        <v>399</v>
      </c>
      <c r="F2775" s="10" t="str">
        <f>"2170636948 "</f>
        <v xml:space="preserve">2170636948 </v>
      </c>
      <c r="G2775" s="10" t="str">
        <f t="shared" si="73"/>
        <v>ON1</v>
      </c>
      <c r="H2775" s="10" t="s">
        <v>21</v>
      </c>
      <c r="I2775" s="10" t="s">
        <v>400</v>
      </c>
      <c r="J2775" s="10" t="str">
        <f>""</f>
        <v/>
      </c>
      <c r="K2775" s="10" t="str">
        <f>"PFES1162632244_0001"</f>
        <v>PFES1162632244_0001</v>
      </c>
      <c r="L2775" s="10">
        <v>1</v>
      </c>
      <c r="M2775" s="10">
        <v>1</v>
      </c>
    </row>
    <row r="2776" spans="1:13">
      <c r="A2776" s="8">
        <v>43279</v>
      </c>
      <c r="B2776" s="9">
        <v>0.50972222222222219</v>
      </c>
      <c r="C2776" s="10" t="str">
        <f>"FES1162632253"</f>
        <v>FES1162632253</v>
      </c>
      <c r="D2776" s="10" t="s">
        <v>19</v>
      </c>
      <c r="E2776" s="10" t="s">
        <v>169</v>
      </c>
      <c r="F2776" s="10" t="str">
        <f>"21706373858 "</f>
        <v xml:space="preserve">21706373858 </v>
      </c>
      <c r="G2776" s="10" t="str">
        <f t="shared" si="73"/>
        <v>ON1</v>
      </c>
      <c r="H2776" s="10" t="s">
        <v>21</v>
      </c>
      <c r="I2776" s="10" t="s">
        <v>170</v>
      </c>
      <c r="J2776" s="10" t="str">
        <f>""</f>
        <v/>
      </c>
      <c r="K2776" s="10" t="str">
        <f>"PFES1162632253_0001"</f>
        <v>PFES1162632253_0001</v>
      </c>
      <c r="L2776" s="10">
        <v>1</v>
      </c>
      <c r="M2776" s="10">
        <v>1</v>
      </c>
    </row>
    <row r="2777" spans="1:13">
      <c r="A2777" s="8">
        <v>43279</v>
      </c>
      <c r="B2777" s="9">
        <v>0.50972222222222219</v>
      </c>
      <c r="C2777" s="10" t="str">
        <f>"FES1162632122"</f>
        <v>FES1162632122</v>
      </c>
      <c r="D2777" s="10" t="s">
        <v>19</v>
      </c>
      <c r="E2777" s="10" t="s">
        <v>193</v>
      </c>
      <c r="F2777" s="10" t="str">
        <f>"2170638944 "</f>
        <v xml:space="preserve">2170638944 </v>
      </c>
      <c r="G2777" s="10" t="str">
        <f t="shared" si="73"/>
        <v>ON1</v>
      </c>
      <c r="H2777" s="10" t="s">
        <v>21</v>
      </c>
      <c r="I2777" s="10" t="s">
        <v>30</v>
      </c>
      <c r="J2777" s="10" t="str">
        <f>""</f>
        <v/>
      </c>
      <c r="K2777" s="10" t="str">
        <f>"PFES1162632122_0001"</f>
        <v>PFES1162632122_0001</v>
      </c>
      <c r="L2777" s="10">
        <v>1</v>
      </c>
      <c r="M2777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2018-06-12T09:42:21Z</dcterms:created>
  <dcterms:modified xsi:type="dcterms:W3CDTF">2018-06-28T15:52:55Z</dcterms:modified>
</cp:coreProperties>
</file>