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3742" i="1"/>
  <c r="J3742"/>
  <c r="G3742"/>
  <c r="F3742"/>
  <c r="C3742"/>
  <c r="K3741"/>
  <c r="J3741"/>
  <c r="G3741"/>
  <c r="F3741"/>
  <c r="C3741"/>
  <c r="K3740"/>
  <c r="J3740"/>
  <c r="G3740"/>
  <c r="F3740"/>
  <c r="C3740"/>
  <c r="K3739"/>
  <c r="J3739"/>
  <c r="G3739"/>
  <c r="F3739"/>
  <c r="C3739"/>
  <c r="K3738"/>
  <c r="J3738"/>
  <c r="G3738"/>
  <c r="F3738"/>
  <c r="C3738"/>
  <c r="K3737"/>
  <c r="J3737"/>
  <c r="G3737"/>
  <c r="F3737"/>
  <c r="C3737"/>
  <c r="K3736"/>
  <c r="J3736"/>
  <c r="G3736"/>
  <c r="F3736"/>
  <c r="C3736"/>
  <c r="K3735"/>
  <c r="J3735"/>
  <c r="G3735"/>
  <c r="F3735"/>
  <c r="C3735"/>
  <c r="K3734"/>
  <c r="J3734"/>
  <c r="G3734"/>
  <c r="F3734"/>
  <c r="C3734"/>
  <c r="K3733"/>
  <c r="J3733"/>
  <c r="G3733"/>
  <c r="F3733"/>
  <c r="C3733"/>
  <c r="K3732"/>
  <c r="J3732"/>
  <c r="G3732"/>
  <c r="F3732"/>
  <c r="C3732"/>
  <c r="K3731"/>
  <c r="J3731"/>
  <c r="G3731"/>
  <c r="F3731"/>
  <c r="C3731"/>
  <c r="K3730"/>
  <c r="J3730"/>
  <c r="G3730"/>
  <c r="F3730"/>
  <c r="C3730"/>
  <c r="K3729"/>
  <c r="J3729"/>
  <c r="G3729"/>
  <c r="F3729"/>
  <c r="C3729"/>
  <c r="K3728"/>
  <c r="J3728"/>
  <c r="G3728"/>
  <c r="F3728"/>
  <c r="C3728"/>
  <c r="K3727"/>
  <c r="J3727"/>
  <c r="G3727"/>
  <c r="F3727"/>
  <c r="C3727"/>
  <c r="K3726"/>
  <c r="J3726"/>
  <c r="G3726"/>
  <c r="F3726"/>
  <c r="C3726"/>
  <c r="K3725"/>
  <c r="J3725"/>
  <c r="G3725"/>
  <c r="F3725"/>
  <c r="C3725"/>
  <c r="K3724"/>
  <c r="J3724"/>
  <c r="G3724"/>
  <c r="F3724"/>
  <c r="C3724"/>
  <c r="K3723"/>
  <c r="J3723"/>
  <c r="G3723"/>
  <c r="F3723"/>
  <c r="C3723"/>
  <c r="K3722"/>
  <c r="J3722"/>
  <c r="G3722"/>
  <c r="F3722"/>
  <c r="C3722"/>
  <c r="K3721"/>
  <c r="J3721"/>
  <c r="G3721"/>
  <c r="F3721"/>
  <c r="C3721"/>
  <c r="K3720"/>
  <c r="J3720"/>
  <c r="G3720"/>
  <c r="F3720"/>
  <c r="C3720"/>
  <c r="K3719"/>
  <c r="J3719"/>
  <c r="G3719"/>
  <c r="F3719"/>
  <c r="C3719"/>
  <c r="K3718"/>
  <c r="J3718"/>
  <c r="G3718"/>
  <c r="F3718"/>
  <c r="C3718"/>
  <c r="K3717"/>
  <c r="J3717"/>
  <c r="G3717"/>
  <c r="F3717"/>
  <c r="C3717"/>
  <c r="K3716"/>
  <c r="J3716"/>
  <c r="G3716"/>
  <c r="F3716"/>
  <c r="C3716"/>
  <c r="K3715"/>
  <c r="J3715"/>
  <c r="G3715"/>
  <c r="F3715"/>
  <c r="C3715"/>
  <c r="K3714"/>
  <c r="J3714"/>
  <c r="G3714"/>
  <c r="F3714"/>
  <c r="C3714"/>
  <c r="K3713"/>
  <c r="J3713"/>
  <c r="G3713"/>
  <c r="F3713"/>
  <c r="C3713"/>
  <c r="K3712"/>
  <c r="J3712"/>
  <c r="G3712"/>
  <c r="F3712"/>
  <c r="C3712"/>
  <c r="K3711"/>
  <c r="J3711"/>
  <c r="G3711"/>
  <c r="F3711"/>
  <c r="C3711"/>
  <c r="K3710"/>
  <c r="J3710"/>
  <c r="G3710"/>
  <c r="F3710"/>
  <c r="C3710"/>
  <c r="K3709"/>
  <c r="J3709"/>
  <c r="G3709"/>
  <c r="F3709"/>
  <c r="C3709"/>
  <c r="K3708"/>
  <c r="J3708"/>
  <c r="G3708"/>
  <c r="F3708"/>
  <c r="C3708"/>
  <c r="K3707"/>
  <c r="J3707"/>
  <c r="G3707"/>
  <c r="F3707"/>
  <c r="C3707"/>
  <c r="K3706"/>
  <c r="J3706"/>
  <c r="G3706"/>
  <c r="F3706"/>
  <c r="C3706"/>
  <c r="K3705"/>
  <c r="J3705"/>
  <c r="G3705"/>
  <c r="F3705"/>
  <c r="C3705"/>
  <c r="K3704"/>
  <c r="J3704"/>
  <c r="G3704"/>
  <c r="F3704"/>
  <c r="C3704"/>
  <c r="K3703"/>
  <c r="J3703"/>
  <c r="G3703"/>
  <c r="F3703"/>
  <c r="C3703"/>
  <c r="K3702"/>
  <c r="J3702"/>
  <c r="G3702"/>
  <c r="F3702"/>
  <c r="C3702"/>
  <c r="K3701"/>
  <c r="J3701"/>
  <c r="G3701"/>
  <c r="F3701"/>
  <c r="C3701"/>
  <c r="K3700"/>
  <c r="J3700"/>
  <c r="G3700"/>
  <c r="F3700"/>
  <c r="C3700"/>
  <c r="K3699"/>
  <c r="J3699"/>
  <c r="G3699"/>
  <c r="F3699"/>
  <c r="C3699"/>
  <c r="K3698"/>
  <c r="J3698"/>
  <c r="G3698"/>
  <c r="F3698"/>
  <c r="C3698"/>
  <c r="K3697"/>
  <c r="J3697"/>
  <c r="G3697"/>
  <c r="F3697"/>
  <c r="C3697"/>
  <c r="K3696"/>
  <c r="J3696"/>
  <c r="G3696"/>
  <c r="F3696"/>
  <c r="C3696"/>
  <c r="K3695"/>
  <c r="J3695"/>
  <c r="G3695"/>
  <c r="F3695"/>
  <c r="C3695"/>
  <c r="K3694"/>
  <c r="J3694"/>
  <c r="G3694"/>
  <c r="F3694"/>
  <c r="C3694"/>
  <c r="K3693"/>
  <c r="J3693"/>
  <c r="G3693"/>
  <c r="F3693"/>
  <c r="C3693"/>
  <c r="K3692"/>
  <c r="J3692"/>
  <c r="G3692"/>
  <c r="F3692"/>
  <c r="C3692"/>
  <c r="K3691"/>
  <c r="J3691"/>
  <c r="G3691"/>
  <c r="F3691"/>
  <c r="C3691"/>
  <c r="K3690"/>
  <c r="J3690"/>
  <c r="G3690"/>
  <c r="F3690"/>
  <c r="C3690"/>
  <c r="K3689"/>
  <c r="J3689"/>
  <c r="G3689"/>
  <c r="F3689"/>
  <c r="C3689"/>
  <c r="K3688"/>
  <c r="J3688"/>
  <c r="G3688"/>
  <c r="F3688"/>
  <c r="C3688"/>
  <c r="K3687"/>
  <c r="J3687"/>
  <c r="G3687"/>
  <c r="F3687"/>
  <c r="C3687"/>
  <c r="K3686"/>
  <c r="J3686"/>
  <c r="G3686"/>
  <c r="F3686"/>
  <c r="C3686"/>
  <c r="K3685"/>
  <c r="J3685"/>
  <c r="G3685"/>
  <c r="F3685"/>
  <c r="C3685"/>
  <c r="K3684"/>
  <c r="J3684"/>
  <c r="G3684"/>
  <c r="F3684"/>
  <c r="C3684"/>
  <c r="K3683"/>
  <c r="J3683"/>
  <c r="G3683"/>
  <c r="F3683"/>
  <c r="C3683"/>
  <c r="K3682"/>
  <c r="J3682"/>
  <c r="G3682"/>
  <c r="F3682"/>
  <c r="C3682"/>
  <c r="K3681"/>
  <c r="J3681"/>
  <c r="G3681"/>
  <c r="F3681"/>
  <c r="C3681"/>
  <c r="K3680"/>
  <c r="J3680"/>
  <c r="G3680"/>
  <c r="F3680"/>
  <c r="C3680"/>
  <c r="K3679"/>
  <c r="J3679"/>
  <c r="G3679"/>
  <c r="F3679"/>
  <c r="C3679"/>
  <c r="K3678"/>
  <c r="J3678"/>
  <c r="G3678"/>
  <c r="F3678"/>
  <c r="C3678"/>
  <c r="K3677"/>
  <c r="J3677"/>
  <c r="G3677"/>
  <c r="F3677"/>
  <c r="C3677"/>
  <c r="K3676"/>
  <c r="J3676"/>
  <c r="G3676"/>
  <c r="F3676"/>
  <c r="C3676"/>
  <c r="K3675"/>
  <c r="J3675"/>
  <c r="G3675"/>
  <c r="F3675"/>
  <c r="C3675"/>
  <c r="K3674"/>
  <c r="J3674"/>
  <c r="G3674"/>
  <c r="F3674"/>
  <c r="C3674"/>
  <c r="K3673"/>
  <c r="J3673"/>
  <c r="G3673"/>
  <c r="F3673"/>
  <c r="C3673"/>
  <c r="K3672"/>
  <c r="J3672"/>
  <c r="G3672"/>
  <c r="F3672"/>
  <c r="C3672"/>
  <c r="K3671"/>
  <c r="J3671"/>
  <c r="G3671"/>
  <c r="F3671"/>
  <c r="C3671"/>
  <c r="K3670"/>
  <c r="J3670"/>
  <c r="G3670"/>
  <c r="F3670"/>
  <c r="C3670"/>
  <c r="K3669"/>
  <c r="J3669"/>
  <c r="G3669"/>
  <c r="F3669"/>
  <c r="C3669"/>
  <c r="K3668"/>
  <c r="J3668"/>
  <c r="G3668"/>
  <c r="F3668"/>
  <c r="C3668"/>
  <c r="K3667"/>
  <c r="J3667"/>
  <c r="G3667"/>
  <c r="F3667"/>
  <c r="C3667"/>
  <c r="K3666"/>
  <c r="J3666"/>
  <c r="G3666"/>
  <c r="F3666"/>
  <c r="C3666"/>
  <c r="K3665"/>
  <c r="J3665"/>
  <c r="G3665"/>
  <c r="F3665"/>
  <c r="C3665"/>
  <c r="K3664"/>
  <c r="J3664"/>
  <c r="G3664"/>
  <c r="F3664"/>
  <c r="C3664"/>
  <c r="K3663"/>
  <c r="J3663"/>
  <c r="G3663"/>
  <c r="F3663"/>
  <c r="C3663"/>
  <c r="K3662"/>
  <c r="J3662"/>
  <c r="G3662"/>
  <c r="F3662"/>
  <c r="C3662"/>
  <c r="K3661"/>
  <c r="J3661"/>
  <c r="G3661"/>
  <c r="F3661"/>
  <c r="C3661"/>
  <c r="K3660"/>
  <c r="J3660"/>
  <c r="G3660"/>
  <c r="F3660"/>
  <c r="C3660"/>
  <c r="K3659"/>
  <c r="J3659"/>
  <c r="G3659"/>
  <c r="F3659"/>
  <c r="C3659"/>
  <c r="K3658"/>
  <c r="J3658"/>
  <c r="G3658"/>
  <c r="F3658"/>
  <c r="C3658"/>
  <c r="K3657"/>
  <c r="J3657"/>
  <c r="G3657"/>
  <c r="F3657"/>
  <c r="C3657"/>
  <c r="K3656"/>
  <c r="J3656"/>
  <c r="G3656"/>
  <c r="F3656"/>
  <c r="C3656"/>
  <c r="K3655"/>
  <c r="J3655"/>
  <c r="G3655"/>
  <c r="F3655"/>
  <c r="C3655"/>
  <c r="K3654"/>
  <c r="J3654"/>
  <c r="G3654"/>
  <c r="F3654"/>
  <c r="C3654"/>
  <c r="K3653"/>
  <c r="J3653"/>
  <c r="G3653"/>
  <c r="F3653"/>
  <c r="C3653"/>
  <c r="K3652"/>
  <c r="J3652"/>
  <c r="G3652"/>
  <c r="F3652"/>
  <c r="C3652"/>
  <c r="K3651"/>
  <c r="J3651"/>
  <c r="G3651"/>
  <c r="F3651"/>
  <c r="C3651"/>
  <c r="K3650"/>
  <c r="J3650"/>
  <c r="G3650"/>
  <c r="F3650"/>
  <c r="C3650"/>
  <c r="K3649"/>
  <c r="J3649"/>
  <c r="G3649"/>
  <c r="F3649"/>
  <c r="C3649"/>
  <c r="K3648"/>
  <c r="J3648"/>
  <c r="G3648"/>
  <c r="F3648"/>
  <c r="C3648"/>
  <c r="K3647"/>
  <c r="J3647"/>
  <c r="G3647"/>
  <c r="F3647"/>
  <c r="C3647"/>
  <c r="K3646"/>
  <c r="J3646"/>
  <c r="G3646"/>
  <c r="F3646"/>
  <c r="C3646"/>
  <c r="K3645"/>
  <c r="J3645"/>
  <c r="G3645"/>
  <c r="F3645"/>
  <c r="C3645"/>
  <c r="K3644"/>
  <c r="J3644"/>
  <c r="G3644"/>
  <c r="F3644"/>
  <c r="C3644"/>
  <c r="K3643"/>
  <c r="J3643"/>
  <c r="G3643"/>
  <c r="F3643"/>
  <c r="C3643"/>
  <c r="K3642"/>
  <c r="J3642"/>
  <c r="G3642"/>
  <c r="F3642"/>
  <c r="C3642"/>
  <c r="K3641"/>
  <c r="J3641"/>
  <c r="G3641"/>
  <c r="F3641"/>
  <c r="C3641"/>
  <c r="K3640"/>
  <c r="J3640"/>
  <c r="G3640"/>
  <c r="F3640"/>
  <c r="C3640"/>
  <c r="K3639"/>
  <c r="J3639"/>
  <c r="G3639"/>
  <c r="F3639"/>
  <c r="C3639"/>
  <c r="K3638"/>
  <c r="G3638"/>
  <c r="F3638"/>
  <c r="C3638"/>
  <c r="K3637"/>
  <c r="J3637"/>
  <c r="G3637"/>
  <c r="F3637"/>
  <c r="C3637"/>
  <c r="K3636"/>
  <c r="J3636"/>
  <c r="G3636"/>
  <c r="F3636"/>
  <c r="C3636"/>
  <c r="K3635"/>
  <c r="G3635"/>
  <c r="F3635"/>
  <c r="C3635"/>
  <c r="K3634"/>
  <c r="J3634"/>
  <c r="G3634"/>
  <c r="F3634"/>
  <c r="C3634"/>
  <c r="K3633"/>
  <c r="J3633"/>
  <c r="G3633"/>
  <c r="F3633"/>
  <c r="C3633"/>
  <c r="K3632"/>
  <c r="J3632"/>
  <c r="G3632"/>
  <c r="F3632"/>
  <c r="C3632"/>
  <c r="K3631"/>
  <c r="G3631"/>
  <c r="F3631"/>
  <c r="C3631"/>
  <c r="K3630"/>
  <c r="J3630"/>
  <c r="G3630"/>
  <c r="F3630"/>
  <c r="C3630"/>
  <c r="K3629"/>
  <c r="J3629"/>
  <c r="G3629"/>
  <c r="F3629"/>
  <c r="C3629"/>
  <c r="K3628"/>
  <c r="J3628"/>
  <c r="G3628"/>
  <c r="F3628"/>
  <c r="C3628"/>
  <c r="K3627"/>
  <c r="J3627"/>
  <c r="G3627"/>
  <c r="F3627"/>
  <c r="C3627"/>
  <c r="K3626"/>
  <c r="J3626"/>
  <c r="G3626"/>
  <c r="F3626"/>
  <c r="C3626"/>
  <c r="K3625"/>
  <c r="J3625"/>
  <c r="G3625"/>
  <c r="F3625"/>
  <c r="C3625"/>
  <c r="K3624"/>
  <c r="J3624"/>
  <c r="G3624"/>
  <c r="F3624"/>
  <c r="C3624"/>
  <c r="K3623"/>
  <c r="J3623"/>
  <c r="G3623"/>
  <c r="F3623"/>
  <c r="C3623"/>
  <c r="K3622"/>
  <c r="J3622"/>
  <c r="G3622"/>
  <c r="F3622"/>
  <c r="C3622"/>
  <c r="K3621"/>
  <c r="J3621"/>
  <c r="G3621"/>
  <c r="F3621"/>
  <c r="C3621"/>
  <c r="K3620"/>
  <c r="J3620"/>
  <c r="G3620"/>
  <c r="F3620"/>
  <c r="C3620"/>
  <c r="K3619"/>
  <c r="J3619"/>
  <c r="G3619"/>
  <c r="F3619"/>
  <c r="C3619"/>
  <c r="K3618"/>
  <c r="J3618"/>
  <c r="G3618"/>
  <c r="F3618"/>
  <c r="C3618"/>
  <c r="K3617"/>
  <c r="J3617"/>
  <c r="G3617"/>
  <c r="F3617"/>
  <c r="C3617"/>
  <c r="K3616"/>
  <c r="J3616"/>
  <c r="G3616"/>
  <c r="F3616"/>
  <c r="C3616"/>
  <c r="K3615"/>
  <c r="J3615"/>
  <c r="G3615"/>
  <c r="F3615"/>
  <c r="C3615"/>
  <c r="K3614"/>
  <c r="J3614"/>
  <c r="G3614"/>
  <c r="F3614"/>
  <c r="C3614"/>
  <c r="K3613"/>
  <c r="G3613"/>
  <c r="F3613"/>
  <c r="C3613"/>
  <c r="K3612"/>
  <c r="J3612"/>
  <c r="G3612"/>
  <c r="F3612"/>
  <c r="C3612"/>
  <c r="K3611"/>
  <c r="J3611"/>
  <c r="G3611"/>
  <c r="F3611"/>
  <c r="C3611"/>
  <c r="K3610"/>
  <c r="J3610"/>
  <c r="G3610"/>
  <c r="F3610"/>
  <c r="C3610"/>
  <c r="K3609"/>
  <c r="J3609"/>
  <c r="G3609"/>
  <c r="F3609"/>
  <c r="C3609"/>
  <c r="K3608"/>
  <c r="J3608"/>
  <c r="G3608"/>
  <c r="F3608"/>
  <c r="C3608"/>
  <c r="K3607"/>
  <c r="J3607"/>
  <c r="G3607"/>
  <c r="F3607"/>
  <c r="C3607"/>
  <c r="K3606"/>
  <c r="J3606"/>
  <c r="G3606"/>
  <c r="F3606"/>
  <c r="C3606"/>
  <c r="K3605"/>
  <c r="G3605"/>
  <c r="F3605"/>
  <c r="C3605"/>
  <c r="K3604"/>
  <c r="J3604"/>
  <c r="G3604"/>
  <c r="F3604"/>
  <c r="C3604"/>
  <c r="K3603"/>
  <c r="J3603"/>
  <c r="G3603"/>
  <c r="F3603"/>
  <c r="C3603"/>
  <c r="K3602"/>
  <c r="J3602"/>
  <c r="G3602"/>
  <c r="F3602"/>
  <c r="C3602"/>
  <c r="K3601"/>
  <c r="J3601"/>
  <c r="G3601"/>
  <c r="F3601"/>
  <c r="C3601"/>
  <c r="K3600"/>
  <c r="J3600"/>
  <c r="G3600"/>
  <c r="F3600"/>
  <c r="C3600"/>
  <c r="K3599"/>
  <c r="J3599"/>
  <c r="G3599"/>
  <c r="F3599"/>
  <c r="C3599"/>
  <c r="K3598"/>
  <c r="J3598"/>
  <c r="G3598"/>
  <c r="F3598"/>
  <c r="C3598"/>
  <c r="K3597"/>
  <c r="J3597"/>
  <c r="G3597"/>
  <c r="F3597"/>
  <c r="C3597"/>
  <c r="K3596"/>
  <c r="J3596"/>
  <c r="G3596"/>
  <c r="F3596"/>
  <c r="C3596"/>
  <c r="K3595"/>
  <c r="J3595"/>
  <c r="G3595"/>
  <c r="F3595"/>
  <c r="C3595"/>
  <c r="K3594"/>
  <c r="J3594"/>
  <c r="G3594"/>
  <c r="F3594"/>
  <c r="C3594"/>
  <c r="K3593"/>
  <c r="J3593"/>
  <c r="G3593"/>
  <c r="F3593"/>
  <c r="C3593"/>
  <c r="K3592"/>
  <c r="J3592"/>
  <c r="G3592"/>
  <c r="F3592"/>
  <c r="C3592"/>
  <c r="K3591"/>
  <c r="J3591"/>
  <c r="G3591"/>
  <c r="F3591"/>
  <c r="C3591"/>
  <c r="K3590"/>
  <c r="J3590"/>
  <c r="G3590"/>
  <c r="F3590"/>
  <c r="C3590"/>
  <c r="K3589"/>
  <c r="J3589"/>
  <c r="G3589"/>
  <c r="F3589"/>
  <c r="C3589"/>
  <c r="K3588"/>
  <c r="J3588"/>
  <c r="G3588"/>
  <c r="F3588"/>
  <c r="C3588"/>
  <c r="K3587"/>
  <c r="J3587"/>
  <c r="G3587"/>
  <c r="F3587"/>
  <c r="C3587"/>
  <c r="K3586"/>
  <c r="J3586"/>
  <c r="G3586"/>
  <c r="F3586"/>
  <c r="C3586"/>
  <c r="K3585"/>
  <c r="J3585"/>
  <c r="G3585"/>
  <c r="F3585"/>
  <c r="C3585"/>
  <c r="K3584"/>
  <c r="J3584"/>
  <c r="G3584"/>
  <c r="F3584"/>
  <c r="C3584"/>
  <c r="K3583"/>
  <c r="J3583"/>
  <c r="G3583"/>
  <c r="F3583"/>
  <c r="C3583"/>
  <c r="K3582"/>
  <c r="J3582"/>
  <c r="G3582"/>
  <c r="F3582"/>
  <c r="C3582"/>
  <c r="K3581"/>
  <c r="J3581"/>
  <c r="G3581"/>
  <c r="F3581"/>
  <c r="C3581"/>
  <c r="K3580"/>
  <c r="J3580"/>
  <c r="G3580"/>
  <c r="F3580"/>
  <c r="C3580"/>
  <c r="K3579"/>
  <c r="J3579"/>
  <c r="G3579"/>
  <c r="F3579"/>
  <c r="C3579"/>
  <c r="K3578"/>
  <c r="J3578"/>
  <c r="G3578"/>
  <c r="F3578"/>
  <c r="C3578"/>
  <c r="K3577"/>
  <c r="J3577"/>
  <c r="G3577"/>
  <c r="F3577"/>
  <c r="C3577"/>
  <c r="K3576"/>
  <c r="J3576"/>
  <c r="G3576"/>
  <c r="F3576"/>
  <c r="C3576"/>
  <c r="K3575"/>
  <c r="J3575"/>
  <c r="G3575"/>
  <c r="F3575"/>
  <c r="C3575"/>
  <c r="K3574"/>
  <c r="J3574"/>
  <c r="G3574"/>
  <c r="F3574"/>
  <c r="C3574"/>
  <c r="K3573"/>
  <c r="J3573"/>
  <c r="G3573"/>
  <c r="F3573"/>
  <c r="C3573"/>
  <c r="K3572"/>
  <c r="J3572"/>
  <c r="G3572"/>
  <c r="F3572"/>
  <c r="C3572"/>
  <c r="K3571"/>
  <c r="J3571"/>
  <c r="G3571"/>
  <c r="F3571"/>
  <c r="C3571"/>
  <c r="K3570"/>
  <c r="J3570"/>
  <c r="G3570"/>
  <c r="F3570"/>
  <c r="C3570"/>
  <c r="K3569"/>
  <c r="J3569"/>
  <c r="G3569"/>
  <c r="F3569"/>
  <c r="C3569"/>
  <c r="K3568"/>
  <c r="J3568"/>
  <c r="G3568"/>
  <c r="F3568"/>
  <c r="C3568"/>
  <c r="K3567"/>
  <c r="J3567"/>
  <c r="G3567"/>
  <c r="F3567"/>
  <c r="C3567"/>
  <c r="K3566"/>
  <c r="J3566"/>
  <c r="G3566"/>
  <c r="F3566"/>
  <c r="C3566"/>
  <c r="K3565"/>
  <c r="J3565"/>
  <c r="G3565"/>
  <c r="F3565"/>
  <c r="C3565"/>
  <c r="K3564"/>
  <c r="J3564"/>
  <c r="G3564"/>
  <c r="F3564"/>
  <c r="C3564"/>
  <c r="K3563"/>
  <c r="J3563"/>
  <c r="G3563"/>
  <c r="F3563"/>
  <c r="C3563"/>
  <c r="K3562"/>
  <c r="J3562"/>
  <c r="G3562"/>
  <c r="F3562"/>
  <c r="C3562"/>
  <c r="K3561"/>
  <c r="J3561"/>
  <c r="G3561"/>
  <c r="F3561"/>
  <c r="C3561"/>
  <c r="K3560"/>
  <c r="J3560"/>
  <c r="G3560"/>
  <c r="F3560"/>
  <c r="C3560"/>
  <c r="K3559"/>
  <c r="G3559"/>
  <c r="F3559"/>
  <c r="C3559"/>
  <c r="K3558"/>
  <c r="J3558"/>
  <c r="G3558"/>
  <c r="F3558"/>
  <c r="C3558"/>
  <c r="K3557"/>
  <c r="J3557"/>
  <c r="G3557"/>
  <c r="F3557"/>
  <c r="C3557"/>
  <c r="K3556"/>
  <c r="G3556"/>
  <c r="F3556"/>
  <c r="C3556"/>
  <c r="K3555"/>
  <c r="J3555"/>
  <c r="G3555"/>
  <c r="F3555"/>
  <c r="C3555"/>
  <c r="K3554"/>
  <c r="J3554"/>
  <c r="G3554"/>
  <c r="F3554"/>
  <c r="C3554"/>
  <c r="K3553"/>
  <c r="J3553"/>
  <c r="G3553"/>
  <c r="F3553"/>
  <c r="C3553"/>
  <c r="K3552"/>
  <c r="J3552"/>
  <c r="G3552"/>
  <c r="F3552"/>
  <c r="C3552"/>
  <c r="K3551"/>
  <c r="J3551"/>
  <c r="G3551"/>
  <c r="F3551"/>
  <c r="C3551"/>
  <c r="K3550"/>
  <c r="J3550"/>
  <c r="G3550"/>
  <c r="F3550"/>
  <c r="C3550"/>
  <c r="K3549"/>
  <c r="J3549"/>
  <c r="G3549"/>
  <c r="F3549"/>
  <c r="C3549"/>
  <c r="K3548"/>
  <c r="J3548"/>
  <c r="G3548"/>
  <c r="F3548"/>
  <c r="C3548"/>
  <c r="K3547"/>
  <c r="J3547"/>
  <c r="G3547"/>
  <c r="F3547"/>
  <c r="C3547"/>
  <c r="K3546"/>
  <c r="J3546"/>
  <c r="G3546"/>
  <c r="F3546"/>
  <c r="C3546"/>
  <c r="K3545"/>
  <c r="J3545"/>
  <c r="G3545"/>
  <c r="F3545"/>
  <c r="C3545"/>
  <c r="K3544"/>
  <c r="J3544"/>
  <c r="G3544"/>
  <c r="F3544"/>
  <c r="C3544"/>
  <c r="K3543"/>
  <c r="J3543"/>
  <c r="G3543"/>
  <c r="F3543"/>
  <c r="C3543"/>
  <c r="K3542"/>
  <c r="J3542"/>
  <c r="G3542"/>
  <c r="F3542"/>
  <c r="C3542"/>
  <c r="K3541"/>
  <c r="J3541"/>
  <c r="G3541"/>
  <c r="F3541"/>
  <c r="C3541"/>
  <c r="K3540"/>
  <c r="J3540"/>
  <c r="G3540"/>
  <c r="F3540"/>
  <c r="C3540"/>
  <c r="K3539"/>
  <c r="J3539"/>
  <c r="G3539"/>
  <c r="F3539"/>
  <c r="C3539"/>
  <c r="K3538"/>
  <c r="J3538"/>
  <c r="G3538"/>
  <c r="F3538"/>
  <c r="C3538"/>
  <c r="K3537"/>
  <c r="J3537"/>
  <c r="G3537"/>
  <c r="F3537"/>
  <c r="C3537"/>
  <c r="K3536"/>
  <c r="J3536"/>
  <c r="G3536"/>
  <c r="F3536"/>
  <c r="C3536"/>
  <c r="K3535"/>
  <c r="J3535"/>
  <c r="G3535"/>
  <c r="F3535"/>
  <c r="C3535"/>
  <c r="K3534"/>
  <c r="J3534"/>
  <c r="G3534"/>
  <c r="F3534"/>
  <c r="C3534"/>
  <c r="K3533"/>
  <c r="J3533"/>
  <c r="G3533"/>
  <c r="F3533"/>
  <c r="C3533"/>
  <c r="K3532"/>
  <c r="J3532"/>
  <c r="G3532"/>
  <c r="F3532"/>
  <c r="C3532"/>
  <c r="K3531"/>
  <c r="J3531"/>
  <c r="G3531"/>
  <c r="F3531"/>
  <c r="C3531"/>
  <c r="K3530"/>
  <c r="J3530"/>
  <c r="G3530"/>
  <c r="F3530"/>
  <c r="C3530"/>
  <c r="K3529"/>
  <c r="J3529"/>
  <c r="G3529"/>
  <c r="F3529"/>
  <c r="C3529"/>
  <c r="K3528"/>
  <c r="J3528"/>
  <c r="G3528"/>
  <c r="F3528"/>
  <c r="C3528"/>
  <c r="K3527"/>
  <c r="J3527"/>
  <c r="G3527"/>
  <c r="F3527"/>
  <c r="C3527"/>
  <c r="K3526"/>
  <c r="J3526"/>
  <c r="G3526"/>
  <c r="F3526"/>
  <c r="C3526"/>
  <c r="K3525"/>
  <c r="J3525"/>
  <c r="G3525"/>
  <c r="F3525"/>
  <c r="C3525"/>
  <c r="K3524"/>
  <c r="J3524"/>
  <c r="G3524"/>
  <c r="F3524"/>
  <c r="C3524"/>
  <c r="K3523"/>
  <c r="J3523"/>
  <c r="G3523"/>
  <c r="F3523"/>
  <c r="C3523"/>
  <c r="K3522"/>
  <c r="J3522"/>
  <c r="G3522"/>
  <c r="F3522"/>
  <c r="C3522"/>
  <c r="K3521"/>
  <c r="J3521"/>
  <c r="G3521"/>
  <c r="F3521"/>
  <c r="C3521"/>
  <c r="K3520"/>
  <c r="J3520"/>
  <c r="G3520"/>
  <c r="F3520"/>
  <c r="C3520"/>
  <c r="K3519"/>
  <c r="J3519"/>
  <c r="G3519"/>
  <c r="F3519"/>
  <c r="C3519"/>
  <c r="K3518"/>
  <c r="J3518"/>
  <c r="G3518"/>
  <c r="F3518"/>
  <c r="C3518"/>
  <c r="K3517"/>
  <c r="J3517"/>
  <c r="G3517"/>
  <c r="F3517"/>
  <c r="C3517"/>
  <c r="K3516"/>
  <c r="J3516"/>
  <c r="G3516"/>
  <c r="F3516"/>
  <c r="C3516"/>
  <c r="K3515"/>
  <c r="J3515"/>
  <c r="G3515"/>
  <c r="F3515"/>
  <c r="C3515"/>
  <c r="K3514"/>
  <c r="J3514"/>
  <c r="G3514"/>
  <c r="F3514"/>
  <c r="C3514"/>
  <c r="K3513"/>
  <c r="J3513"/>
  <c r="G3513"/>
  <c r="F3513"/>
  <c r="C3513"/>
  <c r="K3512"/>
  <c r="J3512"/>
  <c r="G3512"/>
  <c r="F3512"/>
  <c r="C3512"/>
  <c r="K3511"/>
  <c r="J3511"/>
  <c r="G3511"/>
  <c r="F3511"/>
  <c r="C3511"/>
  <c r="K3510"/>
  <c r="J3510"/>
  <c r="G3510"/>
  <c r="F3510"/>
  <c r="C3510"/>
  <c r="K3509"/>
  <c r="J3509"/>
  <c r="G3509"/>
  <c r="F3509"/>
  <c r="C3509"/>
  <c r="K3508"/>
  <c r="G3508"/>
  <c r="F3508"/>
  <c r="C3508"/>
  <c r="K3507"/>
  <c r="J3507"/>
  <c r="G3507"/>
  <c r="F3507"/>
  <c r="C3507"/>
  <c r="K3506"/>
  <c r="J3506"/>
  <c r="G3506"/>
  <c r="F3506"/>
  <c r="C3506"/>
  <c r="K3505"/>
  <c r="J3505"/>
  <c r="G3505"/>
  <c r="F3505"/>
  <c r="C3505"/>
  <c r="K3504"/>
  <c r="J3504"/>
  <c r="G3504"/>
  <c r="F3504"/>
  <c r="C3504"/>
  <c r="K3503"/>
  <c r="J3503"/>
  <c r="G3503"/>
  <c r="F3503"/>
  <c r="C3503"/>
  <c r="K3502"/>
  <c r="J3502"/>
  <c r="G3502"/>
  <c r="F3502"/>
  <c r="C3502"/>
  <c r="K3501"/>
  <c r="J3501"/>
  <c r="G3501"/>
  <c r="F3501"/>
  <c r="C3501"/>
  <c r="K3500"/>
  <c r="J3500"/>
  <c r="G3500"/>
  <c r="F3500"/>
  <c r="C3500"/>
  <c r="K3499"/>
  <c r="J3499"/>
  <c r="G3499"/>
  <c r="F3499"/>
  <c r="C3499"/>
  <c r="K3498"/>
  <c r="J3498"/>
  <c r="G3498"/>
  <c r="F3498"/>
  <c r="C3498"/>
  <c r="K3497"/>
  <c r="J3497"/>
  <c r="G3497"/>
  <c r="F3497"/>
  <c r="C3497"/>
  <c r="K3496"/>
  <c r="J3496"/>
  <c r="G3496"/>
  <c r="F3496"/>
  <c r="C3496"/>
  <c r="K3495"/>
  <c r="J3495"/>
  <c r="G3495"/>
  <c r="F3495"/>
  <c r="C3495"/>
  <c r="K3494"/>
  <c r="J3494"/>
  <c r="G3494"/>
  <c r="F3494"/>
  <c r="C3494"/>
  <c r="K3493"/>
  <c r="J3493"/>
  <c r="G3493"/>
  <c r="F3493"/>
  <c r="C3493"/>
  <c r="K3492"/>
  <c r="J3492"/>
  <c r="G3492"/>
  <c r="F3492"/>
  <c r="C3492"/>
  <c r="K3491"/>
  <c r="J3491"/>
  <c r="G3491"/>
  <c r="F3491"/>
  <c r="C3491"/>
  <c r="K3490"/>
  <c r="J3490"/>
  <c r="G3490"/>
  <c r="F3490"/>
  <c r="C3490"/>
  <c r="K3489"/>
  <c r="J3489"/>
  <c r="G3489"/>
  <c r="F3489"/>
  <c r="C3489"/>
  <c r="K3488"/>
  <c r="J3488"/>
  <c r="G3488"/>
  <c r="F3488"/>
  <c r="C3488"/>
  <c r="K3487"/>
  <c r="J3487"/>
  <c r="G3487"/>
  <c r="F3487"/>
  <c r="C3487"/>
  <c r="K3486"/>
  <c r="J3486"/>
  <c r="G3486"/>
  <c r="F3486"/>
  <c r="C3486"/>
  <c r="K3485"/>
  <c r="J3485"/>
  <c r="G3485"/>
  <c r="F3485"/>
  <c r="C3485"/>
  <c r="K3484"/>
  <c r="J3484"/>
  <c r="G3484"/>
  <c r="F3484"/>
  <c r="C3484"/>
  <c r="K3483"/>
  <c r="J3483"/>
  <c r="G3483"/>
  <c r="F3483"/>
  <c r="C3483"/>
  <c r="K3482"/>
  <c r="G3482"/>
  <c r="F3482"/>
  <c r="C3482"/>
  <c r="K3481"/>
  <c r="J3481"/>
  <c r="G3481"/>
  <c r="F3481"/>
  <c r="C3481"/>
  <c r="K3480"/>
  <c r="G3480"/>
  <c r="F3480"/>
  <c r="C3480"/>
  <c r="K3479"/>
  <c r="J3479"/>
  <c r="G3479"/>
  <c r="F3479"/>
  <c r="C3479"/>
  <c r="K3478"/>
  <c r="J3478"/>
  <c r="G3478"/>
  <c r="F3478"/>
  <c r="C3478"/>
  <c r="K3477"/>
  <c r="J3477"/>
  <c r="G3477"/>
  <c r="F3477"/>
  <c r="C3477"/>
  <c r="K3476"/>
  <c r="J3476"/>
  <c r="G3476"/>
  <c r="F3476"/>
  <c r="C3476"/>
  <c r="K3475"/>
  <c r="J3475"/>
  <c r="G3475"/>
  <c r="F3475"/>
  <c r="C3475"/>
  <c r="K3474"/>
  <c r="J3474"/>
  <c r="G3474"/>
  <c r="F3474"/>
  <c r="C3474"/>
  <c r="K3473"/>
  <c r="J3473"/>
  <c r="G3473"/>
  <c r="F3473"/>
  <c r="C3473"/>
  <c r="K3472"/>
  <c r="J3472"/>
  <c r="G3472"/>
  <c r="F3472"/>
  <c r="C3472"/>
  <c r="K3471"/>
  <c r="J3471"/>
  <c r="G3471"/>
  <c r="F3471"/>
  <c r="C3471"/>
  <c r="K3470"/>
  <c r="J3470"/>
  <c r="G3470"/>
  <c r="F3470"/>
  <c r="C3470"/>
  <c r="K3469"/>
  <c r="J3469"/>
  <c r="G3469"/>
  <c r="F3469"/>
  <c r="C3469"/>
  <c r="K3468"/>
  <c r="J3468"/>
  <c r="G3468"/>
  <c r="F3468"/>
  <c r="C3468"/>
  <c r="K3467"/>
  <c r="J3467"/>
  <c r="G3467"/>
  <c r="F3467"/>
  <c r="C3467"/>
  <c r="K3466"/>
  <c r="J3466"/>
  <c r="G3466"/>
  <c r="F3466"/>
  <c r="C3466"/>
  <c r="K3465"/>
  <c r="G3465"/>
  <c r="F3465"/>
  <c r="C3465"/>
  <c r="K3464"/>
  <c r="G3464"/>
  <c r="F3464"/>
  <c r="C3464"/>
  <c r="K3463"/>
  <c r="J3463"/>
  <c r="G3463"/>
  <c r="F3463"/>
  <c r="C3463"/>
  <c r="K3462"/>
  <c r="J3462"/>
  <c r="G3462"/>
  <c r="F3462"/>
  <c r="C3462"/>
  <c r="K3461"/>
  <c r="J3461"/>
  <c r="G3461"/>
  <c r="F3461"/>
  <c r="C3461"/>
  <c r="K3460"/>
  <c r="J3460"/>
  <c r="G3460"/>
  <c r="F3460"/>
  <c r="C3460"/>
  <c r="K3459"/>
  <c r="J3459"/>
  <c r="G3459"/>
  <c r="F3459"/>
  <c r="C3459"/>
  <c r="K3458"/>
  <c r="J3458"/>
  <c r="G3458"/>
  <c r="F3458"/>
  <c r="C3458"/>
  <c r="K3457"/>
  <c r="J3457"/>
  <c r="G3457"/>
  <c r="F3457"/>
  <c r="C3457"/>
  <c r="K3456"/>
  <c r="J3456"/>
  <c r="G3456"/>
  <c r="F3456"/>
  <c r="C3456"/>
  <c r="K3455"/>
  <c r="J3455"/>
  <c r="G3455"/>
  <c r="F3455"/>
  <c r="C3455"/>
  <c r="K3454"/>
  <c r="J3454"/>
  <c r="G3454"/>
  <c r="F3454"/>
  <c r="C3454"/>
  <c r="K3453"/>
  <c r="J3453"/>
  <c r="G3453"/>
  <c r="F3453"/>
  <c r="C3453"/>
  <c r="K3452"/>
  <c r="J3452"/>
  <c r="G3452"/>
  <c r="F3452"/>
  <c r="C3452"/>
  <c r="K3451"/>
  <c r="J3451"/>
  <c r="G3451"/>
  <c r="F3451"/>
  <c r="C3451"/>
  <c r="K3450"/>
  <c r="J3450"/>
  <c r="G3450"/>
  <c r="F3450"/>
  <c r="C3450"/>
  <c r="K3449"/>
  <c r="J3449"/>
  <c r="G3449"/>
  <c r="F3449"/>
  <c r="C3449"/>
  <c r="K3448"/>
  <c r="J3448"/>
  <c r="G3448"/>
  <c r="F3448"/>
  <c r="C3448"/>
  <c r="K3447"/>
  <c r="J3447"/>
  <c r="G3447"/>
  <c r="F3447"/>
  <c r="C3447"/>
  <c r="K3446"/>
  <c r="J3446"/>
  <c r="G3446"/>
  <c r="F3446"/>
  <c r="C3446"/>
  <c r="K3445"/>
  <c r="J3445"/>
  <c r="G3445"/>
  <c r="F3445"/>
  <c r="C3445"/>
  <c r="K3444"/>
  <c r="J3444"/>
  <c r="G3444"/>
  <c r="F3444"/>
  <c r="C3444"/>
  <c r="K3443"/>
  <c r="J3443"/>
  <c r="G3443"/>
  <c r="F3443"/>
  <c r="C3443"/>
  <c r="K3442"/>
  <c r="J3442"/>
  <c r="G3442"/>
  <c r="F3442"/>
  <c r="C3442"/>
  <c r="K3441"/>
  <c r="J3441"/>
  <c r="G3441"/>
  <c r="F3441"/>
  <c r="C3441"/>
  <c r="K3440"/>
  <c r="J3440"/>
  <c r="G3440"/>
  <c r="F3440"/>
  <c r="C3440"/>
  <c r="K3439"/>
  <c r="J3439"/>
  <c r="G3439"/>
  <c r="F3439"/>
  <c r="C3439"/>
  <c r="K3438"/>
  <c r="J3438"/>
  <c r="G3438"/>
  <c r="F3438"/>
  <c r="C3438"/>
  <c r="K3437"/>
  <c r="J3437"/>
  <c r="G3437"/>
  <c r="F3437"/>
  <c r="C3437"/>
  <c r="K3436"/>
  <c r="G3436"/>
  <c r="F3436"/>
  <c r="C3436"/>
  <c r="K3435"/>
  <c r="J3435"/>
  <c r="G3435"/>
  <c r="F3435"/>
  <c r="C3435"/>
  <c r="K3434"/>
  <c r="G3434"/>
  <c r="F3434"/>
  <c r="C3434"/>
  <c r="K3433"/>
  <c r="J3433"/>
  <c r="G3433"/>
  <c r="F3433"/>
  <c r="C3433"/>
  <c r="K3432"/>
  <c r="J3432"/>
  <c r="G3432"/>
  <c r="F3432"/>
  <c r="C3432"/>
  <c r="K3431"/>
  <c r="J3431"/>
  <c r="G3431"/>
  <c r="F3431"/>
  <c r="C3431"/>
  <c r="K3430"/>
  <c r="J3430"/>
  <c r="G3430"/>
  <c r="F3430"/>
  <c r="C3430"/>
  <c r="K3429"/>
  <c r="J3429"/>
  <c r="G3429"/>
  <c r="F3429"/>
  <c r="C3429"/>
  <c r="K3428"/>
  <c r="J3428"/>
  <c r="G3428"/>
  <c r="F3428"/>
  <c r="C3428"/>
  <c r="K3427"/>
  <c r="J3427"/>
  <c r="G3427"/>
  <c r="F3427"/>
  <c r="C3427"/>
  <c r="K3426"/>
  <c r="J3426"/>
  <c r="G3426"/>
  <c r="F3426"/>
  <c r="C3426"/>
  <c r="K3425"/>
  <c r="J3425"/>
  <c r="G3425"/>
  <c r="F3425"/>
  <c r="C3425"/>
  <c r="K3424"/>
  <c r="J3424"/>
  <c r="G3424"/>
  <c r="F3424"/>
  <c r="C3424"/>
  <c r="K3423"/>
  <c r="J3423"/>
  <c r="G3423"/>
  <c r="F3423"/>
  <c r="C3423"/>
  <c r="K3422"/>
  <c r="J3422"/>
  <c r="G3422"/>
  <c r="F3422"/>
  <c r="C3422"/>
  <c r="K3421"/>
  <c r="J3421"/>
  <c r="G3421"/>
  <c r="F3421"/>
  <c r="C3421"/>
  <c r="K3420"/>
  <c r="J3420"/>
  <c r="G3420"/>
  <c r="F3420"/>
  <c r="C3420"/>
  <c r="K3419"/>
  <c r="J3419"/>
  <c r="G3419"/>
  <c r="F3419"/>
  <c r="C3419"/>
  <c r="K3418"/>
  <c r="J3418"/>
  <c r="G3418"/>
  <c r="F3418"/>
  <c r="C3418"/>
  <c r="K3417"/>
  <c r="J3417"/>
  <c r="G3417"/>
  <c r="F3417"/>
  <c r="C3417"/>
  <c r="K3416"/>
  <c r="J3416"/>
  <c r="G3416"/>
  <c r="F3416"/>
  <c r="C3416"/>
  <c r="K3415"/>
  <c r="J3415"/>
  <c r="G3415"/>
  <c r="F3415"/>
  <c r="C3415"/>
  <c r="K3414"/>
  <c r="J3414"/>
  <c r="G3414"/>
  <c r="F3414"/>
  <c r="C3414"/>
  <c r="K3413"/>
  <c r="J3413"/>
  <c r="G3413"/>
  <c r="F3413"/>
  <c r="C3413"/>
  <c r="K3412"/>
  <c r="J3412"/>
  <c r="G3412"/>
  <c r="F3412"/>
  <c r="C3412"/>
  <c r="K3411"/>
  <c r="J3411"/>
  <c r="G3411"/>
  <c r="F3411"/>
  <c r="C3411"/>
  <c r="K3410"/>
  <c r="J3410"/>
  <c r="G3410"/>
  <c r="F3410"/>
  <c r="C3410"/>
  <c r="K3409"/>
  <c r="J3409"/>
  <c r="G3409"/>
  <c r="F3409"/>
  <c r="C3409"/>
  <c r="K3408"/>
  <c r="J3408"/>
  <c r="G3408"/>
  <c r="F3408"/>
  <c r="C3408"/>
  <c r="K3407"/>
  <c r="J3407"/>
  <c r="G3407"/>
  <c r="F3407"/>
  <c r="C3407"/>
  <c r="K3406"/>
  <c r="J3406"/>
  <c r="G3406"/>
  <c r="F3406"/>
  <c r="C3406"/>
  <c r="K3405"/>
  <c r="J3405"/>
  <c r="G3405"/>
  <c r="F3405"/>
  <c r="C3405"/>
  <c r="K3404"/>
  <c r="G3404"/>
  <c r="F3404"/>
  <c r="C3404"/>
  <c r="K3403"/>
  <c r="J3403"/>
  <c r="G3403"/>
  <c r="F3403"/>
  <c r="C3403"/>
  <c r="K3402"/>
  <c r="J3402"/>
  <c r="G3402"/>
  <c r="F3402"/>
  <c r="C3402"/>
  <c r="K3401"/>
  <c r="J3401"/>
  <c r="G3401"/>
  <c r="F3401"/>
  <c r="C3401"/>
  <c r="K3400"/>
  <c r="J3400"/>
  <c r="G3400"/>
  <c r="F3400"/>
  <c r="C3400"/>
  <c r="K3399"/>
  <c r="J3399"/>
  <c r="G3399"/>
  <c r="F3399"/>
  <c r="C3399"/>
  <c r="K3398"/>
  <c r="G3398"/>
  <c r="F3398"/>
  <c r="C3398"/>
  <c r="K3397"/>
  <c r="J3397"/>
  <c r="G3397"/>
  <c r="F3397"/>
  <c r="C3397"/>
  <c r="K3396"/>
  <c r="J3396"/>
  <c r="G3396"/>
  <c r="F3396"/>
  <c r="C3396"/>
  <c r="K3395"/>
  <c r="J3395"/>
  <c r="G3395"/>
  <c r="F3395"/>
  <c r="C3395"/>
  <c r="K3394"/>
  <c r="J3394"/>
  <c r="G3394"/>
  <c r="F3394"/>
  <c r="C3394"/>
  <c r="K3393"/>
  <c r="J3393"/>
  <c r="G3393"/>
  <c r="F3393"/>
  <c r="C3393"/>
  <c r="K3392"/>
  <c r="J3392"/>
  <c r="G3392"/>
  <c r="F3392"/>
  <c r="C3392"/>
  <c r="K3391"/>
  <c r="J3391"/>
  <c r="G3391"/>
  <c r="F3391"/>
  <c r="C3391"/>
  <c r="K3390"/>
  <c r="J3390"/>
  <c r="G3390"/>
  <c r="F3390"/>
  <c r="C3390"/>
  <c r="K3389"/>
  <c r="J3389"/>
  <c r="G3389"/>
  <c r="F3389"/>
  <c r="C3389"/>
  <c r="K3388"/>
  <c r="J3388"/>
  <c r="G3388"/>
  <c r="F3388"/>
  <c r="C3388"/>
  <c r="K3387"/>
  <c r="J3387"/>
  <c r="G3387"/>
  <c r="F3387"/>
  <c r="C3387"/>
  <c r="K3386"/>
  <c r="J3386"/>
  <c r="G3386"/>
  <c r="F3386"/>
  <c r="C3386"/>
  <c r="K3385"/>
  <c r="J3385"/>
  <c r="G3385"/>
  <c r="F3385"/>
  <c r="C3385"/>
  <c r="K3384"/>
  <c r="J3384"/>
  <c r="G3384"/>
  <c r="F3384"/>
  <c r="C3384"/>
  <c r="K3383"/>
  <c r="J3383"/>
  <c r="G3383"/>
  <c r="F3383"/>
  <c r="C3383"/>
  <c r="K3382"/>
  <c r="J3382"/>
  <c r="G3382"/>
  <c r="F3382"/>
  <c r="C3382"/>
  <c r="K3381"/>
  <c r="J3381"/>
  <c r="G3381"/>
  <c r="F3381"/>
  <c r="C3381"/>
  <c r="K3380"/>
  <c r="J3380"/>
  <c r="G3380"/>
  <c r="F3380"/>
  <c r="C3380"/>
  <c r="K3379"/>
  <c r="J3379"/>
  <c r="G3379"/>
  <c r="F3379"/>
  <c r="C3379"/>
  <c r="K3378"/>
  <c r="J3378"/>
  <c r="G3378"/>
  <c r="F3378"/>
  <c r="C3378"/>
  <c r="K3377"/>
  <c r="J3377"/>
  <c r="G3377"/>
  <c r="F3377"/>
  <c r="C3377"/>
  <c r="K3376"/>
  <c r="J3376"/>
  <c r="G3376"/>
  <c r="F3376"/>
  <c r="C3376"/>
  <c r="K3375"/>
  <c r="J3375"/>
  <c r="G3375"/>
  <c r="F3375"/>
  <c r="C3375"/>
  <c r="K3374"/>
  <c r="J3374"/>
  <c r="G3374"/>
  <c r="F3374"/>
  <c r="C3374"/>
  <c r="K3373"/>
  <c r="J3373"/>
  <c r="G3373"/>
  <c r="F3373"/>
  <c r="C3373"/>
  <c r="K3372"/>
  <c r="J3372"/>
  <c r="G3372"/>
  <c r="F3372"/>
  <c r="C3372"/>
  <c r="K3371"/>
  <c r="J3371"/>
  <c r="G3371"/>
  <c r="F3371"/>
  <c r="C3371"/>
  <c r="K3370"/>
  <c r="J3370"/>
  <c r="G3370"/>
  <c r="F3370"/>
  <c r="C3370"/>
  <c r="K3369"/>
  <c r="J3369"/>
  <c r="G3369"/>
  <c r="F3369"/>
  <c r="C3369"/>
  <c r="K3368"/>
  <c r="J3368"/>
  <c r="G3368"/>
  <c r="F3368"/>
  <c r="C3368"/>
  <c r="K3367"/>
  <c r="J3367"/>
  <c r="G3367"/>
  <c r="F3367"/>
  <c r="C3367"/>
  <c r="K3366"/>
  <c r="J3366"/>
  <c r="G3366"/>
  <c r="F3366"/>
  <c r="C3366"/>
  <c r="K3365"/>
  <c r="J3365"/>
  <c r="G3365"/>
  <c r="F3365"/>
  <c r="C3365"/>
  <c r="K3364"/>
  <c r="J3364"/>
  <c r="G3364"/>
  <c r="F3364"/>
  <c r="C3364"/>
  <c r="K3363"/>
  <c r="J3363"/>
  <c r="G3363"/>
  <c r="F3363"/>
  <c r="C3363"/>
  <c r="K3362"/>
  <c r="J3362"/>
  <c r="G3362"/>
  <c r="F3362"/>
  <c r="C3362"/>
  <c r="K3361"/>
  <c r="J3361"/>
  <c r="G3361"/>
  <c r="F3361"/>
  <c r="C3361"/>
  <c r="K3360"/>
  <c r="J3360"/>
  <c r="G3360"/>
  <c r="F3360"/>
  <c r="C3360"/>
  <c r="K3359"/>
  <c r="J3359"/>
  <c r="G3359"/>
  <c r="F3359"/>
  <c r="C3359"/>
  <c r="K3358"/>
  <c r="J3358"/>
  <c r="G3358"/>
  <c r="F3358"/>
  <c r="C3358"/>
  <c r="K3357"/>
  <c r="J3357"/>
  <c r="G3357"/>
  <c r="F3357"/>
  <c r="C3357"/>
  <c r="K3356"/>
  <c r="J3356"/>
  <c r="G3356"/>
  <c r="F3356"/>
  <c r="C3356"/>
  <c r="K3355"/>
  <c r="J3355"/>
  <c r="G3355"/>
  <c r="F3355"/>
  <c r="C3355"/>
  <c r="K3354"/>
  <c r="J3354"/>
  <c r="G3354"/>
  <c r="F3354"/>
  <c r="C3354"/>
  <c r="K3353"/>
  <c r="J3353"/>
  <c r="G3353"/>
  <c r="F3353"/>
  <c r="C3353"/>
  <c r="K3352"/>
  <c r="J3352"/>
  <c r="G3352"/>
  <c r="F3352"/>
  <c r="C3352"/>
  <c r="K3351"/>
  <c r="J3351"/>
  <c r="G3351"/>
  <c r="F3351"/>
  <c r="C3351"/>
  <c r="K3350"/>
  <c r="J3350"/>
  <c r="G3350"/>
  <c r="F3350"/>
  <c r="C3350"/>
  <c r="K3349"/>
  <c r="J3349"/>
  <c r="G3349"/>
  <c r="F3349"/>
  <c r="C3349"/>
  <c r="K3348"/>
  <c r="J3348"/>
  <c r="G3348"/>
  <c r="F3348"/>
  <c r="C3348"/>
  <c r="K3347"/>
  <c r="J3347"/>
  <c r="G3347"/>
  <c r="F3347"/>
  <c r="C3347"/>
  <c r="K3346"/>
  <c r="J3346"/>
  <c r="G3346"/>
  <c r="F3346"/>
  <c r="C3346"/>
  <c r="K3345"/>
  <c r="J3345"/>
  <c r="G3345"/>
  <c r="F3345"/>
  <c r="C3345"/>
  <c r="K3344"/>
  <c r="J3344"/>
  <c r="G3344"/>
  <c r="F3344"/>
  <c r="C3344"/>
  <c r="K3343"/>
  <c r="J3343"/>
  <c r="G3343"/>
  <c r="F3343"/>
  <c r="C3343"/>
  <c r="K3342"/>
  <c r="J3342"/>
  <c r="G3342"/>
  <c r="F3342"/>
  <c r="C3342"/>
  <c r="K3341"/>
  <c r="J3341"/>
  <c r="G3341"/>
  <c r="F3341"/>
  <c r="C3341"/>
  <c r="K3340"/>
  <c r="J3340"/>
  <c r="G3340"/>
  <c r="F3340"/>
  <c r="C3340"/>
  <c r="K3339"/>
  <c r="J3339"/>
  <c r="G3339"/>
  <c r="F3339"/>
  <c r="C3339"/>
  <c r="K3338"/>
  <c r="J3338"/>
  <c r="G3338"/>
  <c r="F3338"/>
  <c r="C3338"/>
  <c r="K3337"/>
  <c r="J3337"/>
  <c r="G3337"/>
  <c r="F3337"/>
  <c r="C3337"/>
  <c r="K3336"/>
  <c r="J3336"/>
  <c r="G3336"/>
  <c r="F3336"/>
  <c r="C3336"/>
  <c r="K3335"/>
  <c r="J3335"/>
  <c r="G3335"/>
  <c r="F3335"/>
  <c r="C3335"/>
  <c r="K3334"/>
  <c r="J3334"/>
  <c r="G3334"/>
  <c r="F3334"/>
  <c r="C3334"/>
  <c r="K3333"/>
  <c r="J3333"/>
  <c r="G3333"/>
  <c r="F3333"/>
  <c r="C3333"/>
  <c r="K3332"/>
  <c r="J3332"/>
  <c r="G3332"/>
  <c r="F3332"/>
  <c r="C3332"/>
  <c r="K3331"/>
  <c r="J3331"/>
  <c r="G3331"/>
  <c r="F3331"/>
  <c r="C3331"/>
  <c r="K3330"/>
  <c r="J3330"/>
  <c r="G3330"/>
  <c r="F3330"/>
  <c r="C3330"/>
  <c r="K3329"/>
  <c r="J3329"/>
  <c r="G3329"/>
  <c r="F3329"/>
  <c r="C3329"/>
  <c r="K3328"/>
  <c r="J3328"/>
  <c r="G3328"/>
  <c r="F3328"/>
  <c r="C3328"/>
  <c r="K3327"/>
  <c r="J3327"/>
  <c r="G3327"/>
  <c r="F3327"/>
  <c r="C3327"/>
  <c r="K3326"/>
  <c r="J3326"/>
  <c r="G3326"/>
  <c r="F3326"/>
  <c r="C3326"/>
  <c r="K3325"/>
  <c r="J3325"/>
  <c r="G3325"/>
  <c r="F3325"/>
  <c r="C3325"/>
  <c r="K3324"/>
  <c r="J3324"/>
  <c r="G3324"/>
  <c r="F3324"/>
  <c r="C3324"/>
  <c r="K3323"/>
  <c r="J3323"/>
  <c r="G3323"/>
  <c r="F3323"/>
  <c r="C3323"/>
  <c r="K3322"/>
  <c r="J3322"/>
  <c r="G3322"/>
  <c r="F3322"/>
  <c r="C3322"/>
  <c r="K3321"/>
  <c r="J3321"/>
  <c r="G3321"/>
  <c r="F3321"/>
  <c r="C3321"/>
  <c r="K3320"/>
  <c r="J3320"/>
  <c r="G3320"/>
  <c r="F3320"/>
  <c r="C3320"/>
  <c r="K3319"/>
  <c r="J3319"/>
  <c r="G3319"/>
  <c r="F3319"/>
  <c r="C3319"/>
  <c r="K3318"/>
  <c r="J3318"/>
  <c r="G3318"/>
  <c r="F3318"/>
  <c r="C3318"/>
  <c r="K3317"/>
  <c r="J3317"/>
  <c r="G3317"/>
  <c r="F3317"/>
  <c r="C3317"/>
  <c r="K3316"/>
  <c r="J3316"/>
  <c r="G3316"/>
  <c r="F3316"/>
  <c r="C3316"/>
  <c r="K3315"/>
  <c r="J3315"/>
  <c r="G3315"/>
  <c r="F3315"/>
  <c r="C3315"/>
  <c r="K3314"/>
  <c r="J3314"/>
  <c r="G3314"/>
  <c r="F3314"/>
  <c r="C3314"/>
  <c r="K3313"/>
  <c r="J3313"/>
  <c r="G3313"/>
  <c r="F3313"/>
  <c r="C3313"/>
  <c r="K3312"/>
  <c r="J3312"/>
  <c r="G3312"/>
  <c r="F3312"/>
  <c r="C3312"/>
  <c r="K3311"/>
  <c r="J3311"/>
  <c r="G3311"/>
  <c r="F3311"/>
  <c r="C3311"/>
  <c r="K3310"/>
  <c r="J3310"/>
  <c r="G3310"/>
  <c r="F3310"/>
  <c r="C3310"/>
  <c r="K3309"/>
  <c r="J3309"/>
  <c r="G3309"/>
  <c r="F3309"/>
  <c r="C3309"/>
  <c r="K3308"/>
  <c r="J3308"/>
  <c r="G3308"/>
  <c r="F3308"/>
  <c r="C3308"/>
  <c r="K3307"/>
  <c r="J3307"/>
  <c r="G3307"/>
  <c r="F3307"/>
  <c r="C3307"/>
  <c r="K3306"/>
  <c r="J3306"/>
  <c r="G3306"/>
  <c r="F3306"/>
  <c r="C3306"/>
  <c r="K3305"/>
  <c r="J3305"/>
  <c r="G3305"/>
  <c r="F3305"/>
  <c r="C3305"/>
  <c r="K3304"/>
  <c r="J3304"/>
  <c r="G3304"/>
  <c r="F3304"/>
  <c r="C3304"/>
  <c r="K3303"/>
  <c r="J3303"/>
  <c r="G3303"/>
  <c r="F3303"/>
  <c r="C3303"/>
  <c r="K3302"/>
  <c r="J3302"/>
  <c r="G3302"/>
  <c r="F3302"/>
  <c r="C3302"/>
  <c r="K3301"/>
  <c r="J3301"/>
  <c r="G3301"/>
  <c r="F3301"/>
  <c r="C3301"/>
  <c r="K3300"/>
  <c r="J3300"/>
  <c r="G3300"/>
  <c r="F3300"/>
  <c r="C3300"/>
  <c r="K3299"/>
  <c r="J3299"/>
  <c r="G3299"/>
  <c r="F3299"/>
  <c r="C3299"/>
  <c r="K3298"/>
  <c r="J3298"/>
  <c r="G3298"/>
  <c r="F3298"/>
  <c r="C3298"/>
  <c r="K3297"/>
  <c r="J3297"/>
  <c r="G3297"/>
  <c r="F3297"/>
  <c r="C3297"/>
  <c r="K3296"/>
  <c r="J3296"/>
  <c r="G3296"/>
  <c r="F3296"/>
  <c r="C3296"/>
  <c r="K3295"/>
  <c r="J3295"/>
  <c r="G3295"/>
  <c r="F3295"/>
  <c r="C3295"/>
  <c r="K3294"/>
  <c r="J3294"/>
  <c r="G3294"/>
  <c r="F3294"/>
  <c r="C3294"/>
  <c r="K3293"/>
  <c r="J3293"/>
  <c r="G3293"/>
  <c r="F3293"/>
  <c r="C3293"/>
  <c r="K3292"/>
  <c r="J3292"/>
  <c r="G3292"/>
  <c r="F3292"/>
  <c r="C3292"/>
  <c r="K3291"/>
  <c r="J3291"/>
  <c r="G3291"/>
  <c r="F3291"/>
  <c r="C3291"/>
  <c r="K3290"/>
  <c r="J3290"/>
  <c r="G3290"/>
  <c r="F3290"/>
  <c r="C3290"/>
  <c r="K3289"/>
  <c r="J3289"/>
  <c r="G3289"/>
  <c r="F3289"/>
  <c r="C3289"/>
  <c r="K3288"/>
  <c r="J3288"/>
  <c r="G3288"/>
  <c r="F3288"/>
  <c r="C3288"/>
  <c r="K3287"/>
  <c r="J3287"/>
  <c r="G3287"/>
  <c r="F3287"/>
  <c r="C3287"/>
  <c r="K3286"/>
  <c r="J3286"/>
  <c r="G3286"/>
  <c r="F3286"/>
  <c r="C3286"/>
  <c r="K3285"/>
  <c r="J3285"/>
  <c r="G3285"/>
  <c r="F3285"/>
  <c r="C3285"/>
  <c r="K3284"/>
  <c r="J3284"/>
  <c r="G3284"/>
  <c r="F3284"/>
  <c r="C3284"/>
  <c r="K3283"/>
  <c r="J3283"/>
  <c r="G3283"/>
  <c r="F3283"/>
  <c r="C3283"/>
  <c r="K3282"/>
  <c r="J3282"/>
  <c r="G3282"/>
  <c r="F3282"/>
  <c r="C3282"/>
  <c r="K3281"/>
  <c r="J3281"/>
  <c r="G3281"/>
  <c r="F3281"/>
  <c r="C3281"/>
  <c r="K3280"/>
  <c r="J3280"/>
  <c r="G3280"/>
  <c r="F3280"/>
  <c r="C3280"/>
  <c r="K3279"/>
  <c r="J3279"/>
  <c r="G3279"/>
  <c r="F3279"/>
  <c r="C3279"/>
  <c r="K3278"/>
  <c r="J3278"/>
  <c r="G3278"/>
  <c r="F3278"/>
  <c r="C3278"/>
  <c r="K3277"/>
  <c r="J3277"/>
  <c r="G3277"/>
  <c r="F3277"/>
  <c r="C3277"/>
  <c r="K3276"/>
  <c r="J3276"/>
  <c r="G3276"/>
  <c r="F3276"/>
  <c r="C3276"/>
  <c r="K3275"/>
  <c r="J3275"/>
  <c r="G3275"/>
  <c r="F3275"/>
  <c r="C3275"/>
  <c r="K3274"/>
  <c r="J3274"/>
  <c r="G3274"/>
  <c r="F3274"/>
  <c r="C3274"/>
  <c r="K3273"/>
  <c r="J3273"/>
  <c r="G3273"/>
  <c r="F3273"/>
  <c r="C3273"/>
  <c r="K3272"/>
  <c r="J3272"/>
  <c r="G3272"/>
  <c r="F3272"/>
  <c r="C3272"/>
  <c r="K3271"/>
  <c r="J3271"/>
  <c r="G3271"/>
  <c r="F3271"/>
  <c r="C3271"/>
  <c r="K3270"/>
  <c r="J3270"/>
  <c r="G3270"/>
  <c r="F3270"/>
  <c r="C3270"/>
  <c r="K3269"/>
  <c r="J3269"/>
  <c r="G3269"/>
  <c r="F3269"/>
  <c r="C3269"/>
  <c r="K3268"/>
  <c r="J3268"/>
  <c r="G3268"/>
  <c r="F3268"/>
  <c r="C3268"/>
  <c r="K3267"/>
  <c r="J3267"/>
  <c r="G3267"/>
  <c r="F3267"/>
  <c r="C3267"/>
  <c r="K3266"/>
  <c r="J3266"/>
  <c r="G3266"/>
  <c r="F3266"/>
  <c r="C3266"/>
  <c r="K3265"/>
  <c r="J3265"/>
  <c r="G3265"/>
  <c r="F3265"/>
  <c r="C3265"/>
  <c r="K3264"/>
  <c r="J3264"/>
  <c r="G3264"/>
  <c r="F3264"/>
  <c r="C3264"/>
  <c r="K3263"/>
  <c r="J3263"/>
  <c r="G3263"/>
  <c r="F3263"/>
  <c r="C3263"/>
  <c r="K3262"/>
  <c r="J3262"/>
  <c r="G3262"/>
  <c r="F3262"/>
  <c r="C3262"/>
  <c r="K3261"/>
  <c r="J3261"/>
  <c r="G3261"/>
  <c r="F3261"/>
  <c r="C3261"/>
  <c r="K3260"/>
  <c r="J3260"/>
  <c r="G3260"/>
  <c r="F3260"/>
  <c r="C3260"/>
  <c r="K3259"/>
  <c r="J3259"/>
  <c r="G3259"/>
  <c r="F3259"/>
  <c r="C3259"/>
  <c r="K3258"/>
  <c r="J3258"/>
  <c r="G3258"/>
  <c r="F3258"/>
  <c r="C3258"/>
  <c r="K3257"/>
  <c r="J3257"/>
  <c r="G3257"/>
  <c r="F3257"/>
  <c r="C3257"/>
  <c r="K3256"/>
  <c r="J3256"/>
  <c r="G3256"/>
  <c r="F3256"/>
  <c r="C3256"/>
  <c r="K3255"/>
  <c r="J3255"/>
  <c r="G3255"/>
  <c r="F3255"/>
  <c r="C3255"/>
  <c r="K3254"/>
  <c r="J3254"/>
  <c r="G3254"/>
  <c r="F3254"/>
  <c r="C3254"/>
  <c r="K3253"/>
  <c r="J3253"/>
  <c r="G3253"/>
  <c r="F3253"/>
  <c r="C3253"/>
  <c r="K3252"/>
  <c r="J3252"/>
  <c r="G3252"/>
  <c r="F3252"/>
  <c r="C3252"/>
  <c r="K3251"/>
  <c r="J3251"/>
  <c r="G3251"/>
  <c r="F3251"/>
  <c r="C3251"/>
  <c r="K3250"/>
  <c r="G3250"/>
  <c r="F3250"/>
  <c r="C3250"/>
  <c r="K3249"/>
  <c r="J3249"/>
  <c r="G3249"/>
  <c r="F3249"/>
  <c r="C3249"/>
  <c r="K3248"/>
  <c r="J3248"/>
  <c r="G3248"/>
  <c r="F3248"/>
  <c r="C3248"/>
  <c r="K3247"/>
  <c r="J3247"/>
  <c r="G3247"/>
  <c r="F3247"/>
  <c r="C3247"/>
  <c r="K3246"/>
  <c r="J3246"/>
  <c r="G3246"/>
  <c r="F3246"/>
  <c r="C3246"/>
  <c r="K3245"/>
  <c r="J3245"/>
  <c r="G3245"/>
  <c r="F3245"/>
  <c r="C3245"/>
  <c r="K3244"/>
  <c r="J3244"/>
  <c r="G3244"/>
  <c r="F3244"/>
  <c r="C3244"/>
  <c r="K3243"/>
  <c r="J3243"/>
  <c r="G3243"/>
  <c r="F3243"/>
  <c r="C3243"/>
  <c r="K3242"/>
  <c r="J3242"/>
  <c r="G3242"/>
  <c r="F3242"/>
  <c r="C3242"/>
  <c r="K3241"/>
  <c r="J3241"/>
  <c r="G3241"/>
  <c r="F3241"/>
  <c r="C3241"/>
  <c r="K3240"/>
  <c r="J3240"/>
  <c r="G3240"/>
  <c r="F3240"/>
  <c r="C3240"/>
  <c r="K3239"/>
  <c r="J3239"/>
  <c r="G3239"/>
  <c r="F3239"/>
  <c r="C3239"/>
  <c r="K3238"/>
  <c r="J3238"/>
  <c r="G3238"/>
  <c r="F3238"/>
  <c r="C3238"/>
  <c r="K3237"/>
  <c r="J3237"/>
  <c r="G3237"/>
  <c r="F3237"/>
  <c r="C3237"/>
  <c r="K3236"/>
  <c r="J3236"/>
  <c r="G3236"/>
  <c r="F3236"/>
  <c r="C3236"/>
  <c r="K3235"/>
  <c r="J3235"/>
  <c r="G3235"/>
  <c r="F3235"/>
  <c r="C3235"/>
  <c r="K3234"/>
  <c r="J3234"/>
  <c r="G3234"/>
  <c r="F3234"/>
  <c r="C3234"/>
  <c r="K3233"/>
  <c r="J3233"/>
  <c r="G3233"/>
  <c r="F3233"/>
  <c r="C3233"/>
  <c r="K3232"/>
  <c r="J3232"/>
  <c r="G3232"/>
  <c r="F3232"/>
  <c r="C3232"/>
  <c r="K3231"/>
  <c r="J3231"/>
  <c r="G3231"/>
  <c r="F3231"/>
  <c r="C3231"/>
  <c r="K3230"/>
  <c r="J3230"/>
  <c r="G3230"/>
  <c r="F3230"/>
  <c r="C3230"/>
  <c r="K3229"/>
  <c r="J3229"/>
  <c r="G3229"/>
  <c r="F3229"/>
  <c r="C3229"/>
  <c r="K3228"/>
  <c r="J3228"/>
  <c r="G3228"/>
  <c r="F3228"/>
  <c r="C3228"/>
  <c r="K3227"/>
  <c r="J3227"/>
  <c r="G3227"/>
  <c r="F3227"/>
  <c r="C3227"/>
  <c r="K3226"/>
  <c r="J3226"/>
  <c r="G3226"/>
  <c r="F3226"/>
  <c r="C3226"/>
  <c r="K3225"/>
  <c r="J3225"/>
  <c r="G3225"/>
  <c r="F3225"/>
  <c r="C3225"/>
  <c r="K3224"/>
  <c r="J3224"/>
  <c r="G3224"/>
  <c r="F3224"/>
  <c r="C3224"/>
  <c r="K3223"/>
  <c r="J3223"/>
  <c r="G3223"/>
  <c r="F3223"/>
  <c r="C3223"/>
  <c r="K3222"/>
  <c r="J3222"/>
  <c r="G3222"/>
  <c r="F3222"/>
  <c r="C3222"/>
  <c r="K3221"/>
  <c r="J3221"/>
  <c r="G3221"/>
  <c r="F3221"/>
  <c r="C3221"/>
  <c r="K3220"/>
  <c r="J3220"/>
  <c r="G3220"/>
  <c r="F3220"/>
  <c r="C3220"/>
  <c r="K3219"/>
  <c r="J3219"/>
  <c r="G3219"/>
  <c r="F3219"/>
  <c r="C3219"/>
  <c r="K3218"/>
  <c r="J3218"/>
  <c r="G3218"/>
  <c r="F3218"/>
  <c r="C3218"/>
  <c r="K3217"/>
  <c r="J3217"/>
  <c r="G3217"/>
  <c r="F3217"/>
  <c r="C3217"/>
  <c r="K3216"/>
  <c r="J3216"/>
  <c r="G3216"/>
  <c r="F3216"/>
  <c r="C3216"/>
  <c r="K3215"/>
  <c r="J3215"/>
  <c r="G3215"/>
  <c r="F3215"/>
  <c r="C3215"/>
  <c r="K3214"/>
  <c r="J3214"/>
  <c r="G3214"/>
  <c r="F3214"/>
  <c r="C3214"/>
  <c r="K3213"/>
  <c r="J3213"/>
  <c r="G3213"/>
  <c r="F3213"/>
  <c r="C3213"/>
  <c r="K3212"/>
  <c r="J3212"/>
  <c r="G3212"/>
  <c r="F3212"/>
  <c r="C3212"/>
  <c r="K3211"/>
  <c r="J3211"/>
  <c r="G3211"/>
  <c r="F3211"/>
  <c r="C3211"/>
  <c r="K3210"/>
  <c r="J3210"/>
  <c r="G3210"/>
  <c r="F3210"/>
  <c r="C3210"/>
  <c r="K3209"/>
  <c r="J3209"/>
  <c r="G3209"/>
  <c r="F3209"/>
  <c r="C3209"/>
  <c r="K3208"/>
  <c r="J3208"/>
  <c r="G3208"/>
  <c r="F3208"/>
  <c r="C3208"/>
  <c r="K3207"/>
  <c r="J3207"/>
  <c r="G3207"/>
  <c r="F3207"/>
  <c r="C3207"/>
  <c r="K3206"/>
  <c r="J3206"/>
  <c r="G3206"/>
  <c r="F3206"/>
  <c r="C3206"/>
  <c r="K3205"/>
  <c r="J3205"/>
  <c r="G3205"/>
  <c r="F3205"/>
  <c r="C3205"/>
  <c r="K3204"/>
  <c r="J3204"/>
  <c r="G3204"/>
  <c r="F3204"/>
  <c r="C3204"/>
  <c r="K3203"/>
  <c r="J3203"/>
  <c r="G3203"/>
  <c r="F3203"/>
  <c r="C3203"/>
  <c r="K3202"/>
  <c r="J3202"/>
  <c r="G3202"/>
  <c r="F3202"/>
  <c r="C3202"/>
  <c r="K3201"/>
  <c r="J3201"/>
  <c r="G3201"/>
  <c r="F3201"/>
  <c r="C3201"/>
  <c r="K3200"/>
  <c r="J3200"/>
  <c r="G3200"/>
  <c r="F3200"/>
  <c r="C3200"/>
  <c r="K3199"/>
  <c r="J3199"/>
  <c r="G3199"/>
  <c r="F3199"/>
  <c r="C3199"/>
  <c r="K3198"/>
  <c r="J3198"/>
  <c r="G3198"/>
  <c r="F3198"/>
  <c r="C3198"/>
  <c r="K3197"/>
  <c r="J3197"/>
  <c r="G3197"/>
  <c r="F3197"/>
  <c r="C3197"/>
  <c r="K3196"/>
  <c r="J3196"/>
  <c r="G3196"/>
  <c r="F3196"/>
  <c r="C3196"/>
  <c r="K3195"/>
  <c r="J3195"/>
  <c r="G3195"/>
  <c r="F3195"/>
  <c r="C3195"/>
  <c r="K3194"/>
  <c r="J3194"/>
  <c r="G3194"/>
  <c r="F3194"/>
  <c r="C3194"/>
  <c r="K3193"/>
  <c r="J3193"/>
  <c r="G3193"/>
  <c r="F3193"/>
  <c r="C3193"/>
  <c r="K3192"/>
  <c r="J3192"/>
  <c r="G3192"/>
  <c r="F3192"/>
  <c r="C3192"/>
  <c r="K3191"/>
  <c r="J3191"/>
  <c r="G3191"/>
  <c r="F3191"/>
  <c r="C3191"/>
  <c r="K3190"/>
  <c r="J3190"/>
  <c r="G3190"/>
  <c r="F3190"/>
  <c r="C3190"/>
  <c r="K3189"/>
  <c r="J3189"/>
  <c r="G3189"/>
  <c r="F3189"/>
  <c r="C3189"/>
  <c r="K3188"/>
  <c r="J3188"/>
  <c r="G3188"/>
  <c r="F3188"/>
  <c r="C3188"/>
  <c r="K3187"/>
  <c r="J3187"/>
  <c r="G3187"/>
  <c r="F3187"/>
  <c r="C3187"/>
  <c r="K3186"/>
  <c r="J3186"/>
  <c r="G3186"/>
  <c r="F3186"/>
  <c r="C3186"/>
  <c r="K3185"/>
  <c r="J3185"/>
  <c r="G3185"/>
  <c r="F3185"/>
  <c r="C3185"/>
  <c r="K3184"/>
  <c r="J3184"/>
  <c r="G3184"/>
  <c r="F3184"/>
  <c r="C3184"/>
  <c r="K3183"/>
  <c r="J3183"/>
  <c r="G3183"/>
  <c r="F3183"/>
  <c r="C3183"/>
  <c r="K3182"/>
  <c r="J3182"/>
  <c r="G3182"/>
  <c r="F3182"/>
  <c r="C3182"/>
  <c r="K3181"/>
  <c r="J3181"/>
  <c r="G3181"/>
  <c r="F3181"/>
  <c r="C3181"/>
  <c r="K3180"/>
  <c r="J3180"/>
  <c r="G3180"/>
  <c r="F3180"/>
  <c r="C3180"/>
  <c r="K3179"/>
  <c r="J3179"/>
  <c r="G3179"/>
  <c r="F3179"/>
  <c r="C3179"/>
  <c r="K3178"/>
  <c r="J3178"/>
  <c r="G3178"/>
  <c r="F3178"/>
  <c r="C3178"/>
  <c r="K3177"/>
  <c r="J3177"/>
  <c r="G3177"/>
  <c r="F3177"/>
  <c r="C3177"/>
  <c r="K3176"/>
  <c r="J3176"/>
  <c r="G3176"/>
  <c r="F3176"/>
  <c r="C3176"/>
  <c r="K3175"/>
  <c r="J3175"/>
  <c r="G3175"/>
  <c r="F3175"/>
  <c r="C3175"/>
  <c r="K3174"/>
  <c r="J3174"/>
  <c r="G3174"/>
  <c r="F3174"/>
  <c r="C3174"/>
  <c r="K3173"/>
  <c r="J3173"/>
  <c r="G3173"/>
  <c r="F3173"/>
  <c r="C3173"/>
  <c r="K3172"/>
  <c r="J3172"/>
  <c r="G3172"/>
  <c r="F3172"/>
  <c r="C3172"/>
  <c r="K3171"/>
  <c r="J3171"/>
  <c r="G3171"/>
  <c r="F3171"/>
  <c r="C3171"/>
  <c r="K3170"/>
  <c r="J3170"/>
  <c r="G3170"/>
  <c r="F3170"/>
  <c r="C3170"/>
  <c r="K3169"/>
  <c r="J3169"/>
  <c r="G3169"/>
  <c r="F3169"/>
  <c r="C3169"/>
  <c r="K3168"/>
  <c r="J3168"/>
  <c r="G3168"/>
  <c r="F3168"/>
  <c r="C3168"/>
  <c r="K3167"/>
  <c r="J3167"/>
  <c r="G3167"/>
  <c r="F3167"/>
  <c r="C3167"/>
  <c r="K3166"/>
  <c r="J3166"/>
  <c r="G3166"/>
  <c r="F3166"/>
  <c r="C3166"/>
  <c r="K3165"/>
  <c r="J3165"/>
  <c r="G3165"/>
  <c r="F3165"/>
  <c r="C3165"/>
  <c r="K3164"/>
  <c r="J3164"/>
  <c r="G3164"/>
  <c r="F3164"/>
  <c r="C3164"/>
  <c r="K3163"/>
  <c r="J3163"/>
  <c r="G3163"/>
  <c r="F3163"/>
  <c r="C3163"/>
  <c r="K3162"/>
  <c r="J3162"/>
  <c r="G3162"/>
  <c r="F3162"/>
  <c r="C3162"/>
  <c r="K3161"/>
  <c r="J3161"/>
  <c r="G3161"/>
  <c r="F3161"/>
  <c r="C3161"/>
  <c r="K3160"/>
  <c r="J3160"/>
  <c r="G3160"/>
  <c r="F3160"/>
  <c r="C3160"/>
  <c r="K3159"/>
  <c r="J3159"/>
  <c r="G3159"/>
  <c r="F3159"/>
  <c r="C3159"/>
  <c r="K3158"/>
  <c r="J3158"/>
  <c r="G3158"/>
  <c r="F3158"/>
  <c r="C3158"/>
  <c r="K3157"/>
  <c r="J3157"/>
  <c r="G3157"/>
  <c r="F3157"/>
  <c r="C3157"/>
  <c r="K3156"/>
  <c r="J3156"/>
  <c r="G3156"/>
  <c r="F3156"/>
  <c r="C3156"/>
  <c r="K3155"/>
  <c r="J3155"/>
  <c r="G3155"/>
  <c r="F3155"/>
  <c r="C3155"/>
  <c r="K3154"/>
  <c r="J3154"/>
  <c r="G3154"/>
  <c r="F3154"/>
  <c r="C3154"/>
  <c r="K3153"/>
  <c r="J3153"/>
  <c r="G3153"/>
  <c r="F3153"/>
  <c r="C3153"/>
  <c r="K3152"/>
  <c r="J3152"/>
  <c r="G3152"/>
  <c r="F3152"/>
  <c r="C3152"/>
  <c r="K3151"/>
  <c r="J3151"/>
  <c r="G3151"/>
  <c r="F3151"/>
  <c r="C3151"/>
  <c r="K3150"/>
  <c r="J3150"/>
  <c r="G3150"/>
  <c r="F3150"/>
  <c r="C3150"/>
  <c r="K3149"/>
  <c r="J3149"/>
  <c r="G3149"/>
  <c r="F3149"/>
  <c r="C3149"/>
  <c r="K3148"/>
  <c r="J3148"/>
  <c r="G3148"/>
  <c r="F3148"/>
  <c r="C3148"/>
  <c r="K3147"/>
  <c r="J3147"/>
  <c r="G3147"/>
  <c r="F3147"/>
  <c r="C3147"/>
  <c r="K3146"/>
  <c r="J3146"/>
  <c r="G3146"/>
  <c r="F3146"/>
  <c r="C3146"/>
  <c r="K3145"/>
  <c r="J3145"/>
  <c r="G3145"/>
  <c r="F3145"/>
  <c r="C3145"/>
  <c r="K3144"/>
  <c r="J3144"/>
  <c r="G3144"/>
  <c r="F3144"/>
  <c r="C3144"/>
  <c r="K3143"/>
  <c r="J3143"/>
  <c r="G3143"/>
  <c r="F3143"/>
  <c r="C3143"/>
  <c r="K3142"/>
  <c r="J3142"/>
  <c r="G3142"/>
  <c r="F3142"/>
  <c r="C3142"/>
  <c r="K3141"/>
  <c r="J3141"/>
  <c r="G3141"/>
  <c r="F3141"/>
  <c r="C3141"/>
  <c r="K3140"/>
  <c r="J3140"/>
  <c r="G3140"/>
  <c r="F3140"/>
  <c r="C3140"/>
  <c r="K3139"/>
  <c r="J3139"/>
  <c r="G3139"/>
  <c r="F3139"/>
  <c r="C3139"/>
  <c r="K3138"/>
  <c r="J3138"/>
  <c r="G3138"/>
  <c r="F3138"/>
  <c r="C3138"/>
  <c r="K3137"/>
  <c r="J3137"/>
  <c r="G3137"/>
  <c r="F3137"/>
  <c r="C3137"/>
  <c r="K3136"/>
  <c r="J3136"/>
  <c r="G3136"/>
  <c r="F3136"/>
  <c r="C3136"/>
  <c r="K3135"/>
  <c r="J3135"/>
  <c r="G3135"/>
  <c r="F3135"/>
  <c r="C3135"/>
  <c r="K3134"/>
  <c r="J3134"/>
  <c r="G3134"/>
  <c r="F3134"/>
  <c r="C3134"/>
  <c r="K3133"/>
  <c r="J3133"/>
  <c r="G3133"/>
  <c r="F3133"/>
  <c r="C3133"/>
  <c r="K3132"/>
  <c r="J3132"/>
  <c r="G3132"/>
  <c r="F3132"/>
  <c r="C3132"/>
  <c r="K3131"/>
  <c r="J3131"/>
  <c r="G3131"/>
  <c r="F3131"/>
  <c r="C3131"/>
  <c r="K3130"/>
  <c r="J3130"/>
  <c r="G3130"/>
  <c r="F3130"/>
  <c r="C3130"/>
  <c r="K3129"/>
  <c r="J3129"/>
  <c r="G3129"/>
  <c r="F3129"/>
  <c r="C3129"/>
  <c r="K3128"/>
  <c r="J3128"/>
  <c r="G3128"/>
  <c r="F3128"/>
  <c r="C3128"/>
  <c r="K3127"/>
  <c r="J3127"/>
  <c r="G3127"/>
  <c r="F3127"/>
  <c r="C3127"/>
  <c r="K3126"/>
  <c r="J3126"/>
  <c r="G3126"/>
  <c r="F3126"/>
  <c r="C3126"/>
  <c r="K3125"/>
  <c r="J3125"/>
  <c r="G3125"/>
  <c r="F3125"/>
  <c r="C3125"/>
  <c r="K3124"/>
  <c r="J3124"/>
  <c r="G3124"/>
  <c r="F3124"/>
  <c r="C3124"/>
  <c r="K3123"/>
  <c r="J3123"/>
  <c r="G3123"/>
  <c r="F3123"/>
  <c r="C3123"/>
  <c r="K3122"/>
  <c r="J3122"/>
  <c r="G3122"/>
  <c r="F3122"/>
  <c r="C3122"/>
  <c r="K3121"/>
  <c r="J3121"/>
  <c r="G3121"/>
  <c r="F3121"/>
  <c r="C3121"/>
  <c r="K3120"/>
  <c r="J3120"/>
  <c r="G3120"/>
  <c r="F3120"/>
  <c r="C3120"/>
  <c r="K3119"/>
  <c r="J3119"/>
  <c r="G3119"/>
  <c r="F3119"/>
  <c r="C3119"/>
  <c r="K3118"/>
  <c r="J3118"/>
  <c r="G3118"/>
  <c r="F3118"/>
  <c r="C3118"/>
  <c r="K3117"/>
  <c r="J3117"/>
  <c r="G3117"/>
  <c r="F3117"/>
  <c r="C3117"/>
  <c r="K3116"/>
  <c r="J3116"/>
  <c r="G3116"/>
  <c r="F3116"/>
  <c r="C3116"/>
  <c r="K3115"/>
  <c r="J3115"/>
  <c r="G3115"/>
  <c r="F3115"/>
  <c r="C3115"/>
  <c r="K3114"/>
  <c r="J3114"/>
  <c r="G3114"/>
  <c r="F3114"/>
  <c r="C3114"/>
  <c r="K3113"/>
  <c r="J3113"/>
  <c r="G3113"/>
  <c r="F3113"/>
  <c r="C3113"/>
  <c r="K3112"/>
  <c r="J3112"/>
  <c r="G3112"/>
  <c r="F3112"/>
  <c r="C3112"/>
  <c r="K3111"/>
  <c r="J3111"/>
  <c r="G3111"/>
  <c r="F3111"/>
  <c r="C3111"/>
  <c r="K3110"/>
  <c r="J3110"/>
  <c r="G3110"/>
  <c r="F3110"/>
  <c r="C3110"/>
  <c r="K3109"/>
  <c r="J3109"/>
  <c r="G3109"/>
  <c r="F3109"/>
  <c r="C3109"/>
  <c r="K3108"/>
  <c r="J3108"/>
  <c r="G3108"/>
  <c r="F3108"/>
  <c r="C3108"/>
  <c r="K3107"/>
  <c r="J3107"/>
  <c r="G3107"/>
  <c r="F3107"/>
  <c r="C3107"/>
  <c r="K3106"/>
  <c r="J3106"/>
  <c r="G3106"/>
  <c r="F3106"/>
  <c r="C3106"/>
  <c r="K3105"/>
  <c r="J3105"/>
  <c r="G3105"/>
  <c r="F3105"/>
  <c r="C3105"/>
  <c r="K3104"/>
  <c r="J3104"/>
  <c r="G3104"/>
  <c r="F3104"/>
  <c r="C3104"/>
  <c r="K3103"/>
  <c r="J3103"/>
  <c r="G3103"/>
  <c r="F3103"/>
  <c r="C3103"/>
  <c r="K3102"/>
  <c r="J3102"/>
  <c r="G3102"/>
  <c r="F3102"/>
  <c r="C3102"/>
  <c r="K3101"/>
  <c r="J3101"/>
  <c r="G3101"/>
  <c r="F3101"/>
  <c r="C3101"/>
  <c r="K3100"/>
  <c r="J3100"/>
  <c r="G3100"/>
  <c r="F3100"/>
  <c r="C3100"/>
  <c r="K3099"/>
  <c r="J3099"/>
  <c r="G3099"/>
  <c r="F3099"/>
  <c r="C3099"/>
  <c r="K3098"/>
  <c r="J3098"/>
  <c r="G3098"/>
  <c r="F3098"/>
  <c r="C3098"/>
  <c r="K3097"/>
  <c r="J3097"/>
  <c r="G3097"/>
  <c r="F3097"/>
  <c r="C3097"/>
  <c r="K3096"/>
  <c r="J3096"/>
  <c r="G3096"/>
  <c r="F3096"/>
  <c r="C3096"/>
  <c r="K3095"/>
  <c r="J3095"/>
  <c r="G3095"/>
  <c r="F3095"/>
  <c r="C3095"/>
  <c r="K3094"/>
  <c r="J3094"/>
  <c r="G3094"/>
  <c r="F3094"/>
  <c r="C3094"/>
  <c r="K3093"/>
  <c r="J3093"/>
  <c r="G3093"/>
  <c r="F3093"/>
  <c r="C3093"/>
  <c r="K3092"/>
  <c r="J3092"/>
  <c r="G3092"/>
  <c r="F3092"/>
  <c r="C3092"/>
  <c r="K3091"/>
  <c r="J3091"/>
  <c r="G3091"/>
  <c r="F3091"/>
  <c r="C3091"/>
  <c r="K3090"/>
  <c r="J3090"/>
  <c r="G3090"/>
  <c r="F3090"/>
  <c r="C3090"/>
  <c r="K3089"/>
  <c r="J3089"/>
  <c r="G3089"/>
  <c r="F3089"/>
  <c r="C3089"/>
  <c r="K3088"/>
  <c r="J3088"/>
  <c r="G3088"/>
  <c r="F3088"/>
  <c r="C3088"/>
  <c r="K3087"/>
  <c r="J3087"/>
  <c r="G3087"/>
  <c r="F3087"/>
  <c r="C3087"/>
  <c r="K3086"/>
  <c r="J3086"/>
  <c r="G3086"/>
  <c r="F3086"/>
  <c r="C3086"/>
  <c r="K3085"/>
  <c r="J3085"/>
  <c r="G3085"/>
  <c r="F3085"/>
  <c r="C3085"/>
  <c r="K3084"/>
  <c r="J3084"/>
  <c r="G3084"/>
  <c r="F3084"/>
  <c r="C3084"/>
  <c r="K3083"/>
  <c r="J3083"/>
  <c r="G3083"/>
  <c r="F3083"/>
  <c r="C3083"/>
  <c r="K3082"/>
  <c r="J3082"/>
  <c r="G3082"/>
  <c r="F3082"/>
  <c r="C3082"/>
  <c r="K3081"/>
  <c r="J3081"/>
  <c r="G3081"/>
  <c r="F3081"/>
  <c r="C3081"/>
  <c r="K3080"/>
  <c r="J3080"/>
  <c r="G3080"/>
  <c r="F3080"/>
  <c r="C3080"/>
  <c r="K3079"/>
  <c r="G3079"/>
  <c r="F3079"/>
  <c r="C3079"/>
  <c r="K3078"/>
  <c r="J3078"/>
  <c r="G3078"/>
  <c r="F3078"/>
  <c r="C3078"/>
  <c r="K3077"/>
  <c r="J3077"/>
  <c r="G3077"/>
  <c r="F3077"/>
  <c r="C3077"/>
  <c r="K3076"/>
  <c r="J3076"/>
  <c r="G3076"/>
  <c r="F3076"/>
  <c r="C3076"/>
  <c r="K3075"/>
  <c r="J3075"/>
  <c r="G3075"/>
  <c r="F3075"/>
  <c r="C3075"/>
  <c r="K3074"/>
  <c r="J3074"/>
  <c r="G3074"/>
  <c r="F3074"/>
  <c r="C3074"/>
  <c r="K3073"/>
  <c r="J3073"/>
  <c r="G3073"/>
  <c r="F3073"/>
  <c r="C3073"/>
  <c r="K3072"/>
  <c r="J3072"/>
  <c r="G3072"/>
  <c r="F3072"/>
  <c r="C3072"/>
  <c r="K3071"/>
  <c r="J3071"/>
  <c r="G3071"/>
  <c r="F3071"/>
  <c r="C3071"/>
  <c r="K3070"/>
  <c r="J3070"/>
  <c r="G3070"/>
  <c r="F3070"/>
  <c r="C3070"/>
  <c r="K3069"/>
  <c r="J3069"/>
  <c r="G3069"/>
  <c r="F3069"/>
  <c r="C3069"/>
  <c r="K3068"/>
  <c r="J3068"/>
  <c r="G3068"/>
  <c r="F3068"/>
  <c r="C3068"/>
  <c r="K3067"/>
  <c r="J3067"/>
  <c r="G3067"/>
  <c r="F3067"/>
  <c r="C3067"/>
  <c r="K3066"/>
  <c r="J3066"/>
  <c r="G3066"/>
  <c r="F3066"/>
  <c r="C3066"/>
  <c r="K3065"/>
  <c r="J3065"/>
  <c r="G3065"/>
  <c r="F3065"/>
  <c r="C3065"/>
  <c r="K3064"/>
  <c r="G3064"/>
  <c r="F3064"/>
  <c r="C3064"/>
  <c r="K3063"/>
  <c r="J3063"/>
  <c r="G3063"/>
  <c r="F3063"/>
  <c r="C3063"/>
  <c r="K3062"/>
  <c r="J3062"/>
  <c r="G3062"/>
  <c r="F3062"/>
  <c r="C3062"/>
  <c r="K3061"/>
  <c r="J3061"/>
  <c r="G3061"/>
  <c r="F3061"/>
  <c r="C3061"/>
  <c r="K3060"/>
  <c r="J3060"/>
  <c r="G3060"/>
  <c r="F3060"/>
  <c r="C3060"/>
  <c r="K3059"/>
  <c r="J3059"/>
  <c r="G3059"/>
  <c r="F3059"/>
  <c r="C3059"/>
  <c r="K3058"/>
  <c r="J3058"/>
  <c r="G3058"/>
  <c r="F3058"/>
  <c r="C3058"/>
  <c r="K3057"/>
  <c r="J3057"/>
  <c r="G3057"/>
  <c r="F3057"/>
  <c r="C3057"/>
  <c r="K3056"/>
  <c r="J3056"/>
  <c r="G3056"/>
  <c r="F3056"/>
  <c r="C3056"/>
  <c r="K3055"/>
  <c r="J3055"/>
  <c r="G3055"/>
  <c r="F3055"/>
  <c r="C3055"/>
  <c r="K3054"/>
  <c r="J3054"/>
  <c r="G3054"/>
  <c r="F3054"/>
  <c r="C3054"/>
  <c r="K3053"/>
  <c r="J3053"/>
  <c r="G3053"/>
  <c r="F3053"/>
  <c r="C3053"/>
  <c r="K3052"/>
  <c r="J3052"/>
  <c r="G3052"/>
  <c r="F3052"/>
  <c r="C3052"/>
  <c r="K3051"/>
  <c r="J3051"/>
  <c r="G3051"/>
  <c r="F3051"/>
  <c r="C3051"/>
  <c r="K3050"/>
  <c r="J3050"/>
  <c r="G3050"/>
  <c r="F3050"/>
  <c r="C3050"/>
  <c r="K3049"/>
  <c r="J3049"/>
  <c r="G3049"/>
  <c r="F3049"/>
  <c r="C3049"/>
  <c r="K3048"/>
  <c r="J3048"/>
  <c r="G3048"/>
  <c r="F3048"/>
  <c r="C3048"/>
  <c r="K3047"/>
  <c r="J3047"/>
  <c r="G3047"/>
  <c r="F3047"/>
  <c r="C3047"/>
  <c r="K3046"/>
  <c r="J3046"/>
  <c r="G3046"/>
  <c r="F3046"/>
  <c r="C3046"/>
  <c r="K3045"/>
  <c r="J3045"/>
  <c r="G3045"/>
  <c r="F3045"/>
  <c r="C3045"/>
  <c r="K3044"/>
  <c r="J3044"/>
  <c r="G3044"/>
  <c r="F3044"/>
  <c r="C3044"/>
  <c r="K3043"/>
  <c r="J3043"/>
  <c r="G3043"/>
  <c r="F3043"/>
  <c r="C3043"/>
  <c r="K3042"/>
  <c r="J3042"/>
  <c r="G3042"/>
  <c r="F3042"/>
  <c r="C3042"/>
  <c r="K3041"/>
  <c r="J3041"/>
  <c r="G3041"/>
  <c r="F3041"/>
  <c r="C3041"/>
  <c r="K3040"/>
  <c r="J3040"/>
  <c r="G3040"/>
  <c r="F3040"/>
  <c r="C3040"/>
  <c r="K3039"/>
  <c r="J3039"/>
  <c r="G3039"/>
  <c r="F3039"/>
  <c r="C3039"/>
  <c r="K3038"/>
  <c r="J3038"/>
  <c r="G3038"/>
  <c r="F3038"/>
  <c r="C3038"/>
  <c r="K3037"/>
  <c r="J3037"/>
  <c r="G3037"/>
  <c r="F3037"/>
  <c r="C3037"/>
  <c r="K3036"/>
  <c r="J3036"/>
  <c r="G3036"/>
  <c r="F3036"/>
  <c r="C3036"/>
  <c r="K3035"/>
  <c r="J3035"/>
  <c r="G3035"/>
  <c r="F3035"/>
  <c r="C3035"/>
  <c r="K3034"/>
  <c r="J3034"/>
  <c r="G3034"/>
  <c r="F3034"/>
  <c r="C3034"/>
  <c r="K3033"/>
  <c r="J3033"/>
  <c r="G3033"/>
  <c r="F3033"/>
  <c r="C3033"/>
  <c r="K3032"/>
  <c r="J3032"/>
  <c r="G3032"/>
  <c r="F3032"/>
  <c r="C3032"/>
  <c r="K3031"/>
  <c r="G3031"/>
  <c r="F3031"/>
  <c r="C3031"/>
  <c r="K3030"/>
  <c r="J3030"/>
  <c r="G3030"/>
  <c r="F3030"/>
  <c r="C3030"/>
  <c r="K3029"/>
  <c r="J3029"/>
  <c r="G3029"/>
  <c r="F3029"/>
  <c r="C3029"/>
  <c r="K3028"/>
  <c r="J3028"/>
  <c r="G3028"/>
  <c r="F3028"/>
  <c r="C3028"/>
  <c r="K3027"/>
  <c r="G3027"/>
  <c r="F3027"/>
  <c r="C3027"/>
  <c r="K3026"/>
  <c r="J3026"/>
  <c r="G3026"/>
  <c r="F3026"/>
  <c r="C3026"/>
  <c r="K3025"/>
  <c r="G3025"/>
  <c r="F3025"/>
  <c r="C3025"/>
  <c r="K3024"/>
  <c r="G3024"/>
  <c r="F3024"/>
  <c r="C3024"/>
  <c r="K3023"/>
  <c r="G3023"/>
  <c r="F3023"/>
  <c r="C3023"/>
  <c r="K3022"/>
  <c r="J3022"/>
  <c r="G3022"/>
  <c r="F3022"/>
  <c r="C3022"/>
  <c r="K3021"/>
  <c r="J3021"/>
  <c r="G3021"/>
  <c r="F3021"/>
  <c r="C3021"/>
  <c r="K3020"/>
  <c r="J3020"/>
  <c r="G3020"/>
  <c r="F3020"/>
  <c r="C3020"/>
  <c r="K3019"/>
  <c r="G3019"/>
  <c r="F3019"/>
  <c r="C3019"/>
  <c r="K3018"/>
  <c r="J3018"/>
  <c r="G3018"/>
  <c r="F3018"/>
  <c r="C3018"/>
  <c r="K3017"/>
  <c r="J3017"/>
  <c r="G3017"/>
  <c r="F3017"/>
  <c r="C3017"/>
  <c r="K3016"/>
  <c r="J3016"/>
  <c r="G3016"/>
  <c r="F3016"/>
  <c r="C3016"/>
  <c r="K3015"/>
  <c r="J3015"/>
  <c r="G3015"/>
  <c r="F3015"/>
  <c r="C3015"/>
  <c r="K3014"/>
  <c r="J3014"/>
  <c r="G3014"/>
  <c r="F3014"/>
  <c r="C3014"/>
  <c r="K3013"/>
  <c r="J3013"/>
  <c r="G3013"/>
  <c r="F3013"/>
  <c r="C3013"/>
  <c r="K3012"/>
  <c r="J3012"/>
  <c r="G3012"/>
  <c r="F3012"/>
  <c r="C3012"/>
  <c r="K3011"/>
  <c r="J3011"/>
  <c r="G3011"/>
  <c r="F3011"/>
  <c r="C3011"/>
  <c r="K3010"/>
  <c r="G3010"/>
  <c r="F3010"/>
  <c r="C3010"/>
  <c r="K3009"/>
  <c r="J3009"/>
  <c r="G3009"/>
  <c r="F3009"/>
  <c r="C3009"/>
  <c r="K3008"/>
  <c r="J3008"/>
  <c r="G3008"/>
  <c r="F3008"/>
  <c r="C3008"/>
  <c r="K3007"/>
  <c r="J3007"/>
  <c r="G3007"/>
  <c r="F3007"/>
  <c r="C3007"/>
  <c r="K3006"/>
  <c r="J3006"/>
  <c r="G3006"/>
  <c r="F3006"/>
  <c r="C3006"/>
  <c r="K3005"/>
  <c r="J3005"/>
  <c r="G3005"/>
  <c r="F3005"/>
  <c r="C3005"/>
  <c r="K3004"/>
  <c r="J3004"/>
  <c r="G3004"/>
  <c r="F3004"/>
  <c r="C3004"/>
  <c r="K3003"/>
  <c r="J3003"/>
  <c r="G3003"/>
  <c r="F3003"/>
  <c r="C3003"/>
  <c r="K3002"/>
  <c r="J3002"/>
  <c r="G3002"/>
  <c r="F3002"/>
  <c r="C3002"/>
  <c r="K3001"/>
  <c r="J3001"/>
  <c r="G3001"/>
  <c r="F3001"/>
  <c r="C3001"/>
  <c r="K3000"/>
  <c r="J3000"/>
  <c r="G3000"/>
  <c r="F3000"/>
  <c r="C3000"/>
  <c r="K2999"/>
  <c r="J2999"/>
  <c r="G2999"/>
  <c r="F2999"/>
  <c r="C2999"/>
  <c r="K2998"/>
  <c r="J2998"/>
  <c r="G2998"/>
  <c r="F2998"/>
  <c r="C2998"/>
  <c r="K2997"/>
  <c r="J2997"/>
  <c r="G2997"/>
  <c r="F2997"/>
  <c r="C2997"/>
  <c r="K2996"/>
  <c r="J2996"/>
  <c r="G2996"/>
  <c r="F2996"/>
  <c r="C2996"/>
  <c r="K2995"/>
  <c r="J2995"/>
  <c r="G2995"/>
  <c r="F2995"/>
  <c r="C2995"/>
  <c r="K2994"/>
  <c r="J2994"/>
  <c r="G2994"/>
  <c r="F2994"/>
  <c r="C2994"/>
  <c r="K2993"/>
  <c r="J2993"/>
  <c r="G2993"/>
  <c r="F2993"/>
  <c r="C2993"/>
  <c r="K2992"/>
  <c r="J2992"/>
  <c r="G2992"/>
  <c r="F2992"/>
  <c r="C2992"/>
  <c r="K2991"/>
  <c r="J2991"/>
  <c r="G2991"/>
  <c r="F2991"/>
  <c r="C2991"/>
  <c r="K2990"/>
  <c r="J2990"/>
  <c r="G2990"/>
  <c r="F2990"/>
  <c r="C2990"/>
  <c r="K2989"/>
  <c r="J2989"/>
  <c r="G2989"/>
  <c r="F2989"/>
  <c r="C2989"/>
  <c r="K2988"/>
  <c r="J2988"/>
  <c r="G2988"/>
  <c r="F2988"/>
  <c r="C2988"/>
  <c r="K2987"/>
  <c r="J2987"/>
  <c r="G2987"/>
  <c r="F2987"/>
  <c r="C2987"/>
  <c r="K2986"/>
  <c r="J2986"/>
  <c r="G2986"/>
  <c r="F2986"/>
  <c r="C2986"/>
  <c r="K2985"/>
  <c r="J2985"/>
  <c r="G2985"/>
  <c r="F2985"/>
  <c r="C2985"/>
  <c r="K2984"/>
  <c r="J2984"/>
  <c r="G2984"/>
  <c r="F2984"/>
  <c r="C2984"/>
  <c r="K2983"/>
  <c r="J2983"/>
  <c r="G2983"/>
  <c r="F2983"/>
  <c r="C2983"/>
  <c r="K2982"/>
  <c r="J2982"/>
  <c r="G2982"/>
  <c r="F2982"/>
  <c r="C2982"/>
  <c r="K2981"/>
  <c r="J2981"/>
  <c r="G2981"/>
  <c r="F2981"/>
  <c r="C2981"/>
  <c r="K2980"/>
  <c r="J2980"/>
  <c r="G2980"/>
  <c r="F2980"/>
  <c r="C2980"/>
  <c r="K2979"/>
  <c r="J2979"/>
  <c r="G2979"/>
  <c r="F2979"/>
  <c r="C2979"/>
  <c r="K2978"/>
  <c r="J2978"/>
  <c r="G2978"/>
  <c r="F2978"/>
  <c r="C2978"/>
  <c r="K2977"/>
  <c r="J2977"/>
  <c r="G2977"/>
  <c r="F2977"/>
  <c r="C2977"/>
  <c r="K2976"/>
  <c r="J2976"/>
  <c r="G2976"/>
  <c r="F2976"/>
  <c r="C2976"/>
  <c r="K2975"/>
  <c r="J2975"/>
  <c r="G2975"/>
  <c r="F2975"/>
  <c r="C2975"/>
  <c r="K2974"/>
  <c r="J2974"/>
  <c r="G2974"/>
  <c r="F2974"/>
  <c r="C2974"/>
  <c r="K2973"/>
  <c r="J2973"/>
  <c r="G2973"/>
  <c r="F2973"/>
  <c r="C2973"/>
  <c r="K2972"/>
  <c r="J2972"/>
  <c r="G2972"/>
  <c r="F2972"/>
  <c r="C2972"/>
  <c r="K2971"/>
  <c r="J2971"/>
  <c r="G2971"/>
  <c r="F2971"/>
  <c r="C2971"/>
  <c r="K2970"/>
  <c r="J2970"/>
  <c r="G2970"/>
  <c r="F2970"/>
  <c r="C2970"/>
  <c r="K2969"/>
  <c r="J2969"/>
  <c r="G2969"/>
  <c r="F2969"/>
  <c r="C2969"/>
  <c r="K2968"/>
  <c r="J2968"/>
  <c r="G2968"/>
  <c r="F2968"/>
  <c r="C2968"/>
  <c r="K2967"/>
  <c r="J2967"/>
  <c r="G2967"/>
  <c r="F2967"/>
  <c r="C2967"/>
  <c r="K2966"/>
  <c r="J2966"/>
  <c r="G2966"/>
  <c r="F2966"/>
  <c r="C2966"/>
  <c r="K2965"/>
  <c r="J2965"/>
  <c r="G2965"/>
  <c r="F2965"/>
  <c r="C2965"/>
  <c r="K2964"/>
  <c r="J2964"/>
  <c r="G2964"/>
  <c r="F2964"/>
  <c r="C2964"/>
  <c r="K2963"/>
  <c r="J2963"/>
  <c r="G2963"/>
  <c r="F2963"/>
  <c r="C2963"/>
  <c r="K2962"/>
  <c r="J2962"/>
  <c r="G2962"/>
  <c r="F2962"/>
  <c r="C2962"/>
  <c r="K2961"/>
  <c r="J2961"/>
  <c r="G2961"/>
  <c r="F2961"/>
  <c r="C2961"/>
  <c r="K2960"/>
  <c r="J2960"/>
  <c r="G2960"/>
  <c r="F2960"/>
  <c r="C2960"/>
  <c r="K2959"/>
  <c r="J2959"/>
  <c r="G2959"/>
  <c r="F2959"/>
  <c r="C2959"/>
  <c r="K2958"/>
  <c r="J2958"/>
  <c r="G2958"/>
  <c r="F2958"/>
  <c r="C2958"/>
  <c r="K2957"/>
  <c r="J2957"/>
  <c r="G2957"/>
  <c r="F2957"/>
  <c r="C2957"/>
  <c r="K2956"/>
  <c r="J2956"/>
  <c r="G2956"/>
  <c r="F2956"/>
  <c r="C2956"/>
  <c r="K2955"/>
  <c r="J2955"/>
  <c r="G2955"/>
  <c r="F2955"/>
  <c r="C2955"/>
  <c r="K2954"/>
  <c r="J2954"/>
  <c r="G2954"/>
  <c r="F2954"/>
  <c r="C2954"/>
  <c r="K2953"/>
  <c r="J2953"/>
  <c r="G2953"/>
  <c r="F2953"/>
  <c r="C2953"/>
  <c r="K2952"/>
  <c r="J2952"/>
  <c r="G2952"/>
  <c r="F2952"/>
  <c r="C2952"/>
  <c r="K2951"/>
  <c r="J2951"/>
  <c r="G2951"/>
  <c r="F2951"/>
  <c r="C2951"/>
  <c r="K2950"/>
  <c r="J2950"/>
  <c r="G2950"/>
  <c r="F2950"/>
  <c r="C2950"/>
  <c r="K2949"/>
  <c r="J2949"/>
  <c r="G2949"/>
  <c r="F2949"/>
  <c r="C2949"/>
  <c r="K2948"/>
  <c r="J2948"/>
  <c r="G2948"/>
  <c r="F2948"/>
  <c r="C2948"/>
  <c r="K2947"/>
  <c r="J2947"/>
  <c r="G2947"/>
  <c r="F2947"/>
  <c r="C2947"/>
  <c r="K2946"/>
  <c r="J2946"/>
  <c r="G2946"/>
  <c r="F2946"/>
  <c r="C2946"/>
  <c r="K2945"/>
  <c r="J2945"/>
  <c r="G2945"/>
  <c r="F2945"/>
  <c r="C2945"/>
  <c r="K2944"/>
  <c r="J2944"/>
  <c r="G2944"/>
  <c r="F2944"/>
  <c r="C2944"/>
  <c r="K2943"/>
  <c r="J2943"/>
  <c r="G2943"/>
  <c r="F2943"/>
  <c r="C2943"/>
  <c r="K2942"/>
  <c r="J2942"/>
  <c r="G2942"/>
  <c r="F2942"/>
  <c r="C2942"/>
  <c r="K2941"/>
  <c r="J2941"/>
  <c r="G2941"/>
  <c r="F2941"/>
  <c r="C2941"/>
  <c r="K2940"/>
  <c r="J2940"/>
  <c r="G2940"/>
  <c r="F2940"/>
  <c r="C2940"/>
  <c r="K2939"/>
  <c r="J2939"/>
  <c r="G2939"/>
  <c r="F2939"/>
  <c r="C2939"/>
  <c r="K2938"/>
  <c r="J2938"/>
  <c r="G2938"/>
  <c r="F2938"/>
  <c r="C2938"/>
  <c r="K2937"/>
  <c r="J2937"/>
  <c r="G2937"/>
  <c r="F2937"/>
  <c r="C2937"/>
  <c r="K2936"/>
  <c r="J2936"/>
  <c r="G2936"/>
  <c r="F2936"/>
  <c r="C2936"/>
  <c r="K2935"/>
  <c r="J2935"/>
  <c r="G2935"/>
  <c r="F2935"/>
  <c r="C2935"/>
  <c r="K2934"/>
  <c r="J2934"/>
  <c r="G2934"/>
  <c r="F2934"/>
  <c r="C2934"/>
  <c r="K2933"/>
  <c r="G2933"/>
  <c r="F2933"/>
  <c r="C2933"/>
  <c r="K2932"/>
  <c r="J2932"/>
  <c r="G2932"/>
  <c r="F2932"/>
  <c r="C2932"/>
  <c r="K2931"/>
  <c r="J2931"/>
  <c r="G2931"/>
  <c r="F2931"/>
  <c r="C2931"/>
  <c r="K2930"/>
  <c r="J2930"/>
  <c r="G2930"/>
  <c r="F2930"/>
  <c r="C2930"/>
  <c r="K2929"/>
  <c r="J2929"/>
  <c r="G2929"/>
  <c r="F2929"/>
  <c r="C2929"/>
  <c r="K2928"/>
  <c r="J2928"/>
  <c r="G2928"/>
  <c r="F2928"/>
  <c r="C2928"/>
  <c r="K2927"/>
  <c r="J2927"/>
  <c r="G2927"/>
  <c r="F2927"/>
  <c r="C2927"/>
  <c r="K2926"/>
  <c r="J2926"/>
  <c r="G2926"/>
  <c r="F2926"/>
  <c r="C2926"/>
  <c r="K2925"/>
  <c r="J2925"/>
  <c r="G2925"/>
  <c r="F2925"/>
  <c r="C2925"/>
  <c r="K2924"/>
  <c r="J2924"/>
  <c r="G2924"/>
  <c r="F2924"/>
  <c r="C2924"/>
  <c r="K2923"/>
  <c r="J2923"/>
  <c r="G2923"/>
  <c r="F2923"/>
  <c r="C2923"/>
  <c r="K2922"/>
  <c r="J2922"/>
  <c r="G2922"/>
  <c r="F2922"/>
  <c r="C2922"/>
  <c r="K2921"/>
  <c r="J2921"/>
  <c r="G2921"/>
  <c r="F2921"/>
  <c r="C2921"/>
  <c r="K2920"/>
  <c r="J2920"/>
  <c r="G2920"/>
  <c r="F2920"/>
  <c r="C2920"/>
  <c r="K2919"/>
  <c r="J2919"/>
  <c r="G2919"/>
  <c r="F2919"/>
  <c r="C2919"/>
  <c r="K2918"/>
  <c r="G2918"/>
  <c r="F2918"/>
  <c r="C2918"/>
  <c r="K2917"/>
  <c r="J2917"/>
  <c r="G2917"/>
  <c r="F2917"/>
  <c r="C2917"/>
  <c r="K2916"/>
  <c r="G2916"/>
  <c r="F2916"/>
  <c r="C2916"/>
  <c r="K2915"/>
  <c r="J2915"/>
  <c r="G2915"/>
  <c r="F2915"/>
  <c r="C2915"/>
  <c r="K2914"/>
  <c r="J2914"/>
  <c r="G2914"/>
  <c r="F2914"/>
  <c r="C2914"/>
  <c r="K2913"/>
  <c r="J2913"/>
  <c r="G2913"/>
  <c r="F2913"/>
  <c r="C2913"/>
  <c r="K2912"/>
  <c r="J2912"/>
  <c r="G2912"/>
  <c r="F2912"/>
  <c r="C2912"/>
  <c r="K2911"/>
  <c r="J2911"/>
  <c r="G2911"/>
  <c r="F2911"/>
  <c r="C2911"/>
  <c r="K2910"/>
  <c r="J2910"/>
  <c r="G2910"/>
  <c r="F2910"/>
  <c r="C2910"/>
  <c r="K2909"/>
  <c r="J2909"/>
  <c r="G2909"/>
  <c r="F2909"/>
  <c r="C2909"/>
  <c r="K2908"/>
  <c r="J2908"/>
  <c r="G2908"/>
  <c r="F2908"/>
  <c r="C2908"/>
  <c r="K2907"/>
  <c r="J2907"/>
  <c r="G2907"/>
  <c r="F2907"/>
  <c r="C2907"/>
  <c r="K2906"/>
  <c r="J2906"/>
  <c r="G2906"/>
  <c r="F2906"/>
  <c r="C2906"/>
  <c r="K2905"/>
  <c r="J2905"/>
  <c r="G2905"/>
  <c r="F2905"/>
  <c r="C2905"/>
  <c r="K2904"/>
  <c r="J2904"/>
  <c r="G2904"/>
  <c r="F2904"/>
  <c r="C2904"/>
  <c r="K2903"/>
  <c r="J2903"/>
  <c r="G2903"/>
  <c r="F2903"/>
  <c r="C2903"/>
  <c r="K2902"/>
  <c r="J2902"/>
  <c r="G2902"/>
  <c r="F2902"/>
  <c r="C2902"/>
  <c r="K2901"/>
  <c r="J2901"/>
  <c r="G2901"/>
  <c r="F2901"/>
  <c r="C2901"/>
  <c r="K2900"/>
  <c r="J2900"/>
  <c r="G2900"/>
  <c r="F2900"/>
  <c r="C2900"/>
  <c r="K2899"/>
  <c r="J2899"/>
  <c r="G2899"/>
  <c r="F2899"/>
  <c r="C2899"/>
  <c r="K2898"/>
  <c r="J2898"/>
  <c r="G2898"/>
  <c r="F2898"/>
  <c r="C2898"/>
  <c r="K2897"/>
  <c r="J2897"/>
  <c r="G2897"/>
  <c r="F2897"/>
  <c r="C2897"/>
  <c r="K2896"/>
  <c r="J2896"/>
  <c r="G2896"/>
  <c r="F2896"/>
  <c r="C2896"/>
  <c r="K2895"/>
  <c r="J2895"/>
  <c r="G2895"/>
  <c r="F2895"/>
  <c r="C2895"/>
  <c r="K2894"/>
  <c r="J2894"/>
  <c r="G2894"/>
  <c r="F2894"/>
  <c r="C2894"/>
  <c r="K2893"/>
  <c r="J2893"/>
  <c r="G2893"/>
  <c r="F2893"/>
  <c r="C2893"/>
  <c r="K2892"/>
  <c r="J2892"/>
  <c r="G2892"/>
  <c r="F2892"/>
  <c r="C2892"/>
  <c r="K2891"/>
  <c r="J2891"/>
  <c r="G2891"/>
  <c r="F2891"/>
  <c r="C2891"/>
  <c r="K2890"/>
  <c r="J2890"/>
  <c r="G2890"/>
  <c r="F2890"/>
  <c r="C2890"/>
  <c r="K2889"/>
  <c r="J2889"/>
  <c r="G2889"/>
  <c r="F2889"/>
  <c r="C2889"/>
  <c r="K2888"/>
  <c r="J2888"/>
  <c r="G2888"/>
  <c r="F2888"/>
  <c r="C2888"/>
  <c r="K2887"/>
  <c r="J2887"/>
  <c r="G2887"/>
  <c r="F2887"/>
  <c r="C2887"/>
  <c r="K2886"/>
  <c r="J2886"/>
  <c r="G2886"/>
  <c r="F2886"/>
  <c r="C2886"/>
  <c r="K2885"/>
  <c r="J2885"/>
  <c r="G2885"/>
  <c r="F2885"/>
  <c r="C2885"/>
  <c r="K2884"/>
  <c r="J2884"/>
  <c r="G2884"/>
  <c r="F2884"/>
  <c r="C2884"/>
  <c r="K2883"/>
  <c r="J2883"/>
  <c r="G2883"/>
  <c r="F2883"/>
  <c r="C2883"/>
  <c r="K2882"/>
  <c r="J2882"/>
  <c r="G2882"/>
  <c r="F2882"/>
  <c r="C2882"/>
  <c r="K2881"/>
  <c r="J2881"/>
  <c r="G2881"/>
  <c r="F2881"/>
  <c r="C2881"/>
  <c r="K2880"/>
  <c r="J2880"/>
  <c r="G2880"/>
  <c r="F2880"/>
  <c r="C2880"/>
  <c r="K2879"/>
  <c r="J2879"/>
  <c r="G2879"/>
  <c r="F2879"/>
  <c r="C2879"/>
  <c r="K2878"/>
  <c r="J2878"/>
  <c r="G2878"/>
  <c r="F2878"/>
  <c r="C2878"/>
  <c r="K2877"/>
  <c r="J2877"/>
  <c r="G2877"/>
  <c r="F2877"/>
  <c r="C2877"/>
  <c r="K2876"/>
  <c r="J2876"/>
  <c r="G2876"/>
  <c r="F2876"/>
  <c r="C2876"/>
  <c r="K2875"/>
  <c r="J2875"/>
  <c r="G2875"/>
  <c r="F2875"/>
  <c r="C2875"/>
  <c r="K2874"/>
  <c r="J2874"/>
  <c r="G2874"/>
  <c r="F2874"/>
  <c r="C2874"/>
  <c r="K2873"/>
  <c r="J2873"/>
  <c r="G2873"/>
  <c r="F2873"/>
  <c r="C2873"/>
  <c r="K2872"/>
  <c r="J2872"/>
  <c r="G2872"/>
  <c r="F2872"/>
  <c r="C2872"/>
  <c r="K2871"/>
  <c r="J2871"/>
  <c r="G2871"/>
  <c r="F2871"/>
  <c r="C2871"/>
  <c r="K2870"/>
  <c r="J2870"/>
  <c r="G2870"/>
  <c r="F2870"/>
  <c r="C2870"/>
  <c r="K2869"/>
  <c r="J2869"/>
  <c r="G2869"/>
  <c r="F2869"/>
  <c r="C2869"/>
  <c r="K2868"/>
  <c r="J2868"/>
  <c r="G2868"/>
  <c r="F2868"/>
  <c r="C2868"/>
  <c r="K2867"/>
  <c r="J2867"/>
  <c r="G2867"/>
  <c r="F2867"/>
  <c r="C2867"/>
  <c r="K2866"/>
  <c r="J2866"/>
  <c r="G2866"/>
  <c r="F2866"/>
  <c r="C2866"/>
  <c r="K2865"/>
  <c r="J2865"/>
  <c r="G2865"/>
  <c r="F2865"/>
  <c r="C2865"/>
  <c r="K2864"/>
  <c r="J2864"/>
  <c r="G2864"/>
  <c r="F2864"/>
  <c r="C2864"/>
  <c r="K2863"/>
  <c r="J2863"/>
  <c r="G2863"/>
  <c r="F2863"/>
  <c r="C2863"/>
  <c r="K2862"/>
  <c r="J2862"/>
  <c r="G2862"/>
  <c r="F2862"/>
  <c r="C2862"/>
  <c r="K2861"/>
  <c r="J2861"/>
  <c r="G2861"/>
  <c r="F2861"/>
  <c r="C2861"/>
  <c r="K2860"/>
  <c r="J2860"/>
  <c r="G2860"/>
  <c r="F2860"/>
  <c r="C2860"/>
  <c r="K2859"/>
  <c r="J2859"/>
  <c r="G2859"/>
  <c r="F2859"/>
  <c r="C2859"/>
  <c r="K2858"/>
  <c r="J2858"/>
  <c r="G2858"/>
  <c r="F2858"/>
  <c r="C2858"/>
  <c r="K2857"/>
  <c r="J2857"/>
  <c r="G2857"/>
  <c r="F2857"/>
  <c r="C2857"/>
  <c r="K2856"/>
  <c r="J2856"/>
  <c r="G2856"/>
  <c r="F2856"/>
  <c r="C2856"/>
  <c r="K2855"/>
  <c r="J2855"/>
  <c r="G2855"/>
  <c r="F2855"/>
  <c r="C2855"/>
  <c r="K2854"/>
  <c r="J2854"/>
  <c r="G2854"/>
  <c r="F2854"/>
  <c r="C2854"/>
  <c r="K2853"/>
  <c r="J2853"/>
  <c r="G2853"/>
  <c r="F2853"/>
  <c r="C2853"/>
  <c r="K2852"/>
  <c r="J2852"/>
  <c r="G2852"/>
  <c r="F2852"/>
  <c r="C2852"/>
  <c r="K2851"/>
  <c r="J2851"/>
  <c r="G2851"/>
  <c r="F2851"/>
  <c r="C2851"/>
  <c r="K2850"/>
  <c r="J2850"/>
  <c r="G2850"/>
  <c r="F2850"/>
  <c r="C2850"/>
  <c r="K2849"/>
  <c r="J2849"/>
  <c r="G2849"/>
  <c r="F2849"/>
  <c r="C2849"/>
  <c r="K2848"/>
  <c r="J2848"/>
  <c r="G2848"/>
  <c r="F2848"/>
  <c r="C2848"/>
  <c r="K2847"/>
  <c r="J2847"/>
  <c r="G2847"/>
  <c r="F2847"/>
  <c r="C2847"/>
  <c r="K2846"/>
  <c r="J2846"/>
  <c r="G2846"/>
  <c r="F2846"/>
  <c r="C2846"/>
  <c r="K2845"/>
  <c r="J2845"/>
  <c r="G2845"/>
  <c r="F2845"/>
  <c r="C2845"/>
  <c r="K2844"/>
  <c r="J2844"/>
  <c r="G2844"/>
  <c r="F2844"/>
  <c r="C2844"/>
  <c r="K2843"/>
  <c r="J2843"/>
  <c r="G2843"/>
  <c r="F2843"/>
  <c r="C2843"/>
  <c r="K2842"/>
  <c r="J2842"/>
  <c r="G2842"/>
  <c r="F2842"/>
  <c r="C2842"/>
  <c r="K2841"/>
  <c r="J2841"/>
  <c r="G2841"/>
  <c r="F2841"/>
  <c r="C2841"/>
  <c r="K2840"/>
  <c r="J2840"/>
  <c r="G2840"/>
  <c r="F2840"/>
  <c r="C2840"/>
  <c r="K2839"/>
  <c r="J2839"/>
  <c r="G2839"/>
  <c r="F2839"/>
  <c r="C2839"/>
  <c r="K2838"/>
  <c r="J2838"/>
  <c r="G2838"/>
  <c r="F2838"/>
  <c r="C2838"/>
  <c r="K2837"/>
  <c r="J2837"/>
  <c r="G2837"/>
  <c r="F2837"/>
  <c r="C2837"/>
  <c r="K2836"/>
  <c r="J2836"/>
  <c r="G2836"/>
  <c r="F2836"/>
  <c r="C2836"/>
  <c r="K2835"/>
  <c r="J2835"/>
  <c r="G2835"/>
  <c r="F2835"/>
  <c r="C2835"/>
  <c r="K2834"/>
  <c r="J2834"/>
  <c r="G2834"/>
  <c r="F2834"/>
  <c r="C2834"/>
  <c r="K2833"/>
  <c r="J2833"/>
  <c r="G2833"/>
  <c r="F2833"/>
  <c r="C2833"/>
  <c r="K2832"/>
  <c r="J2832"/>
  <c r="G2832"/>
  <c r="F2832"/>
  <c r="C2832"/>
  <c r="K2831"/>
  <c r="J2831"/>
  <c r="G2831"/>
  <c r="F2831"/>
  <c r="C2831"/>
  <c r="K2830"/>
  <c r="J2830"/>
  <c r="G2830"/>
  <c r="F2830"/>
  <c r="C2830"/>
  <c r="K2829"/>
  <c r="J2829"/>
  <c r="G2829"/>
  <c r="F2829"/>
  <c r="C2829"/>
  <c r="K2828"/>
  <c r="J2828"/>
  <c r="G2828"/>
  <c r="F2828"/>
  <c r="C2828"/>
  <c r="K2827"/>
  <c r="J2827"/>
  <c r="G2827"/>
  <c r="F2827"/>
  <c r="C2827"/>
  <c r="K2826"/>
  <c r="J2826"/>
  <c r="G2826"/>
  <c r="F2826"/>
  <c r="C2826"/>
  <c r="K2825"/>
  <c r="J2825"/>
  <c r="G2825"/>
  <c r="F2825"/>
  <c r="C2825"/>
  <c r="K2824"/>
  <c r="J2824"/>
  <c r="G2824"/>
  <c r="F2824"/>
  <c r="C2824"/>
  <c r="K2823"/>
  <c r="J2823"/>
  <c r="G2823"/>
  <c r="F2823"/>
  <c r="C2823"/>
  <c r="K2822"/>
  <c r="J2822"/>
  <c r="G2822"/>
  <c r="F2822"/>
  <c r="C2822"/>
  <c r="K2821"/>
  <c r="J2821"/>
  <c r="G2821"/>
  <c r="F2821"/>
  <c r="C2821"/>
  <c r="K2820"/>
  <c r="J2820"/>
  <c r="G2820"/>
  <c r="F2820"/>
  <c r="C2820"/>
  <c r="K2819"/>
  <c r="J2819"/>
  <c r="G2819"/>
  <c r="F2819"/>
  <c r="C2819"/>
  <c r="K2818"/>
  <c r="J2818"/>
  <c r="G2818"/>
  <c r="F2818"/>
  <c r="C2818"/>
  <c r="K2817"/>
  <c r="J2817"/>
  <c r="G2817"/>
  <c r="F2817"/>
  <c r="C2817"/>
  <c r="K2816"/>
  <c r="J2816"/>
  <c r="G2816"/>
  <c r="F2816"/>
  <c r="C2816"/>
  <c r="K2815"/>
  <c r="J2815"/>
  <c r="G2815"/>
  <c r="F2815"/>
  <c r="C2815"/>
  <c r="K2814"/>
  <c r="J2814"/>
  <c r="G2814"/>
  <c r="F2814"/>
  <c r="C2814"/>
  <c r="K2813"/>
  <c r="G2813"/>
  <c r="F2813"/>
  <c r="C2813"/>
  <c r="K2812"/>
  <c r="J2812"/>
  <c r="G2812"/>
  <c r="F2812"/>
  <c r="C2812"/>
  <c r="K2811"/>
  <c r="J2811"/>
  <c r="G2811"/>
  <c r="F2811"/>
  <c r="C2811"/>
  <c r="K2810"/>
  <c r="J2810"/>
  <c r="G2810"/>
  <c r="F2810"/>
  <c r="C2810"/>
  <c r="K2809"/>
  <c r="J2809"/>
  <c r="G2809"/>
  <c r="F2809"/>
  <c r="C2809"/>
  <c r="K2808"/>
  <c r="J2808"/>
  <c r="G2808"/>
  <c r="F2808"/>
  <c r="C2808"/>
  <c r="K2807"/>
  <c r="J2807"/>
  <c r="G2807"/>
  <c r="F2807"/>
  <c r="C2807"/>
  <c r="K2806"/>
  <c r="J2806"/>
  <c r="G2806"/>
  <c r="F2806"/>
  <c r="C2806"/>
  <c r="K2805"/>
  <c r="J2805"/>
  <c r="G2805"/>
  <c r="F2805"/>
  <c r="C2805"/>
  <c r="K2804"/>
  <c r="J2804"/>
  <c r="G2804"/>
  <c r="F2804"/>
  <c r="C2804"/>
  <c r="K2803"/>
  <c r="J2803"/>
  <c r="G2803"/>
  <c r="F2803"/>
  <c r="C2803"/>
  <c r="K2802"/>
  <c r="J2802"/>
  <c r="G2802"/>
  <c r="F2802"/>
  <c r="C2802"/>
  <c r="K2801"/>
  <c r="J2801"/>
  <c r="G2801"/>
  <c r="F2801"/>
  <c r="C2801"/>
  <c r="K2800"/>
  <c r="J2800"/>
  <c r="G2800"/>
  <c r="F2800"/>
  <c r="C2800"/>
  <c r="K2799"/>
  <c r="J2799"/>
  <c r="G2799"/>
  <c r="F2799"/>
  <c r="C2799"/>
  <c r="K2798"/>
  <c r="J2798"/>
  <c r="G2798"/>
  <c r="F2798"/>
  <c r="C2798"/>
  <c r="K2797"/>
  <c r="J2797"/>
  <c r="G2797"/>
  <c r="F2797"/>
  <c r="C2797"/>
  <c r="K2796"/>
  <c r="J2796"/>
  <c r="G2796"/>
  <c r="F2796"/>
  <c r="C2796"/>
  <c r="K2795"/>
  <c r="J2795"/>
  <c r="G2795"/>
  <c r="F2795"/>
  <c r="C2795"/>
  <c r="K2794"/>
  <c r="J2794"/>
  <c r="G2794"/>
  <c r="F2794"/>
  <c r="C2794"/>
  <c r="K2793"/>
  <c r="J2793"/>
  <c r="G2793"/>
  <c r="F2793"/>
  <c r="C2793"/>
  <c r="K2792"/>
  <c r="J2792"/>
  <c r="G2792"/>
  <c r="F2792"/>
  <c r="C2792"/>
  <c r="K2791"/>
  <c r="J2791"/>
  <c r="G2791"/>
  <c r="F2791"/>
  <c r="C2791"/>
  <c r="K2790"/>
  <c r="J2790"/>
  <c r="G2790"/>
  <c r="F2790"/>
  <c r="C2790"/>
  <c r="K2789"/>
  <c r="J2789"/>
  <c r="G2789"/>
  <c r="F2789"/>
  <c r="C2789"/>
  <c r="K2788"/>
  <c r="J2788"/>
  <c r="G2788"/>
  <c r="F2788"/>
  <c r="C2788"/>
  <c r="K2787"/>
  <c r="J2787"/>
  <c r="G2787"/>
  <c r="F2787"/>
  <c r="C2787"/>
  <c r="K2786"/>
  <c r="J2786"/>
  <c r="G2786"/>
  <c r="F2786"/>
  <c r="C2786"/>
  <c r="K2785"/>
  <c r="J2785"/>
  <c r="G2785"/>
  <c r="F2785"/>
  <c r="C2785"/>
  <c r="K2784"/>
  <c r="J2784"/>
  <c r="G2784"/>
  <c r="F2784"/>
  <c r="C2784"/>
  <c r="K2783"/>
  <c r="J2783"/>
  <c r="G2783"/>
  <c r="F2783"/>
  <c r="C2783"/>
  <c r="K2782"/>
  <c r="J2782"/>
  <c r="G2782"/>
  <c r="F2782"/>
  <c r="C2782"/>
  <c r="K2781"/>
  <c r="J2781"/>
  <c r="G2781"/>
  <c r="F2781"/>
  <c r="C2781"/>
  <c r="K2780"/>
  <c r="J2780"/>
  <c r="G2780"/>
  <c r="F2780"/>
  <c r="C2780"/>
  <c r="K2779"/>
  <c r="J2779"/>
  <c r="G2779"/>
  <c r="F2779"/>
  <c r="C2779"/>
  <c r="K2778"/>
  <c r="J2778"/>
  <c r="G2778"/>
  <c r="F2778"/>
  <c r="C2778"/>
  <c r="K2777"/>
  <c r="J2777"/>
  <c r="G2777"/>
  <c r="F2777"/>
  <c r="C2777"/>
  <c r="K2776"/>
  <c r="J2776"/>
  <c r="G2776"/>
  <c r="F2776"/>
  <c r="C2776"/>
  <c r="K2775"/>
  <c r="G2775"/>
  <c r="F2775"/>
  <c r="C2775"/>
  <c r="K2774"/>
  <c r="G2774"/>
  <c r="F2774"/>
  <c r="C2774"/>
  <c r="K2773"/>
  <c r="G2773"/>
  <c r="F2773"/>
  <c r="C2773"/>
  <c r="K2772"/>
  <c r="G2772"/>
  <c r="F2772"/>
  <c r="C2772"/>
  <c r="K2771"/>
  <c r="J2771"/>
  <c r="G2771"/>
  <c r="F2771"/>
  <c r="C2771"/>
  <c r="K2770"/>
  <c r="J2770"/>
  <c r="G2770"/>
  <c r="F2770"/>
  <c r="C2770"/>
  <c r="K2769"/>
  <c r="J2769"/>
  <c r="G2769"/>
  <c r="F2769"/>
  <c r="C2769"/>
  <c r="K2768"/>
  <c r="J2768"/>
  <c r="G2768"/>
  <c r="F2768"/>
  <c r="C2768"/>
  <c r="K2767"/>
  <c r="J2767"/>
  <c r="G2767"/>
  <c r="F2767"/>
  <c r="C2767"/>
  <c r="K2766"/>
  <c r="J2766"/>
  <c r="G2766"/>
  <c r="F2766"/>
  <c r="C2766"/>
  <c r="K2765"/>
  <c r="J2765"/>
  <c r="G2765"/>
  <c r="F2765"/>
  <c r="C2765"/>
  <c r="K2764"/>
  <c r="J2764"/>
  <c r="G2764"/>
  <c r="F2764"/>
  <c r="C2764"/>
  <c r="K2763"/>
  <c r="J2763"/>
  <c r="G2763"/>
  <c r="F2763"/>
  <c r="C2763"/>
  <c r="K2762"/>
  <c r="J2762"/>
  <c r="G2762"/>
  <c r="F2762"/>
  <c r="C2762"/>
  <c r="K2761"/>
  <c r="J2761"/>
  <c r="G2761"/>
  <c r="F2761"/>
  <c r="C2761"/>
  <c r="K2760"/>
  <c r="J2760"/>
  <c r="G2760"/>
  <c r="F2760"/>
  <c r="C2760"/>
  <c r="K2759"/>
  <c r="J2759"/>
  <c r="G2759"/>
  <c r="F2759"/>
  <c r="C2759"/>
  <c r="K2758"/>
  <c r="J2758"/>
  <c r="G2758"/>
  <c r="F2758"/>
  <c r="C2758"/>
  <c r="K2757"/>
  <c r="J2757"/>
  <c r="G2757"/>
  <c r="F2757"/>
  <c r="C2757"/>
  <c r="K2756"/>
  <c r="J2756"/>
  <c r="G2756"/>
  <c r="F2756"/>
  <c r="C2756"/>
  <c r="K2755"/>
  <c r="J2755"/>
  <c r="G2755"/>
  <c r="F2755"/>
  <c r="C2755"/>
  <c r="K2754"/>
  <c r="J2754"/>
  <c r="G2754"/>
  <c r="F2754"/>
  <c r="C2754"/>
  <c r="K2753"/>
  <c r="J2753"/>
  <c r="G2753"/>
  <c r="F2753"/>
  <c r="C2753"/>
  <c r="K2752"/>
  <c r="J2752"/>
  <c r="G2752"/>
  <c r="F2752"/>
  <c r="C2752"/>
  <c r="K2751"/>
  <c r="J2751"/>
  <c r="G2751"/>
  <c r="F2751"/>
  <c r="C2751"/>
  <c r="K2750"/>
  <c r="J2750"/>
  <c r="G2750"/>
  <c r="F2750"/>
  <c r="C2750"/>
  <c r="K2749"/>
  <c r="J2749"/>
  <c r="G2749"/>
  <c r="F2749"/>
  <c r="C2749"/>
  <c r="K2748"/>
  <c r="J2748"/>
  <c r="G2748"/>
  <c r="F2748"/>
  <c r="C2748"/>
  <c r="K2747"/>
  <c r="J2747"/>
  <c r="G2747"/>
  <c r="F2747"/>
  <c r="C2747"/>
  <c r="K2746"/>
  <c r="J2746"/>
  <c r="G2746"/>
  <c r="F2746"/>
  <c r="C2746"/>
  <c r="K2745"/>
  <c r="J2745"/>
  <c r="G2745"/>
  <c r="F2745"/>
  <c r="C2745"/>
  <c r="K2744"/>
  <c r="J2744"/>
  <c r="G2744"/>
  <c r="F2744"/>
  <c r="C2744"/>
  <c r="K2743"/>
  <c r="J2743"/>
  <c r="G2743"/>
  <c r="F2743"/>
  <c r="C2743"/>
  <c r="K2742"/>
  <c r="J2742"/>
  <c r="G2742"/>
  <c r="F2742"/>
  <c r="C2742"/>
  <c r="K2741"/>
  <c r="J2741"/>
  <c r="G2741"/>
  <c r="F2741"/>
  <c r="C2741"/>
  <c r="K2740"/>
  <c r="J2740"/>
  <c r="G2740"/>
  <c r="F2740"/>
  <c r="C2740"/>
  <c r="K2739"/>
  <c r="J2739"/>
  <c r="G2739"/>
  <c r="F2739"/>
  <c r="C2739"/>
  <c r="K2738"/>
  <c r="J2738"/>
  <c r="G2738"/>
  <c r="F2738"/>
  <c r="C2738"/>
  <c r="K2737"/>
  <c r="J2737"/>
  <c r="G2737"/>
  <c r="F2737"/>
  <c r="C2737"/>
  <c r="K2736"/>
  <c r="J2736"/>
  <c r="G2736"/>
  <c r="F2736"/>
  <c r="C2736"/>
  <c r="K2735"/>
  <c r="J2735"/>
  <c r="G2735"/>
  <c r="F2735"/>
  <c r="C2735"/>
  <c r="K2734"/>
  <c r="J2734"/>
  <c r="G2734"/>
  <c r="F2734"/>
  <c r="C2734"/>
  <c r="K2733"/>
  <c r="J2733"/>
  <c r="G2733"/>
  <c r="F2733"/>
  <c r="C2733"/>
  <c r="K2732"/>
  <c r="J2732"/>
  <c r="G2732"/>
  <c r="F2732"/>
  <c r="C2732"/>
  <c r="K2731"/>
  <c r="J2731"/>
  <c r="G2731"/>
  <c r="F2731"/>
  <c r="C2731"/>
  <c r="K2730"/>
  <c r="J2730"/>
  <c r="G2730"/>
  <c r="F2730"/>
  <c r="C2730"/>
  <c r="K2729"/>
  <c r="J2729"/>
  <c r="G2729"/>
  <c r="F2729"/>
  <c r="C2729"/>
  <c r="K2728"/>
  <c r="J2728"/>
  <c r="G2728"/>
  <c r="F2728"/>
  <c r="C2728"/>
  <c r="K2727"/>
  <c r="J2727"/>
  <c r="G2727"/>
  <c r="F2727"/>
  <c r="C2727"/>
  <c r="K2726"/>
  <c r="J2726"/>
  <c r="G2726"/>
  <c r="F2726"/>
  <c r="C2726"/>
  <c r="K2725"/>
  <c r="J2725"/>
  <c r="G2725"/>
  <c r="F2725"/>
  <c r="C2725"/>
  <c r="K2724"/>
  <c r="J2724"/>
  <c r="G2724"/>
  <c r="F2724"/>
  <c r="C2724"/>
  <c r="K2723"/>
  <c r="G2723"/>
  <c r="F2723"/>
  <c r="C2723"/>
  <c r="K2722"/>
  <c r="J2722"/>
  <c r="G2722"/>
  <c r="F2722"/>
  <c r="C2722"/>
  <c r="K2721"/>
  <c r="J2721"/>
  <c r="G2721"/>
  <c r="F2721"/>
  <c r="C2721"/>
  <c r="K2720"/>
  <c r="J2720"/>
  <c r="G2720"/>
  <c r="F2720"/>
  <c r="C2720"/>
  <c r="K2719"/>
  <c r="J2719"/>
  <c r="G2719"/>
  <c r="F2719"/>
  <c r="C2719"/>
  <c r="K2718"/>
  <c r="J2718"/>
  <c r="G2718"/>
  <c r="F2718"/>
  <c r="C2718"/>
  <c r="K2717"/>
  <c r="J2717"/>
  <c r="G2717"/>
  <c r="F2717"/>
  <c r="C2717"/>
  <c r="K2716"/>
  <c r="J2716"/>
  <c r="G2716"/>
  <c r="F2716"/>
  <c r="C2716"/>
  <c r="K2715"/>
  <c r="J2715"/>
  <c r="G2715"/>
  <c r="F2715"/>
  <c r="C2715"/>
  <c r="K2714"/>
  <c r="J2714"/>
  <c r="G2714"/>
  <c r="F2714"/>
  <c r="C2714"/>
  <c r="K2713"/>
  <c r="J2713"/>
  <c r="G2713"/>
  <c r="F2713"/>
  <c r="C2713"/>
  <c r="K2712"/>
  <c r="J2712"/>
  <c r="G2712"/>
  <c r="F2712"/>
  <c r="C2712"/>
  <c r="K2711"/>
  <c r="J2711"/>
  <c r="G2711"/>
  <c r="F2711"/>
  <c r="C2711"/>
  <c r="K2710"/>
  <c r="J2710"/>
  <c r="G2710"/>
  <c r="F2710"/>
  <c r="C2710"/>
  <c r="K2709"/>
  <c r="J2709"/>
  <c r="G2709"/>
  <c r="F2709"/>
  <c r="C2709"/>
  <c r="K2708"/>
  <c r="J2708"/>
  <c r="G2708"/>
  <c r="F2708"/>
  <c r="C2708"/>
  <c r="K2707"/>
  <c r="J2707"/>
  <c r="G2707"/>
  <c r="F2707"/>
  <c r="C2707"/>
  <c r="K2706"/>
  <c r="J2706"/>
  <c r="G2706"/>
  <c r="F2706"/>
  <c r="C2706"/>
  <c r="K2705"/>
  <c r="J2705"/>
  <c r="G2705"/>
  <c r="F2705"/>
  <c r="C2705"/>
  <c r="K2704"/>
  <c r="J2704"/>
  <c r="G2704"/>
  <c r="F2704"/>
  <c r="C2704"/>
  <c r="K2703"/>
  <c r="J2703"/>
  <c r="G2703"/>
  <c r="F2703"/>
  <c r="C2703"/>
  <c r="K2702"/>
  <c r="J2702"/>
  <c r="G2702"/>
  <c r="F2702"/>
  <c r="C2702"/>
  <c r="K2701"/>
  <c r="J2701"/>
  <c r="G2701"/>
  <c r="F2701"/>
  <c r="C2701"/>
  <c r="K2700"/>
  <c r="J2700"/>
  <c r="G2700"/>
  <c r="F2700"/>
  <c r="C2700"/>
  <c r="K2699"/>
  <c r="J2699"/>
  <c r="G2699"/>
  <c r="F2699"/>
  <c r="C2699"/>
  <c r="K2698"/>
  <c r="J2698"/>
  <c r="G2698"/>
  <c r="F2698"/>
  <c r="C2698"/>
  <c r="K2697"/>
  <c r="J2697"/>
  <c r="G2697"/>
  <c r="F2697"/>
  <c r="C2697"/>
  <c r="K2696"/>
  <c r="J2696"/>
  <c r="G2696"/>
  <c r="F2696"/>
  <c r="C2696"/>
  <c r="K2695"/>
  <c r="J2695"/>
  <c r="G2695"/>
  <c r="F2695"/>
  <c r="C2695"/>
  <c r="K2694"/>
  <c r="J2694"/>
  <c r="G2694"/>
  <c r="F2694"/>
  <c r="C2694"/>
  <c r="K2693"/>
  <c r="J2693"/>
  <c r="G2693"/>
  <c r="F2693"/>
  <c r="C2693"/>
  <c r="K2692"/>
  <c r="J2692"/>
  <c r="G2692"/>
  <c r="F2692"/>
  <c r="C2692"/>
  <c r="K2691"/>
  <c r="J2691"/>
  <c r="G2691"/>
  <c r="F2691"/>
  <c r="C2691"/>
  <c r="K2690"/>
  <c r="J2690"/>
  <c r="G2690"/>
  <c r="F2690"/>
  <c r="C2690"/>
  <c r="K2689"/>
  <c r="J2689"/>
  <c r="G2689"/>
  <c r="F2689"/>
  <c r="C2689"/>
  <c r="K2688"/>
  <c r="J2688"/>
  <c r="G2688"/>
  <c r="F2688"/>
  <c r="C2688"/>
  <c r="K2687"/>
  <c r="J2687"/>
  <c r="G2687"/>
  <c r="F2687"/>
  <c r="C2687"/>
  <c r="K2686"/>
  <c r="J2686"/>
  <c r="G2686"/>
  <c r="F2686"/>
  <c r="C2686"/>
  <c r="K2685"/>
  <c r="J2685"/>
  <c r="G2685"/>
  <c r="F2685"/>
  <c r="C2685"/>
  <c r="K2684"/>
  <c r="J2684"/>
  <c r="G2684"/>
  <c r="F2684"/>
  <c r="C2684"/>
  <c r="K2683"/>
  <c r="J2683"/>
  <c r="G2683"/>
  <c r="F2683"/>
  <c r="C2683"/>
  <c r="K2682"/>
  <c r="J2682"/>
  <c r="G2682"/>
  <c r="F2682"/>
  <c r="C2682"/>
  <c r="K2681"/>
  <c r="J2681"/>
  <c r="G2681"/>
  <c r="F2681"/>
  <c r="C2681"/>
  <c r="K2680"/>
  <c r="J2680"/>
  <c r="G2680"/>
  <c r="F2680"/>
  <c r="C2680"/>
  <c r="K2679"/>
  <c r="J2679"/>
  <c r="G2679"/>
  <c r="F2679"/>
  <c r="C2679"/>
  <c r="K2678"/>
  <c r="J2678"/>
  <c r="G2678"/>
  <c r="F2678"/>
  <c r="C2678"/>
  <c r="K2677"/>
  <c r="J2677"/>
  <c r="G2677"/>
  <c r="F2677"/>
  <c r="C2677"/>
  <c r="K2676"/>
  <c r="J2676"/>
  <c r="G2676"/>
  <c r="F2676"/>
  <c r="C2676"/>
  <c r="K2675"/>
  <c r="J2675"/>
  <c r="G2675"/>
  <c r="F2675"/>
  <c r="C2675"/>
  <c r="K2674"/>
  <c r="J2674"/>
  <c r="G2674"/>
  <c r="F2674"/>
  <c r="C2674"/>
  <c r="K2673"/>
  <c r="J2673"/>
  <c r="G2673"/>
  <c r="F2673"/>
  <c r="C2673"/>
  <c r="K2672"/>
  <c r="J2672"/>
  <c r="G2672"/>
  <c r="F2672"/>
  <c r="C2672"/>
  <c r="K2671"/>
  <c r="J2671"/>
  <c r="G2671"/>
  <c r="F2671"/>
  <c r="C2671"/>
  <c r="K2670"/>
  <c r="J2670"/>
  <c r="G2670"/>
  <c r="F2670"/>
  <c r="C2670"/>
  <c r="K2669"/>
  <c r="J2669"/>
  <c r="G2669"/>
  <c r="F2669"/>
  <c r="C2669"/>
  <c r="K2668"/>
  <c r="J2668"/>
  <c r="G2668"/>
  <c r="F2668"/>
  <c r="C2668"/>
  <c r="K2667"/>
  <c r="J2667"/>
  <c r="G2667"/>
  <c r="F2667"/>
  <c r="C2667"/>
  <c r="K2666"/>
  <c r="J2666"/>
  <c r="G2666"/>
  <c r="F2666"/>
  <c r="C2666"/>
  <c r="K2665"/>
  <c r="J2665"/>
  <c r="G2665"/>
  <c r="F2665"/>
  <c r="C2665"/>
  <c r="K2664"/>
  <c r="J2664"/>
  <c r="G2664"/>
  <c r="F2664"/>
  <c r="C2664"/>
  <c r="K2663"/>
  <c r="J2663"/>
  <c r="G2663"/>
  <c r="F2663"/>
  <c r="C2663"/>
  <c r="K2662"/>
  <c r="J2662"/>
  <c r="G2662"/>
  <c r="F2662"/>
  <c r="C2662"/>
  <c r="K2661"/>
  <c r="J2661"/>
  <c r="G2661"/>
  <c r="F2661"/>
  <c r="C2661"/>
  <c r="K2660"/>
  <c r="J2660"/>
  <c r="G2660"/>
  <c r="F2660"/>
  <c r="C2660"/>
  <c r="K2659"/>
  <c r="J2659"/>
  <c r="G2659"/>
  <c r="F2659"/>
  <c r="C2659"/>
  <c r="K2658"/>
  <c r="J2658"/>
  <c r="G2658"/>
  <c r="F2658"/>
  <c r="C2658"/>
  <c r="K2657"/>
  <c r="J2657"/>
  <c r="G2657"/>
  <c r="F2657"/>
  <c r="C2657"/>
  <c r="K2656"/>
  <c r="J2656"/>
  <c r="G2656"/>
  <c r="F2656"/>
  <c r="C2656"/>
  <c r="K2655"/>
  <c r="J2655"/>
  <c r="G2655"/>
  <c r="F2655"/>
  <c r="C2655"/>
  <c r="K2654"/>
  <c r="J2654"/>
  <c r="G2654"/>
  <c r="F2654"/>
  <c r="C2654"/>
  <c r="K2653"/>
  <c r="J2653"/>
  <c r="G2653"/>
  <c r="F2653"/>
  <c r="C2653"/>
  <c r="K2652"/>
  <c r="J2652"/>
  <c r="G2652"/>
  <c r="F2652"/>
  <c r="C2652"/>
  <c r="K2651"/>
  <c r="J2651"/>
  <c r="G2651"/>
  <c r="F2651"/>
  <c r="C2651"/>
  <c r="K2650"/>
  <c r="J2650"/>
  <c r="G2650"/>
  <c r="F2650"/>
  <c r="C2650"/>
  <c r="K2649"/>
  <c r="J2649"/>
  <c r="G2649"/>
  <c r="F2649"/>
  <c r="C2649"/>
  <c r="K2648"/>
  <c r="J2648"/>
  <c r="G2648"/>
  <c r="F2648"/>
  <c r="C2648"/>
  <c r="K2647"/>
  <c r="J2647"/>
  <c r="G2647"/>
  <c r="F2647"/>
  <c r="C2647"/>
  <c r="K2646"/>
  <c r="J2646"/>
  <c r="G2646"/>
  <c r="F2646"/>
  <c r="C2646"/>
  <c r="K2645"/>
  <c r="J2645"/>
  <c r="G2645"/>
  <c r="F2645"/>
  <c r="C2645"/>
  <c r="K2644"/>
  <c r="J2644"/>
  <c r="G2644"/>
  <c r="F2644"/>
  <c r="C2644"/>
  <c r="K2643"/>
  <c r="J2643"/>
  <c r="G2643"/>
  <c r="F2643"/>
  <c r="C2643"/>
  <c r="K2642"/>
  <c r="J2642"/>
  <c r="G2642"/>
  <c r="F2642"/>
  <c r="C2642"/>
  <c r="K2641"/>
  <c r="J2641"/>
  <c r="G2641"/>
  <c r="F2641"/>
  <c r="C2641"/>
  <c r="K2640"/>
  <c r="J2640"/>
  <c r="G2640"/>
  <c r="F2640"/>
  <c r="C2640"/>
  <c r="K2639"/>
  <c r="J2639"/>
  <c r="G2639"/>
  <c r="F2639"/>
  <c r="C2639"/>
  <c r="K2638"/>
  <c r="J2638"/>
  <c r="G2638"/>
  <c r="F2638"/>
  <c r="C2638"/>
  <c r="K2637"/>
  <c r="J2637"/>
  <c r="G2637"/>
  <c r="F2637"/>
  <c r="C2637"/>
  <c r="K2636"/>
  <c r="J2636"/>
  <c r="G2636"/>
  <c r="F2636"/>
  <c r="C2636"/>
  <c r="K2635"/>
  <c r="J2635"/>
  <c r="G2635"/>
  <c r="F2635"/>
  <c r="C2635"/>
  <c r="K2634"/>
  <c r="J2634"/>
  <c r="G2634"/>
  <c r="F2634"/>
  <c r="C2634"/>
  <c r="K2633"/>
  <c r="J2633"/>
  <c r="G2633"/>
  <c r="F2633"/>
  <c r="C2633"/>
  <c r="K2632"/>
  <c r="J2632"/>
  <c r="G2632"/>
  <c r="F2632"/>
  <c r="C2632"/>
  <c r="K2631"/>
  <c r="J2631"/>
  <c r="G2631"/>
  <c r="F2631"/>
  <c r="C2631"/>
  <c r="K2630"/>
  <c r="J2630"/>
  <c r="G2630"/>
  <c r="F2630"/>
  <c r="C2630"/>
  <c r="K2629"/>
  <c r="J2629"/>
  <c r="G2629"/>
  <c r="F2629"/>
  <c r="C2629"/>
  <c r="K2628"/>
  <c r="J2628"/>
  <c r="G2628"/>
  <c r="F2628"/>
  <c r="C2628"/>
  <c r="K2627"/>
  <c r="J2627"/>
  <c r="G2627"/>
  <c r="F2627"/>
  <c r="C2627"/>
  <c r="K2626"/>
  <c r="J2626"/>
  <c r="G2626"/>
  <c r="F2626"/>
  <c r="C2626"/>
  <c r="K2625"/>
  <c r="J2625"/>
  <c r="G2625"/>
  <c r="F2625"/>
  <c r="C2625"/>
  <c r="K2624"/>
  <c r="J2624"/>
  <c r="G2624"/>
  <c r="F2624"/>
  <c r="C2624"/>
  <c r="K2623"/>
  <c r="J2623"/>
  <c r="G2623"/>
  <c r="F2623"/>
  <c r="C2623"/>
  <c r="K2622"/>
  <c r="J2622"/>
  <c r="G2622"/>
  <c r="F2622"/>
  <c r="C2622"/>
  <c r="K2621"/>
  <c r="J2621"/>
  <c r="G2621"/>
  <c r="F2621"/>
  <c r="C2621"/>
  <c r="K2620"/>
  <c r="J2620"/>
  <c r="G2620"/>
  <c r="F2620"/>
  <c r="C2620"/>
  <c r="K2619"/>
  <c r="J2619"/>
  <c r="G2619"/>
  <c r="F2619"/>
  <c r="C2619"/>
  <c r="K2618"/>
  <c r="J2618"/>
  <c r="G2618"/>
  <c r="F2618"/>
  <c r="C2618"/>
  <c r="K2617"/>
  <c r="J2617"/>
  <c r="G2617"/>
  <c r="F2617"/>
  <c r="C2617"/>
  <c r="K2616"/>
  <c r="J2616"/>
  <c r="G2616"/>
  <c r="F2616"/>
  <c r="C2616"/>
  <c r="K2615"/>
  <c r="J2615"/>
  <c r="G2615"/>
  <c r="F2615"/>
  <c r="C2615"/>
  <c r="K2614"/>
  <c r="J2614"/>
  <c r="G2614"/>
  <c r="F2614"/>
  <c r="C2614"/>
  <c r="K2613"/>
  <c r="J2613"/>
  <c r="G2613"/>
  <c r="F2613"/>
  <c r="C2613"/>
  <c r="K2612"/>
  <c r="J2612"/>
  <c r="G2612"/>
  <c r="F2612"/>
  <c r="C2612"/>
  <c r="K2611"/>
  <c r="J2611"/>
  <c r="G2611"/>
  <c r="F2611"/>
  <c r="C2611"/>
  <c r="K2610"/>
  <c r="J2610"/>
  <c r="G2610"/>
  <c r="F2610"/>
  <c r="C2610"/>
  <c r="K2609"/>
  <c r="J2609"/>
  <c r="G2609"/>
  <c r="F2609"/>
  <c r="C2609"/>
  <c r="K2608"/>
  <c r="J2608"/>
  <c r="G2608"/>
  <c r="F2608"/>
  <c r="C2608"/>
  <c r="K2607"/>
  <c r="J2607"/>
  <c r="G2607"/>
  <c r="F2607"/>
  <c r="C2607"/>
  <c r="K2606"/>
  <c r="J2606"/>
  <c r="G2606"/>
  <c r="F2606"/>
  <c r="C2606"/>
  <c r="K2605"/>
  <c r="J2605"/>
  <c r="G2605"/>
  <c r="F2605"/>
  <c r="C2605"/>
  <c r="K2604"/>
  <c r="J2604"/>
  <c r="G2604"/>
  <c r="F2604"/>
  <c r="C2604"/>
  <c r="K2603"/>
  <c r="J2603"/>
  <c r="G2603"/>
  <c r="F2603"/>
  <c r="C2603"/>
  <c r="K2602"/>
  <c r="J2602"/>
  <c r="G2602"/>
  <c r="F2602"/>
  <c r="C2602"/>
  <c r="K2601"/>
  <c r="J2601"/>
  <c r="G2601"/>
  <c r="F2601"/>
  <c r="C2601"/>
  <c r="K2600"/>
  <c r="J2600"/>
  <c r="G2600"/>
  <c r="F2600"/>
  <c r="C2600"/>
  <c r="K2599"/>
  <c r="J2599"/>
  <c r="G2599"/>
  <c r="F2599"/>
  <c r="C2599"/>
  <c r="K2598"/>
  <c r="J2598"/>
  <c r="G2598"/>
  <c r="F2598"/>
  <c r="C2598"/>
  <c r="K2597"/>
  <c r="J2597"/>
  <c r="G2597"/>
  <c r="F2597"/>
  <c r="C2597"/>
  <c r="K2596"/>
  <c r="J2596"/>
  <c r="G2596"/>
  <c r="F2596"/>
  <c r="C2596"/>
  <c r="K2595"/>
  <c r="J2595"/>
  <c r="G2595"/>
  <c r="F2595"/>
  <c r="C2595"/>
  <c r="K2594"/>
  <c r="J2594"/>
  <c r="G2594"/>
  <c r="F2594"/>
  <c r="C2594"/>
  <c r="K2593"/>
  <c r="J2593"/>
  <c r="G2593"/>
  <c r="F2593"/>
  <c r="C2593"/>
  <c r="K2592"/>
  <c r="J2592"/>
  <c r="G2592"/>
  <c r="F2592"/>
  <c r="C2592"/>
  <c r="K2591"/>
  <c r="J2591"/>
  <c r="G2591"/>
  <c r="F2591"/>
  <c r="C2591"/>
  <c r="K2590"/>
  <c r="J2590"/>
  <c r="G2590"/>
  <c r="F2590"/>
  <c r="C2590"/>
  <c r="K2589"/>
  <c r="J2589"/>
  <c r="G2589"/>
  <c r="F2589"/>
  <c r="C2589"/>
  <c r="K2588"/>
  <c r="J2588"/>
  <c r="G2588"/>
  <c r="F2588"/>
  <c r="C2588"/>
  <c r="K2587"/>
  <c r="J2587"/>
  <c r="G2587"/>
  <c r="F2587"/>
  <c r="C2587"/>
  <c r="K2586"/>
  <c r="J2586"/>
  <c r="G2586"/>
  <c r="F2586"/>
  <c r="C2586"/>
  <c r="K2585"/>
  <c r="J2585"/>
  <c r="G2585"/>
  <c r="F2585"/>
  <c r="C2585"/>
  <c r="K2584"/>
  <c r="J2584"/>
  <c r="G2584"/>
  <c r="F2584"/>
  <c r="C2584"/>
  <c r="K2583"/>
  <c r="J2583"/>
  <c r="G2583"/>
  <c r="F2583"/>
  <c r="C2583"/>
  <c r="K2582"/>
  <c r="J2582"/>
  <c r="G2582"/>
  <c r="F2582"/>
  <c r="C2582"/>
  <c r="K2581"/>
  <c r="J2581"/>
  <c r="G2581"/>
  <c r="F2581"/>
  <c r="C2581"/>
  <c r="K2580"/>
  <c r="J2580"/>
  <c r="G2580"/>
  <c r="F2580"/>
  <c r="C2580"/>
  <c r="K2579"/>
  <c r="J2579"/>
  <c r="G2579"/>
  <c r="F2579"/>
  <c r="C2579"/>
  <c r="K2578"/>
  <c r="J2578"/>
  <c r="G2578"/>
  <c r="F2578"/>
  <c r="C2578"/>
  <c r="K2577"/>
  <c r="J2577"/>
  <c r="G2577"/>
  <c r="F2577"/>
  <c r="C2577"/>
  <c r="K2576"/>
  <c r="J2576"/>
  <c r="G2576"/>
  <c r="F2576"/>
  <c r="C2576"/>
  <c r="K2575"/>
  <c r="J2575"/>
  <c r="G2575"/>
  <c r="F2575"/>
  <c r="C2575"/>
  <c r="K2574"/>
  <c r="J2574"/>
  <c r="G2574"/>
  <c r="F2574"/>
  <c r="C2574"/>
  <c r="K2573"/>
  <c r="J2573"/>
  <c r="G2573"/>
  <c r="F2573"/>
  <c r="C2573"/>
  <c r="K2572"/>
  <c r="J2572"/>
  <c r="G2572"/>
  <c r="F2572"/>
  <c r="C2572"/>
  <c r="K2571"/>
  <c r="J2571"/>
  <c r="G2571"/>
  <c r="F2571"/>
  <c r="C2571"/>
  <c r="K2570"/>
  <c r="J2570"/>
  <c r="G2570"/>
  <c r="F2570"/>
  <c r="C2570"/>
  <c r="K2569"/>
  <c r="J2569"/>
  <c r="G2569"/>
  <c r="F2569"/>
  <c r="C2569"/>
  <c r="K2568"/>
  <c r="J2568"/>
  <c r="G2568"/>
  <c r="F2568"/>
  <c r="C2568"/>
  <c r="K2567"/>
  <c r="J2567"/>
  <c r="G2567"/>
  <c r="F2567"/>
  <c r="C2567"/>
  <c r="K2566"/>
  <c r="J2566"/>
  <c r="G2566"/>
  <c r="F2566"/>
  <c r="C2566"/>
  <c r="K2565"/>
  <c r="G2565"/>
  <c r="F2565"/>
  <c r="C2565"/>
  <c r="K2564"/>
  <c r="J2564"/>
  <c r="G2564"/>
  <c r="F2564"/>
  <c r="C2564"/>
  <c r="K2563"/>
  <c r="G2563"/>
  <c r="F2563"/>
  <c r="C2563"/>
  <c r="K2562"/>
  <c r="J2562"/>
  <c r="G2562"/>
  <c r="F2562"/>
  <c r="C2562"/>
  <c r="K2561"/>
  <c r="J2561"/>
  <c r="G2561"/>
  <c r="F2561"/>
  <c r="C2561"/>
  <c r="K2560"/>
  <c r="J2560"/>
  <c r="G2560"/>
  <c r="F2560"/>
  <c r="C2560"/>
  <c r="K2559"/>
  <c r="J2559"/>
  <c r="G2559"/>
  <c r="F2559"/>
  <c r="C2559"/>
  <c r="K2558"/>
  <c r="J2558"/>
  <c r="G2558"/>
  <c r="F2558"/>
  <c r="C2558"/>
  <c r="K2557"/>
  <c r="J2557"/>
  <c r="G2557"/>
  <c r="F2557"/>
  <c r="C2557"/>
  <c r="K2556"/>
  <c r="J2556"/>
  <c r="G2556"/>
  <c r="F2556"/>
  <c r="C2556"/>
  <c r="K2555"/>
  <c r="J2555"/>
  <c r="G2555"/>
  <c r="F2555"/>
  <c r="C2555"/>
  <c r="K2554"/>
  <c r="J2554"/>
  <c r="G2554"/>
  <c r="F2554"/>
  <c r="C2554"/>
  <c r="K2553"/>
  <c r="J2553"/>
  <c r="G2553"/>
  <c r="F2553"/>
  <c r="C2553"/>
  <c r="K2552"/>
  <c r="J2552"/>
  <c r="G2552"/>
  <c r="F2552"/>
  <c r="C2552"/>
  <c r="K2551"/>
  <c r="J2551"/>
  <c r="G2551"/>
  <c r="F2551"/>
  <c r="C2551"/>
  <c r="K2550"/>
  <c r="J2550"/>
  <c r="G2550"/>
  <c r="F2550"/>
  <c r="C2550"/>
  <c r="K2549"/>
  <c r="J2549"/>
  <c r="G2549"/>
  <c r="F2549"/>
  <c r="C2549"/>
  <c r="K2548"/>
  <c r="J2548"/>
  <c r="G2548"/>
  <c r="F2548"/>
  <c r="C2548"/>
  <c r="K2547"/>
  <c r="J2547"/>
  <c r="G2547"/>
  <c r="F2547"/>
  <c r="C2547"/>
  <c r="K2546"/>
  <c r="J2546"/>
  <c r="G2546"/>
  <c r="F2546"/>
  <c r="C2546"/>
  <c r="K2545"/>
  <c r="J2545"/>
  <c r="G2545"/>
  <c r="F2545"/>
  <c r="C2545"/>
  <c r="K2544"/>
  <c r="J2544"/>
  <c r="G2544"/>
  <c r="F2544"/>
  <c r="C2544"/>
  <c r="K2543"/>
  <c r="J2543"/>
  <c r="G2543"/>
  <c r="F2543"/>
  <c r="C2543"/>
  <c r="K2542"/>
  <c r="J2542"/>
  <c r="G2542"/>
  <c r="F2542"/>
  <c r="C2542"/>
  <c r="K2541"/>
  <c r="J2541"/>
  <c r="G2541"/>
  <c r="F2541"/>
  <c r="C2541"/>
  <c r="K2540"/>
  <c r="J2540"/>
  <c r="G2540"/>
  <c r="F2540"/>
  <c r="C2540"/>
  <c r="K2539"/>
  <c r="J2539"/>
  <c r="G2539"/>
  <c r="F2539"/>
  <c r="C2539"/>
  <c r="K2538"/>
  <c r="J2538"/>
  <c r="G2538"/>
  <c r="F2538"/>
  <c r="C2538"/>
  <c r="K2537"/>
  <c r="J2537"/>
  <c r="G2537"/>
  <c r="F2537"/>
  <c r="C2537"/>
  <c r="K2536"/>
  <c r="J2536"/>
  <c r="G2536"/>
  <c r="F2536"/>
  <c r="C2536"/>
  <c r="K2535"/>
  <c r="J2535"/>
  <c r="G2535"/>
  <c r="F2535"/>
  <c r="C2535"/>
  <c r="K2534"/>
  <c r="J2534"/>
  <c r="G2534"/>
  <c r="F2534"/>
  <c r="C2534"/>
  <c r="K2533"/>
  <c r="J2533"/>
  <c r="G2533"/>
  <c r="F2533"/>
  <c r="C2533"/>
  <c r="K2532"/>
  <c r="J2532"/>
  <c r="G2532"/>
  <c r="F2532"/>
  <c r="C2532"/>
  <c r="K2531"/>
  <c r="J2531"/>
  <c r="G2531"/>
  <c r="F2531"/>
  <c r="C2531"/>
  <c r="K2530"/>
  <c r="J2530"/>
  <c r="G2530"/>
  <c r="F2530"/>
  <c r="C2530"/>
  <c r="K2529"/>
  <c r="J2529"/>
  <c r="G2529"/>
  <c r="F2529"/>
  <c r="C2529"/>
  <c r="K2528"/>
  <c r="J2528"/>
  <c r="G2528"/>
  <c r="F2528"/>
  <c r="C2528"/>
  <c r="K2527"/>
  <c r="J2527"/>
  <c r="G2527"/>
  <c r="F2527"/>
  <c r="C2527"/>
  <c r="K2526"/>
  <c r="J2526"/>
  <c r="G2526"/>
  <c r="F2526"/>
  <c r="C2526"/>
  <c r="K2525"/>
  <c r="J2525"/>
  <c r="G2525"/>
  <c r="F2525"/>
  <c r="C2525"/>
  <c r="K2524"/>
  <c r="J2524"/>
  <c r="G2524"/>
  <c r="F2524"/>
  <c r="C2524"/>
  <c r="K2523"/>
  <c r="J2523"/>
  <c r="G2523"/>
  <c r="F2523"/>
  <c r="C2523"/>
  <c r="K2522"/>
  <c r="J2522"/>
  <c r="G2522"/>
  <c r="F2522"/>
  <c r="C2522"/>
  <c r="K2521"/>
  <c r="J2521"/>
  <c r="G2521"/>
  <c r="F2521"/>
  <c r="C2521"/>
  <c r="K2520"/>
  <c r="J2520"/>
  <c r="G2520"/>
  <c r="F2520"/>
  <c r="C2520"/>
  <c r="K2519"/>
  <c r="J2519"/>
  <c r="G2519"/>
  <c r="F2519"/>
  <c r="C2519"/>
  <c r="K2518"/>
  <c r="J2518"/>
  <c r="G2518"/>
  <c r="F2518"/>
  <c r="C2518"/>
  <c r="K2517"/>
  <c r="J2517"/>
  <c r="G2517"/>
  <c r="F2517"/>
  <c r="C2517"/>
  <c r="K2516"/>
  <c r="J2516"/>
  <c r="G2516"/>
  <c r="F2516"/>
  <c r="C2516"/>
  <c r="K2515"/>
  <c r="J2515"/>
  <c r="G2515"/>
  <c r="F2515"/>
  <c r="C2515"/>
  <c r="K2514"/>
  <c r="J2514"/>
  <c r="G2514"/>
  <c r="F2514"/>
  <c r="C2514"/>
  <c r="K2513"/>
  <c r="J2513"/>
  <c r="G2513"/>
  <c r="F2513"/>
  <c r="C2513"/>
  <c r="K2512"/>
  <c r="J2512"/>
  <c r="G2512"/>
  <c r="F2512"/>
  <c r="C2512"/>
  <c r="K2511"/>
  <c r="J2511"/>
  <c r="G2511"/>
  <c r="F2511"/>
  <c r="C2511"/>
  <c r="K2510"/>
  <c r="J2510"/>
  <c r="G2510"/>
  <c r="F2510"/>
  <c r="C2510"/>
  <c r="K2509"/>
  <c r="J2509"/>
  <c r="G2509"/>
  <c r="F2509"/>
  <c r="C2509"/>
  <c r="K2508"/>
  <c r="J2508"/>
  <c r="G2508"/>
  <c r="F2508"/>
  <c r="C2508"/>
  <c r="K2507"/>
  <c r="J2507"/>
  <c r="G2507"/>
  <c r="F2507"/>
  <c r="C2507"/>
  <c r="K2506"/>
  <c r="J2506"/>
  <c r="G2506"/>
  <c r="F2506"/>
  <c r="C2506"/>
  <c r="K2505"/>
  <c r="J2505"/>
  <c r="G2505"/>
  <c r="F2505"/>
  <c r="C2505"/>
  <c r="K2504"/>
  <c r="J2504"/>
  <c r="G2504"/>
  <c r="F2504"/>
  <c r="C2504"/>
  <c r="K2503"/>
  <c r="J2503"/>
  <c r="G2503"/>
  <c r="F2503"/>
  <c r="C2503"/>
  <c r="K2502"/>
  <c r="J2502"/>
  <c r="G2502"/>
  <c r="F2502"/>
  <c r="C2502"/>
  <c r="K2501"/>
  <c r="J2501"/>
  <c r="G2501"/>
  <c r="F2501"/>
  <c r="C2501"/>
  <c r="K2500"/>
  <c r="J2500"/>
  <c r="G2500"/>
  <c r="F2500"/>
  <c r="C2500"/>
  <c r="K2499"/>
  <c r="J2499"/>
  <c r="G2499"/>
  <c r="F2499"/>
  <c r="C2499"/>
  <c r="K2498"/>
  <c r="J2498"/>
  <c r="G2498"/>
  <c r="F2498"/>
  <c r="C2498"/>
  <c r="K2497"/>
  <c r="J2497"/>
  <c r="G2497"/>
  <c r="F2497"/>
  <c r="C2497"/>
  <c r="K2496"/>
  <c r="J2496"/>
  <c r="G2496"/>
  <c r="F2496"/>
  <c r="C2496"/>
  <c r="K2495"/>
  <c r="J2495"/>
  <c r="G2495"/>
  <c r="F2495"/>
  <c r="C2495"/>
  <c r="K2494"/>
  <c r="J2494"/>
  <c r="G2494"/>
  <c r="F2494"/>
  <c r="C2494"/>
  <c r="K2493"/>
  <c r="J2493"/>
  <c r="G2493"/>
  <c r="F2493"/>
  <c r="C2493"/>
  <c r="K2492"/>
  <c r="J2492"/>
  <c r="G2492"/>
  <c r="F2492"/>
  <c r="C2492"/>
  <c r="K2491"/>
  <c r="J2491"/>
  <c r="G2491"/>
  <c r="F2491"/>
  <c r="C2491"/>
  <c r="K2490"/>
  <c r="J2490"/>
  <c r="G2490"/>
  <c r="F2490"/>
  <c r="C2490"/>
  <c r="K2489"/>
  <c r="J2489"/>
  <c r="G2489"/>
  <c r="F2489"/>
  <c r="C2489"/>
  <c r="K2488"/>
  <c r="J2488"/>
  <c r="G2488"/>
  <c r="F2488"/>
  <c r="C2488"/>
  <c r="K2487"/>
  <c r="J2487"/>
  <c r="G2487"/>
  <c r="F2487"/>
  <c r="C2487"/>
  <c r="K2486"/>
  <c r="J2486"/>
  <c r="G2486"/>
  <c r="F2486"/>
  <c r="C2486"/>
  <c r="K2485"/>
  <c r="J2485"/>
  <c r="G2485"/>
  <c r="F2485"/>
  <c r="C2485"/>
  <c r="K2484"/>
  <c r="J2484"/>
  <c r="G2484"/>
  <c r="F2484"/>
  <c r="C2484"/>
  <c r="K2483"/>
  <c r="J2483"/>
  <c r="G2483"/>
  <c r="F2483"/>
  <c r="C2483"/>
  <c r="K2482"/>
  <c r="J2482"/>
  <c r="G2482"/>
  <c r="F2482"/>
  <c r="C2482"/>
  <c r="K2481"/>
  <c r="J2481"/>
  <c r="G2481"/>
  <c r="F2481"/>
  <c r="C2481"/>
  <c r="K2480"/>
  <c r="J2480"/>
  <c r="G2480"/>
  <c r="F2480"/>
  <c r="C2480"/>
  <c r="K2479"/>
  <c r="J2479"/>
  <c r="G2479"/>
  <c r="F2479"/>
  <c r="C2479"/>
  <c r="K2478"/>
  <c r="J2478"/>
  <c r="G2478"/>
  <c r="F2478"/>
  <c r="C2478"/>
  <c r="K2477"/>
  <c r="J2477"/>
  <c r="G2477"/>
  <c r="F2477"/>
  <c r="C2477"/>
  <c r="K2476"/>
  <c r="J2476"/>
  <c r="G2476"/>
  <c r="F2476"/>
  <c r="C2476"/>
  <c r="K2475"/>
  <c r="G2475"/>
  <c r="F2475"/>
  <c r="C2475"/>
  <c r="K2474"/>
  <c r="J2474"/>
  <c r="G2474"/>
  <c r="F2474"/>
  <c r="C2474"/>
  <c r="K2473"/>
  <c r="J2473"/>
  <c r="G2473"/>
  <c r="F2473"/>
  <c r="C2473"/>
  <c r="K2472"/>
  <c r="J2472"/>
  <c r="G2472"/>
  <c r="F2472"/>
  <c r="C2472"/>
  <c r="K2471"/>
  <c r="J2471"/>
  <c r="G2471"/>
  <c r="F2471"/>
  <c r="C2471"/>
  <c r="K2470"/>
  <c r="J2470"/>
  <c r="G2470"/>
  <c r="F2470"/>
  <c r="C2470"/>
  <c r="K2469"/>
  <c r="J2469"/>
  <c r="G2469"/>
  <c r="F2469"/>
  <c r="C2469"/>
  <c r="K2468"/>
  <c r="J2468"/>
  <c r="G2468"/>
  <c r="F2468"/>
  <c r="C2468"/>
  <c r="K2467"/>
  <c r="J2467"/>
  <c r="G2467"/>
  <c r="F2467"/>
  <c r="C2467"/>
  <c r="K2466"/>
  <c r="J2466"/>
  <c r="G2466"/>
  <c r="F2466"/>
  <c r="C2466"/>
  <c r="K2465"/>
  <c r="J2465"/>
  <c r="G2465"/>
  <c r="F2465"/>
  <c r="C2465"/>
  <c r="K2464"/>
  <c r="J2464"/>
  <c r="G2464"/>
  <c r="F2464"/>
  <c r="C2464"/>
  <c r="K2463"/>
  <c r="J2463"/>
  <c r="G2463"/>
  <c r="F2463"/>
  <c r="C2463"/>
  <c r="K2462"/>
  <c r="J2462"/>
  <c r="G2462"/>
  <c r="F2462"/>
  <c r="C2462"/>
  <c r="K2461"/>
  <c r="J2461"/>
  <c r="G2461"/>
  <c r="F2461"/>
  <c r="C2461"/>
  <c r="K2460"/>
  <c r="J2460"/>
  <c r="G2460"/>
  <c r="F2460"/>
  <c r="C2460"/>
  <c r="K2459"/>
  <c r="J2459"/>
  <c r="G2459"/>
  <c r="F2459"/>
  <c r="C2459"/>
  <c r="K2458"/>
  <c r="J2458"/>
  <c r="G2458"/>
  <c r="F2458"/>
  <c r="C2458"/>
  <c r="K2457"/>
  <c r="G2457"/>
  <c r="F2457"/>
  <c r="C2457"/>
  <c r="K2456"/>
  <c r="J2456"/>
  <c r="G2456"/>
  <c r="F2456"/>
  <c r="C2456"/>
  <c r="K2455"/>
  <c r="G2455"/>
  <c r="F2455"/>
  <c r="C2455"/>
  <c r="K2454"/>
  <c r="G2454"/>
  <c r="F2454"/>
  <c r="C2454"/>
  <c r="K2453"/>
  <c r="G2453"/>
  <c r="F2453"/>
  <c r="C2453"/>
  <c r="K2452"/>
  <c r="J2452"/>
  <c r="G2452"/>
  <c r="F2452"/>
  <c r="C2452"/>
  <c r="K2451"/>
  <c r="J2451"/>
  <c r="G2451"/>
  <c r="F2451"/>
  <c r="C2451"/>
  <c r="K2450"/>
  <c r="J2450"/>
  <c r="G2450"/>
  <c r="F2450"/>
  <c r="C2450"/>
  <c r="K2449"/>
  <c r="J2449"/>
  <c r="G2449"/>
  <c r="F2449"/>
  <c r="C2449"/>
  <c r="K2448"/>
  <c r="J2448"/>
  <c r="G2448"/>
  <c r="F2448"/>
  <c r="C2448"/>
  <c r="K2447"/>
  <c r="J2447"/>
  <c r="G2447"/>
  <c r="F2447"/>
  <c r="C2447"/>
  <c r="K2446"/>
  <c r="J2446"/>
  <c r="G2446"/>
  <c r="F2446"/>
  <c r="C2446"/>
  <c r="K2445"/>
  <c r="J2445"/>
  <c r="G2445"/>
  <c r="F2445"/>
  <c r="C2445"/>
  <c r="K2444"/>
  <c r="G2444"/>
  <c r="F2444"/>
  <c r="C2444"/>
  <c r="K2443"/>
  <c r="J2443"/>
  <c r="G2443"/>
  <c r="F2443"/>
  <c r="C2443"/>
  <c r="K2442"/>
  <c r="J2442"/>
  <c r="G2442"/>
  <c r="F2442"/>
  <c r="C2442"/>
  <c r="K2441"/>
  <c r="G2441"/>
  <c r="F2441"/>
  <c r="C2441"/>
  <c r="K2440"/>
  <c r="J2440"/>
  <c r="G2440"/>
  <c r="F2440"/>
  <c r="C2440"/>
  <c r="K2439"/>
  <c r="J2439"/>
  <c r="G2439"/>
  <c r="F2439"/>
  <c r="C2439"/>
  <c r="K2438"/>
  <c r="J2438"/>
  <c r="G2438"/>
  <c r="F2438"/>
  <c r="C2438"/>
  <c r="K2437"/>
  <c r="J2437"/>
  <c r="G2437"/>
  <c r="F2437"/>
  <c r="C2437"/>
  <c r="K2436"/>
  <c r="J2436"/>
  <c r="G2436"/>
  <c r="F2436"/>
  <c r="C2436"/>
  <c r="K2435"/>
  <c r="G2435"/>
  <c r="F2435"/>
  <c r="C2435"/>
  <c r="K2434"/>
  <c r="G2434"/>
  <c r="F2434"/>
  <c r="C2434"/>
  <c r="K2433"/>
  <c r="G2433"/>
  <c r="F2433"/>
  <c r="C2433"/>
  <c r="K2432"/>
  <c r="G2432"/>
  <c r="F2432"/>
  <c r="C2432"/>
  <c r="K2431"/>
  <c r="G2431"/>
  <c r="F2431"/>
  <c r="C2431"/>
  <c r="K2430"/>
  <c r="J2430"/>
  <c r="G2430"/>
  <c r="F2430"/>
  <c r="C2430"/>
  <c r="K2429"/>
  <c r="J2429"/>
  <c r="G2429"/>
  <c r="F2429"/>
  <c r="C2429"/>
  <c r="K2428"/>
  <c r="J2428"/>
  <c r="G2428"/>
  <c r="F2428"/>
  <c r="C2428"/>
  <c r="K2427"/>
  <c r="J2427"/>
  <c r="G2427"/>
  <c r="F2427"/>
  <c r="C2427"/>
  <c r="K2426"/>
  <c r="J2426"/>
  <c r="G2426"/>
  <c r="F2426"/>
  <c r="C2426"/>
  <c r="K2425"/>
  <c r="J2425"/>
  <c r="G2425"/>
  <c r="F2425"/>
  <c r="C2425"/>
  <c r="K2424"/>
  <c r="J2424"/>
  <c r="G2424"/>
  <c r="F2424"/>
  <c r="C2424"/>
  <c r="K2423"/>
  <c r="J2423"/>
  <c r="G2423"/>
  <c r="F2423"/>
  <c r="C2423"/>
  <c r="K2422"/>
  <c r="J2422"/>
  <c r="G2422"/>
  <c r="F2422"/>
  <c r="C2422"/>
  <c r="K2421"/>
  <c r="J2421"/>
  <c r="G2421"/>
  <c r="F2421"/>
  <c r="C2421"/>
  <c r="K2420"/>
  <c r="J2420"/>
  <c r="G2420"/>
  <c r="F2420"/>
  <c r="C2420"/>
  <c r="K2419"/>
  <c r="J2419"/>
  <c r="G2419"/>
  <c r="F2419"/>
  <c r="C2419"/>
  <c r="K2418"/>
  <c r="J2418"/>
  <c r="G2418"/>
  <c r="F2418"/>
  <c r="C2418"/>
  <c r="K2417"/>
  <c r="J2417"/>
  <c r="G2417"/>
  <c r="F2417"/>
  <c r="C2417"/>
  <c r="K2416"/>
  <c r="J2416"/>
  <c r="G2416"/>
  <c r="F2416"/>
  <c r="C2416"/>
  <c r="K2415"/>
  <c r="J2415"/>
  <c r="G2415"/>
  <c r="F2415"/>
  <c r="C2415"/>
  <c r="K2414"/>
  <c r="J2414"/>
  <c r="G2414"/>
  <c r="F2414"/>
  <c r="C2414"/>
  <c r="K2413"/>
  <c r="J2413"/>
  <c r="G2413"/>
  <c r="F2413"/>
  <c r="C2413"/>
  <c r="K2412"/>
  <c r="J2412"/>
  <c r="G2412"/>
  <c r="F2412"/>
  <c r="C2412"/>
  <c r="K2411"/>
  <c r="J2411"/>
  <c r="G2411"/>
  <c r="F2411"/>
  <c r="C2411"/>
  <c r="K2410"/>
  <c r="J2410"/>
  <c r="G2410"/>
  <c r="F2410"/>
  <c r="C2410"/>
  <c r="K2409"/>
  <c r="J2409"/>
  <c r="G2409"/>
  <c r="F2409"/>
  <c r="C2409"/>
  <c r="K2408"/>
  <c r="J2408"/>
  <c r="G2408"/>
  <c r="F2408"/>
  <c r="C2408"/>
  <c r="K2407"/>
  <c r="J2407"/>
  <c r="G2407"/>
  <c r="F2407"/>
  <c r="C2407"/>
  <c r="K2406"/>
  <c r="J2406"/>
  <c r="G2406"/>
  <c r="F2406"/>
  <c r="C2406"/>
  <c r="K2405"/>
  <c r="J2405"/>
  <c r="G2405"/>
  <c r="F2405"/>
  <c r="C2405"/>
  <c r="K2404"/>
  <c r="J2404"/>
  <c r="G2404"/>
  <c r="F2404"/>
  <c r="C2404"/>
  <c r="K2403"/>
  <c r="J2403"/>
  <c r="G2403"/>
  <c r="F2403"/>
  <c r="C2403"/>
  <c r="K2402"/>
  <c r="J2402"/>
  <c r="G2402"/>
  <c r="F2402"/>
  <c r="C2402"/>
  <c r="K2401"/>
  <c r="J2401"/>
  <c r="G2401"/>
  <c r="F2401"/>
  <c r="C2401"/>
  <c r="K2400"/>
  <c r="J2400"/>
  <c r="G2400"/>
  <c r="F2400"/>
  <c r="C2400"/>
  <c r="K2399"/>
  <c r="J2399"/>
  <c r="G2399"/>
  <c r="F2399"/>
  <c r="C2399"/>
  <c r="K2398"/>
  <c r="J2398"/>
  <c r="G2398"/>
  <c r="F2398"/>
  <c r="C2398"/>
  <c r="K2397"/>
  <c r="J2397"/>
  <c r="G2397"/>
  <c r="F2397"/>
  <c r="C2397"/>
  <c r="K2396"/>
  <c r="J2396"/>
  <c r="G2396"/>
  <c r="F2396"/>
  <c r="C2396"/>
  <c r="K2395"/>
  <c r="J2395"/>
  <c r="G2395"/>
  <c r="F2395"/>
  <c r="C2395"/>
  <c r="K2394"/>
  <c r="J2394"/>
  <c r="G2394"/>
  <c r="F2394"/>
  <c r="C2394"/>
  <c r="K2393"/>
  <c r="J2393"/>
  <c r="G2393"/>
  <c r="F2393"/>
  <c r="C2393"/>
  <c r="K2392"/>
  <c r="J2392"/>
  <c r="G2392"/>
  <c r="F2392"/>
  <c r="C2392"/>
  <c r="K2391"/>
  <c r="J2391"/>
  <c r="G2391"/>
  <c r="F2391"/>
  <c r="C2391"/>
  <c r="K2390"/>
  <c r="J2390"/>
  <c r="G2390"/>
  <c r="F2390"/>
  <c r="C2390"/>
  <c r="K2389"/>
  <c r="J2389"/>
  <c r="G2389"/>
  <c r="F2389"/>
  <c r="C2389"/>
  <c r="K2388"/>
  <c r="J2388"/>
  <c r="G2388"/>
  <c r="F2388"/>
  <c r="C2388"/>
  <c r="K2387"/>
  <c r="J2387"/>
  <c r="G2387"/>
  <c r="F2387"/>
  <c r="C2387"/>
  <c r="K2386"/>
  <c r="J2386"/>
  <c r="G2386"/>
  <c r="F2386"/>
  <c r="C2386"/>
  <c r="K2385"/>
  <c r="J2385"/>
  <c r="G2385"/>
  <c r="F2385"/>
  <c r="C2385"/>
  <c r="K2384"/>
  <c r="J2384"/>
  <c r="G2384"/>
  <c r="F2384"/>
  <c r="C2384"/>
  <c r="K2383"/>
  <c r="J2383"/>
  <c r="G2383"/>
  <c r="F2383"/>
  <c r="C2383"/>
  <c r="K2382"/>
  <c r="J2382"/>
  <c r="G2382"/>
  <c r="F2382"/>
  <c r="C2382"/>
  <c r="K2381"/>
  <c r="J2381"/>
  <c r="G2381"/>
  <c r="F2381"/>
  <c r="C2381"/>
  <c r="K2380"/>
  <c r="J2380"/>
  <c r="G2380"/>
  <c r="F2380"/>
  <c r="C2380"/>
  <c r="K2379"/>
  <c r="J2379"/>
  <c r="G2379"/>
  <c r="F2379"/>
  <c r="C2379"/>
  <c r="K2378"/>
  <c r="J2378"/>
  <c r="G2378"/>
  <c r="F2378"/>
  <c r="C2378"/>
  <c r="K2377"/>
  <c r="J2377"/>
  <c r="G2377"/>
  <c r="F2377"/>
  <c r="C2377"/>
  <c r="K2376"/>
  <c r="J2376"/>
  <c r="G2376"/>
  <c r="F2376"/>
  <c r="C2376"/>
  <c r="K2375"/>
  <c r="J2375"/>
  <c r="G2375"/>
  <c r="F2375"/>
  <c r="C2375"/>
  <c r="K2374"/>
  <c r="J2374"/>
  <c r="G2374"/>
  <c r="F2374"/>
  <c r="C2374"/>
  <c r="K2373"/>
  <c r="J2373"/>
  <c r="G2373"/>
  <c r="F2373"/>
  <c r="C2373"/>
  <c r="K2372"/>
  <c r="J2372"/>
  <c r="G2372"/>
  <c r="F2372"/>
  <c r="C2372"/>
  <c r="K2371"/>
  <c r="J2371"/>
  <c r="G2371"/>
  <c r="F2371"/>
  <c r="C2371"/>
  <c r="K2370"/>
  <c r="J2370"/>
  <c r="G2370"/>
  <c r="F2370"/>
  <c r="C2370"/>
  <c r="K2369"/>
  <c r="J2369"/>
  <c r="G2369"/>
  <c r="F2369"/>
  <c r="C2369"/>
  <c r="K2368"/>
  <c r="J2368"/>
  <c r="G2368"/>
  <c r="F2368"/>
  <c r="C2368"/>
  <c r="K2367"/>
  <c r="J2367"/>
  <c r="G2367"/>
  <c r="F2367"/>
  <c r="C2367"/>
  <c r="K2366"/>
  <c r="J2366"/>
  <c r="G2366"/>
  <c r="F2366"/>
  <c r="C2366"/>
  <c r="K2365"/>
  <c r="J2365"/>
  <c r="G2365"/>
  <c r="F2365"/>
  <c r="C2365"/>
  <c r="K2364"/>
  <c r="J2364"/>
  <c r="G2364"/>
  <c r="F2364"/>
  <c r="C2364"/>
  <c r="K2363"/>
  <c r="J2363"/>
  <c r="G2363"/>
  <c r="F2363"/>
  <c r="C2363"/>
  <c r="K2362"/>
  <c r="J2362"/>
  <c r="G2362"/>
  <c r="F2362"/>
  <c r="C2362"/>
  <c r="K2361"/>
  <c r="J2361"/>
  <c r="G2361"/>
  <c r="F2361"/>
  <c r="C2361"/>
  <c r="K2360"/>
  <c r="J2360"/>
  <c r="G2360"/>
  <c r="F2360"/>
  <c r="C2360"/>
  <c r="K2359"/>
  <c r="J2359"/>
  <c r="G2359"/>
  <c r="F2359"/>
  <c r="C2359"/>
  <c r="K2358"/>
  <c r="J2358"/>
  <c r="G2358"/>
  <c r="F2358"/>
  <c r="C2358"/>
  <c r="K2357"/>
  <c r="J2357"/>
  <c r="G2357"/>
  <c r="F2357"/>
  <c r="C2357"/>
  <c r="K2356"/>
  <c r="J2356"/>
  <c r="G2356"/>
  <c r="F2356"/>
  <c r="C2356"/>
  <c r="K2355"/>
  <c r="J2355"/>
  <c r="G2355"/>
  <c r="F2355"/>
  <c r="C2355"/>
  <c r="K2354"/>
  <c r="J2354"/>
  <c r="G2354"/>
  <c r="F2354"/>
  <c r="C2354"/>
  <c r="K2353"/>
  <c r="J2353"/>
  <c r="G2353"/>
  <c r="F2353"/>
  <c r="C2353"/>
  <c r="K2352"/>
  <c r="J2352"/>
  <c r="G2352"/>
  <c r="F2352"/>
  <c r="C2352"/>
  <c r="K2351"/>
  <c r="J2351"/>
  <c r="G2351"/>
  <c r="F2351"/>
  <c r="C2351"/>
  <c r="K2350"/>
  <c r="J2350"/>
  <c r="G2350"/>
  <c r="F2350"/>
  <c r="C2350"/>
  <c r="K2349"/>
  <c r="J2349"/>
  <c r="G2349"/>
  <c r="F2349"/>
  <c r="C2349"/>
  <c r="K2348"/>
  <c r="J2348"/>
  <c r="G2348"/>
  <c r="F2348"/>
  <c r="C2348"/>
  <c r="K2347"/>
  <c r="J2347"/>
  <c r="G2347"/>
  <c r="F2347"/>
  <c r="C2347"/>
  <c r="K2346"/>
  <c r="J2346"/>
  <c r="G2346"/>
  <c r="F2346"/>
  <c r="C2346"/>
  <c r="K2345"/>
  <c r="J2345"/>
  <c r="G2345"/>
  <c r="F2345"/>
  <c r="C2345"/>
  <c r="K2344"/>
  <c r="J2344"/>
  <c r="G2344"/>
  <c r="F2344"/>
  <c r="C2344"/>
  <c r="K2343"/>
  <c r="J2343"/>
  <c r="G2343"/>
  <c r="F2343"/>
  <c r="C2343"/>
  <c r="K2342"/>
  <c r="J2342"/>
  <c r="G2342"/>
  <c r="F2342"/>
  <c r="C2342"/>
  <c r="K2341"/>
  <c r="J2341"/>
  <c r="G2341"/>
  <c r="F2341"/>
  <c r="C2341"/>
  <c r="K2340"/>
  <c r="J2340"/>
  <c r="G2340"/>
  <c r="F2340"/>
  <c r="C2340"/>
  <c r="K2339"/>
  <c r="J2339"/>
  <c r="G2339"/>
  <c r="F2339"/>
  <c r="C2339"/>
  <c r="K2338"/>
  <c r="J2338"/>
  <c r="G2338"/>
  <c r="F2338"/>
  <c r="C2338"/>
  <c r="K2337"/>
  <c r="J2337"/>
  <c r="G2337"/>
  <c r="F2337"/>
  <c r="C2337"/>
  <c r="K2336"/>
  <c r="J2336"/>
  <c r="G2336"/>
  <c r="F2336"/>
  <c r="C2336"/>
  <c r="K2335"/>
  <c r="J2335"/>
  <c r="G2335"/>
  <c r="F2335"/>
  <c r="C2335"/>
  <c r="K2334"/>
  <c r="J2334"/>
  <c r="G2334"/>
  <c r="F2334"/>
  <c r="C2334"/>
  <c r="K2333"/>
  <c r="J2333"/>
  <c r="G2333"/>
  <c r="F2333"/>
  <c r="C2333"/>
  <c r="K2332"/>
  <c r="J2332"/>
  <c r="G2332"/>
  <c r="F2332"/>
  <c r="C2332"/>
  <c r="K2331"/>
  <c r="J2331"/>
  <c r="G2331"/>
  <c r="F2331"/>
  <c r="C2331"/>
  <c r="K2330"/>
  <c r="J2330"/>
  <c r="G2330"/>
  <c r="F2330"/>
  <c r="C2330"/>
  <c r="K2329"/>
  <c r="J2329"/>
  <c r="G2329"/>
  <c r="F2329"/>
  <c r="C2329"/>
  <c r="K2328"/>
  <c r="J2328"/>
  <c r="G2328"/>
  <c r="F2328"/>
  <c r="C2328"/>
  <c r="K2327"/>
  <c r="J2327"/>
  <c r="G2327"/>
  <c r="F2327"/>
  <c r="C2327"/>
  <c r="K2326"/>
  <c r="J2326"/>
  <c r="G2326"/>
  <c r="F2326"/>
  <c r="C2326"/>
  <c r="K2325"/>
  <c r="J2325"/>
  <c r="G2325"/>
  <c r="F2325"/>
  <c r="C2325"/>
  <c r="K2324"/>
  <c r="J2324"/>
  <c r="G2324"/>
  <c r="F2324"/>
  <c r="C2324"/>
  <c r="K2323"/>
  <c r="J2323"/>
  <c r="G2323"/>
  <c r="F2323"/>
  <c r="C2323"/>
  <c r="K2322"/>
  <c r="J2322"/>
  <c r="G2322"/>
  <c r="F2322"/>
  <c r="C2322"/>
  <c r="K2321"/>
  <c r="J2321"/>
  <c r="G2321"/>
  <c r="F2321"/>
  <c r="C2321"/>
  <c r="K2320"/>
  <c r="J2320"/>
  <c r="G2320"/>
  <c r="F2320"/>
  <c r="C2320"/>
  <c r="K2319"/>
  <c r="J2319"/>
  <c r="G2319"/>
  <c r="F2319"/>
  <c r="C2319"/>
  <c r="K2318"/>
  <c r="J2318"/>
  <c r="G2318"/>
  <c r="F2318"/>
  <c r="C2318"/>
  <c r="K2317"/>
  <c r="J2317"/>
  <c r="G2317"/>
  <c r="F2317"/>
  <c r="C2317"/>
  <c r="K2316"/>
  <c r="J2316"/>
  <c r="G2316"/>
  <c r="F2316"/>
  <c r="C2316"/>
  <c r="K2315"/>
  <c r="J2315"/>
  <c r="G2315"/>
  <c r="F2315"/>
  <c r="C2315"/>
  <c r="K2314"/>
  <c r="J2314"/>
  <c r="G2314"/>
  <c r="F2314"/>
  <c r="C2314"/>
  <c r="K2313"/>
  <c r="J2313"/>
  <c r="G2313"/>
  <c r="F2313"/>
  <c r="C2313"/>
  <c r="K2312"/>
  <c r="J2312"/>
  <c r="G2312"/>
  <c r="F2312"/>
  <c r="C2312"/>
  <c r="K2311"/>
  <c r="J2311"/>
  <c r="G2311"/>
  <c r="F2311"/>
  <c r="C2311"/>
  <c r="K2310"/>
  <c r="J2310"/>
  <c r="G2310"/>
  <c r="F2310"/>
  <c r="C2310"/>
  <c r="K2309"/>
  <c r="J2309"/>
  <c r="G2309"/>
  <c r="F2309"/>
  <c r="C2309"/>
  <c r="K2308"/>
  <c r="J2308"/>
  <c r="G2308"/>
  <c r="F2308"/>
  <c r="C2308"/>
  <c r="K2307"/>
  <c r="J2307"/>
  <c r="G2307"/>
  <c r="F2307"/>
  <c r="C2307"/>
  <c r="K2306"/>
  <c r="J2306"/>
  <c r="G2306"/>
  <c r="F2306"/>
  <c r="C2306"/>
  <c r="K2305"/>
  <c r="J2305"/>
  <c r="G2305"/>
  <c r="F2305"/>
  <c r="C2305"/>
  <c r="K2304"/>
  <c r="J2304"/>
  <c r="G2304"/>
  <c r="F2304"/>
  <c r="C2304"/>
  <c r="K2303"/>
  <c r="J2303"/>
  <c r="G2303"/>
  <c r="F2303"/>
  <c r="C2303"/>
  <c r="K2302"/>
  <c r="J2302"/>
  <c r="G2302"/>
  <c r="F2302"/>
  <c r="C2302"/>
  <c r="K2301"/>
  <c r="J2301"/>
  <c r="G2301"/>
  <c r="F2301"/>
  <c r="C2301"/>
  <c r="K2300"/>
  <c r="J2300"/>
  <c r="G2300"/>
  <c r="F2300"/>
  <c r="C2300"/>
  <c r="K2299"/>
  <c r="J2299"/>
  <c r="G2299"/>
  <c r="F2299"/>
  <c r="C2299"/>
  <c r="K2298"/>
  <c r="J2298"/>
  <c r="G2298"/>
  <c r="F2298"/>
  <c r="C2298"/>
  <c r="K2297"/>
  <c r="J2297"/>
  <c r="G2297"/>
  <c r="F2297"/>
  <c r="C2297"/>
  <c r="K2296"/>
  <c r="J2296"/>
  <c r="G2296"/>
  <c r="F2296"/>
  <c r="C2296"/>
  <c r="K2295"/>
  <c r="J2295"/>
  <c r="G2295"/>
  <c r="F2295"/>
  <c r="C2295"/>
  <c r="K2294"/>
  <c r="J2294"/>
  <c r="G2294"/>
  <c r="F2294"/>
  <c r="C2294"/>
  <c r="K2293"/>
  <c r="J2293"/>
  <c r="G2293"/>
  <c r="F2293"/>
  <c r="C2293"/>
  <c r="K2292"/>
  <c r="J2292"/>
  <c r="G2292"/>
  <c r="F2292"/>
  <c r="C2292"/>
  <c r="K2291"/>
  <c r="J2291"/>
  <c r="G2291"/>
  <c r="F2291"/>
  <c r="C2291"/>
  <c r="K2290"/>
  <c r="J2290"/>
  <c r="G2290"/>
  <c r="F2290"/>
  <c r="C2290"/>
  <c r="K2289"/>
  <c r="J2289"/>
  <c r="G2289"/>
  <c r="F2289"/>
  <c r="C2289"/>
  <c r="K2288"/>
  <c r="J2288"/>
  <c r="G2288"/>
  <c r="F2288"/>
  <c r="C2288"/>
  <c r="K2287"/>
  <c r="J2287"/>
  <c r="G2287"/>
  <c r="F2287"/>
  <c r="C2287"/>
  <c r="K2286"/>
  <c r="J2286"/>
  <c r="G2286"/>
  <c r="F2286"/>
  <c r="C2286"/>
  <c r="K2285"/>
  <c r="J2285"/>
  <c r="G2285"/>
  <c r="F2285"/>
  <c r="C2285"/>
  <c r="K2284"/>
  <c r="J2284"/>
  <c r="G2284"/>
  <c r="F2284"/>
  <c r="C2284"/>
  <c r="K2283"/>
  <c r="J2283"/>
  <c r="G2283"/>
  <c r="F2283"/>
  <c r="C2283"/>
  <c r="K2282"/>
  <c r="J2282"/>
  <c r="G2282"/>
  <c r="F2282"/>
  <c r="C2282"/>
  <c r="K2281"/>
  <c r="J2281"/>
  <c r="G2281"/>
  <c r="F2281"/>
  <c r="C2281"/>
  <c r="K2280"/>
  <c r="J2280"/>
  <c r="G2280"/>
  <c r="F2280"/>
  <c r="C2280"/>
  <c r="K2279"/>
  <c r="J2279"/>
  <c r="G2279"/>
  <c r="F2279"/>
  <c r="C2279"/>
  <c r="K2278"/>
  <c r="J2278"/>
  <c r="G2278"/>
  <c r="F2278"/>
  <c r="C2278"/>
  <c r="K2277"/>
  <c r="J2277"/>
  <c r="G2277"/>
  <c r="F2277"/>
  <c r="C2277"/>
  <c r="K2276"/>
  <c r="J2276"/>
  <c r="G2276"/>
  <c r="F2276"/>
  <c r="C2276"/>
  <c r="K2275"/>
  <c r="J2275"/>
  <c r="G2275"/>
  <c r="F2275"/>
  <c r="C2275"/>
  <c r="K2274"/>
  <c r="J2274"/>
  <c r="G2274"/>
  <c r="F2274"/>
  <c r="C2274"/>
  <c r="K2273"/>
  <c r="J2273"/>
  <c r="G2273"/>
  <c r="F2273"/>
  <c r="C2273"/>
  <c r="K2272"/>
  <c r="J2272"/>
  <c r="G2272"/>
  <c r="F2272"/>
  <c r="C2272"/>
  <c r="K2271"/>
  <c r="J2271"/>
  <c r="G2271"/>
  <c r="F2271"/>
  <c r="C2271"/>
  <c r="K2270"/>
  <c r="J2270"/>
  <c r="G2270"/>
  <c r="F2270"/>
  <c r="C2270"/>
  <c r="K2269"/>
  <c r="J2269"/>
  <c r="G2269"/>
  <c r="F2269"/>
  <c r="C2269"/>
  <c r="K2268"/>
  <c r="J2268"/>
  <c r="G2268"/>
  <c r="F2268"/>
  <c r="C2268"/>
  <c r="K2267"/>
  <c r="J2267"/>
  <c r="G2267"/>
  <c r="F2267"/>
  <c r="C2267"/>
  <c r="K2266"/>
  <c r="J2266"/>
  <c r="G2266"/>
  <c r="F2266"/>
  <c r="C2266"/>
  <c r="K2265"/>
  <c r="J2265"/>
  <c r="G2265"/>
  <c r="F2265"/>
  <c r="C2265"/>
  <c r="K2264"/>
  <c r="J2264"/>
  <c r="G2264"/>
  <c r="F2264"/>
  <c r="C2264"/>
  <c r="K2263"/>
  <c r="J2263"/>
  <c r="G2263"/>
  <c r="F2263"/>
  <c r="C2263"/>
  <c r="K2262"/>
  <c r="J2262"/>
  <c r="G2262"/>
  <c r="F2262"/>
  <c r="C2262"/>
  <c r="K2261"/>
  <c r="J2261"/>
  <c r="G2261"/>
  <c r="F2261"/>
  <c r="C2261"/>
  <c r="K2260"/>
  <c r="J2260"/>
  <c r="G2260"/>
  <c r="F2260"/>
  <c r="C2260"/>
  <c r="K2259"/>
  <c r="J2259"/>
  <c r="G2259"/>
  <c r="F2259"/>
  <c r="C2259"/>
  <c r="K2258"/>
  <c r="J2258"/>
  <c r="G2258"/>
  <c r="F2258"/>
  <c r="C2258"/>
  <c r="K2257"/>
  <c r="J2257"/>
  <c r="G2257"/>
  <c r="F2257"/>
  <c r="C2257"/>
  <c r="K2256"/>
  <c r="J2256"/>
  <c r="G2256"/>
  <c r="F2256"/>
  <c r="C2256"/>
  <c r="K2255"/>
  <c r="J2255"/>
  <c r="G2255"/>
  <c r="F2255"/>
  <c r="C2255"/>
  <c r="K2254"/>
  <c r="J2254"/>
  <c r="G2254"/>
  <c r="F2254"/>
  <c r="C2254"/>
  <c r="K2253"/>
  <c r="J2253"/>
  <c r="G2253"/>
  <c r="F2253"/>
  <c r="C2253"/>
  <c r="K2252"/>
  <c r="J2252"/>
  <c r="G2252"/>
  <c r="F2252"/>
  <c r="C2252"/>
  <c r="K2251"/>
  <c r="J2251"/>
  <c r="G2251"/>
  <c r="F2251"/>
  <c r="C2251"/>
  <c r="K2250"/>
  <c r="J2250"/>
  <c r="G2250"/>
  <c r="F2250"/>
  <c r="C2250"/>
  <c r="K2249"/>
  <c r="J2249"/>
  <c r="G2249"/>
  <c r="F2249"/>
  <c r="C2249"/>
  <c r="K2248"/>
  <c r="J2248"/>
  <c r="G2248"/>
  <c r="F2248"/>
  <c r="C2248"/>
  <c r="K2247"/>
  <c r="J2247"/>
  <c r="G2247"/>
  <c r="F2247"/>
  <c r="C2247"/>
  <c r="K2246"/>
  <c r="J2246"/>
  <c r="G2246"/>
  <c r="F2246"/>
  <c r="C2246"/>
  <c r="K2245"/>
  <c r="J2245"/>
  <c r="G2245"/>
  <c r="F2245"/>
  <c r="C2245"/>
  <c r="K2244"/>
  <c r="J2244"/>
  <c r="G2244"/>
  <c r="F2244"/>
  <c r="C2244"/>
  <c r="K2243"/>
  <c r="J2243"/>
  <c r="G2243"/>
  <c r="F2243"/>
  <c r="C2243"/>
  <c r="K2242"/>
  <c r="J2242"/>
  <c r="G2242"/>
  <c r="F2242"/>
  <c r="C2242"/>
  <c r="K2241"/>
  <c r="J2241"/>
  <c r="G2241"/>
  <c r="F2241"/>
  <c r="C2241"/>
  <c r="K2240"/>
  <c r="J2240"/>
  <c r="G2240"/>
  <c r="F2240"/>
  <c r="C2240"/>
  <c r="K2239"/>
  <c r="J2239"/>
  <c r="G2239"/>
  <c r="F2239"/>
  <c r="C2239"/>
  <c r="K2238"/>
  <c r="J2238"/>
  <c r="G2238"/>
  <c r="F2238"/>
  <c r="C2238"/>
  <c r="K2237"/>
  <c r="J2237"/>
  <c r="G2237"/>
  <c r="F2237"/>
  <c r="C2237"/>
  <c r="K2236"/>
  <c r="J2236"/>
  <c r="G2236"/>
  <c r="F2236"/>
  <c r="C2236"/>
  <c r="K2235"/>
  <c r="J2235"/>
  <c r="G2235"/>
  <c r="F2235"/>
  <c r="C2235"/>
  <c r="K2234"/>
  <c r="J2234"/>
  <c r="G2234"/>
  <c r="F2234"/>
  <c r="C2234"/>
  <c r="K2233"/>
  <c r="G2233"/>
  <c r="F2233"/>
  <c r="C2233"/>
  <c r="K2232"/>
  <c r="J2232"/>
  <c r="G2232"/>
  <c r="F2232"/>
  <c r="C2232"/>
  <c r="K2231"/>
  <c r="G2231"/>
  <c r="F2231"/>
  <c r="C2231"/>
  <c r="K2230"/>
  <c r="J2230"/>
  <c r="G2230"/>
  <c r="F2230"/>
  <c r="C2230"/>
  <c r="K2229"/>
  <c r="J2229"/>
  <c r="G2229"/>
  <c r="F2229"/>
  <c r="C2229"/>
  <c r="K2228"/>
  <c r="J2228"/>
  <c r="G2228"/>
  <c r="F2228"/>
  <c r="C2228"/>
  <c r="K2227"/>
  <c r="J2227"/>
  <c r="G2227"/>
  <c r="F2227"/>
  <c r="C2227"/>
  <c r="K2226"/>
  <c r="J2226"/>
  <c r="G2226"/>
  <c r="F2226"/>
  <c r="C2226"/>
  <c r="K2225"/>
  <c r="J2225"/>
  <c r="G2225"/>
  <c r="F2225"/>
  <c r="C2225"/>
  <c r="K2224"/>
  <c r="J2224"/>
  <c r="G2224"/>
  <c r="F2224"/>
  <c r="C2224"/>
  <c r="K2223"/>
  <c r="G2223"/>
  <c r="F2223"/>
  <c r="C2223"/>
  <c r="K2222"/>
  <c r="J2222"/>
  <c r="G2222"/>
  <c r="F2222"/>
  <c r="C2222"/>
  <c r="K2221"/>
  <c r="J2221"/>
  <c r="G2221"/>
  <c r="F2221"/>
  <c r="C2221"/>
  <c r="K2220"/>
  <c r="J2220"/>
  <c r="G2220"/>
  <c r="F2220"/>
  <c r="C2220"/>
  <c r="K2219"/>
  <c r="J2219"/>
  <c r="G2219"/>
  <c r="F2219"/>
  <c r="C2219"/>
  <c r="K2218"/>
  <c r="J2218"/>
  <c r="G2218"/>
  <c r="F2218"/>
  <c r="C2218"/>
  <c r="K2217"/>
  <c r="J2217"/>
  <c r="G2217"/>
  <c r="F2217"/>
  <c r="C2217"/>
  <c r="K2216"/>
  <c r="J2216"/>
  <c r="G2216"/>
  <c r="F2216"/>
  <c r="C2216"/>
  <c r="K2215"/>
  <c r="J2215"/>
  <c r="G2215"/>
  <c r="F2215"/>
  <c r="C2215"/>
  <c r="K2214"/>
  <c r="J2214"/>
  <c r="G2214"/>
  <c r="F2214"/>
  <c r="C2214"/>
  <c r="K2213"/>
  <c r="J2213"/>
  <c r="G2213"/>
  <c r="F2213"/>
  <c r="C2213"/>
  <c r="K2212"/>
  <c r="J2212"/>
  <c r="G2212"/>
  <c r="F2212"/>
  <c r="C2212"/>
  <c r="K2211"/>
  <c r="J2211"/>
  <c r="G2211"/>
  <c r="F2211"/>
  <c r="C2211"/>
  <c r="K2210"/>
  <c r="J2210"/>
  <c r="G2210"/>
  <c r="F2210"/>
  <c r="C2210"/>
  <c r="K2209"/>
  <c r="J2209"/>
  <c r="G2209"/>
  <c r="F2209"/>
  <c r="C2209"/>
  <c r="K2208"/>
  <c r="J2208"/>
  <c r="G2208"/>
  <c r="F2208"/>
  <c r="C2208"/>
  <c r="K2207"/>
  <c r="J2207"/>
  <c r="G2207"/>
  <c r="F2207"/>
  <c r="C2207"/>
  <c r="K2206"/>
  <c r="G2206"/>
  <c r="F2206"/>
  <c r="C2206"/>
  <c r="K2205"/>
  <c r="G2205"/>
  <c r="F2205"/>
  <c r="C2205"/>
  <c r="K2204"/>
  <c r="J2204"/>
  <c r="G2204"/>
  <c r="F2204"/>
  <c r="C2204"/>
  <c r="K2203"/>
  <c r="J2203"/>
  <c r="G2203"/>
  <c r="F2203"/>
  <c r="C2203"/>
  <c r="K2202"/>
  <c r="J2202"/>
  <c r="G2202"/>
  <c r="F2202"/>
  <c r="C2202"/>
  <c r="K2201"/>
  <c r="J2201"/>
  <c r="G2201"/>
  <c r="F2201"/>
  <c r="C2201"/>
  <c r="K2200"/>
  <c r="J2200"/>
  <c r="G2200"/>
  <c r="F2200"/>
  <c r="C2200"/>
  <c r="K2199"/>
  <c r="J2199"/>
  <c r="G2199"/>
  <c r="F2199"/>
  <c r="C2199"/>
  <c r="K2198"/>
  <c r="J2198"/>
  <c r="G2198"/>
  <c r="F2198"/>
  <c r="C2198"/>
  <c r="K2197"/>
  <c r="J2197"/>
  <c r="G2197"/>
  <c r="F2197"/>
  <c r="C2197"/>
  <c r="K2196"/>
  <c r="J2196"/>
  <c r="G2196"/>
  <c r="F2196"/>
  <c r="C2196"/>
  <c r="K2195"/>
  <c r="J2195"/>
  <c r="G2195"/>
  <c r="F2195"/>
  <c r="C2195"/>
  <c r="K2194"/>
  <c r="J2194"/>
  <c r="G2194"/>
  <c r="F2194"/>
  <c r="C2194"/>
  <c r="K2193"/>
  <c r="J2193"/>
  <c r="G2193"/>
  <c r="F2193"/>
  <c r="C2193"/>
  <c r="K2192"/>
  <c r="J2192"/>
  <c r="G2192"/>
  <c r="F2192"/>
  <c r="C2192"/>
  <c r="K2191"/>
  <c r="J2191"/>
  <c r="G2191"/>
  <c r="F2191"/>
  <c r="C2191"/>
  <c r="K2190"/>
  <c r="J2190"/>
  <c r="G2190"/>
  <c r="F2190"/>
  <c r="C2190"/>
  <c r="K2189"/>
  <c r="J2189"/>
  <c r="G2189"/>
  <c r="F2189"/>
  <c r="C2189"/>
  <c r="K2188"/>
  <c r="J2188"/>
  <c r="G2188"/>
  <c r="F2188"/>
  <c r="C2188"/>
  <c r="G2155"/>
  <c r="F2155"/>
  <c r="G1982"/>
  <c r="F1982"/>
  <c r="G1978"/>
  <c r="F1978"/>
  <c r="G1975"/>
  <c r="F1975"/>
  <c r="G1944"/>
  <c r="F1944"/>
  <c r="G1859"/>
  <c r="F1859"/>
  <c r="G1841"/>
  <c r="F1841"/>
  <c r="G1823"/>
  <c r="F1823"/>
  <c r="G1805"/>
  <c r="F1805"/>
  <c r="G1804"/>
  <c r="F1804"/>
  <c r="G1772"/>
  <c r="F1772"/>
  <c r="G1719"/>
  <c r="F1719"/>
  <c r="G1704"/>
  <c r="F1704"/>
  <c r="G1670"/>
  <c r="F1670"/>
  <c r="G1634"/>
  <c r="F1634"/>
  <c r="G1540"/>
  <c r="F1540"/>
  <c r="G1438"/>
  <c r="F1438"/>
  <c r="G1424"/>
  <c r="F1424"/>
  <c r="G1407"/>
  <c r="F1407"/>
  <c r="G1390"/>
  <c r="F1390"/>
  <c r="G1387"/>
  <c r="F1387"/>
  <c r="G1386"/>
  <c r="F1386"/>
  <c r="G1385"/>
  <c r="F1385"/>
  <c r="G1384"/>
  <c r="F1384"/>
  <c r="G1300"/>
  <c r="F1300"/>
  <c r="G1299"/>
  <c r="F1299"/>
  <c r="G1258"/>
  <c r="F1258"/>
  <c r="G1241"/>
  <c r="F1241"/>
  <c r="G1219"/>
  <c r="F1219"/>
  <c r="G1199"/>
  <c r="F1199"/>
  <c r="G1198"/>
  <c r="F1198"/>
  <c r="G1187"/>
  <c r="F1187"/>
  <c r="G1186"/>
  <c r="F1186"/>
  <c r="G1185"/>
  <c r="F1185"/>
  <c r="G1184"/>
  <c r="F1184"/>
  <c r="G1017"/>
  <c r="F1017"/>
  <c r="G1014"/>
  <c r="F1014"/>
  <c r="G982"/>
  <c r="F982"/>
  <c r="G908"/>
  <c r="F908"/>
  <c r="J858"/>
  <c r="G858"/>
  <c r="F858"/>
  <c r="J857"/>
  <c r="G857"/>
  <c r="F857"/>
  <c r="J856"/>
  <c r="G856"/>
  <c r="F856"/>
  <c r="J855"/>
  <c r="G855"/>
  <c r="F855"/>
  <c r="J854"/>
  <c r="G854"/>
  <c r="F854"/>
  <c r="J853"/>
  <c r="G853"/>
  <c r="F853"/>
  <c r="J852"/>
  <c r="G852"/>
  <c r="F852"/>
  <c r="J851"/>
  <c r="G851"/>
  <c r="F851"/>
  <c r="J850"/>
  <c r="G850"/>
  <c r="F850"/>
  <c r="J849"/>
  <c r="G849"/>
  <c r="F849"/>
  <c r="G841"/>
  <c r="F841"/>
  <c r="G562"/>
  <c r="F562"/>
  <c r="G552"/>
  <c r="F552"/>
  <c r="G476"/>
  <c r="F476"/>
  <c r="G464"/>
  <c r="F464"/>
  <c r="G458"/>
  <c r="F458"/>
  <c r="G457"/>
  <c r="F457"/>
  <c r="G456"/>
  <c r="F456"/>
  <c r="G431"/>
  <c r="F431"/>
  <c r="J382"/>
  <c r="G382"/>
  <c r="F382"/>
  <c r="G373"/>
  <c r="F373"/>
  <c r="G370"/>
  <c r="F370"/>
  <c r="G367"/>
  <c r="F367"/>
  <c r="G319"/>
  <c r="F319"/>
  <c r="G110"/>
  <c r="F110"/>
  <c r="G101"/>
  <c r="F101"/>
  <c r="K2187"/>
  <c r="J2187"/>
  <c r="G2187"/>
  <c r="F2187"/>
  <c r="C2187"/>
  <c r="K2186"/>
  <c r="J2186"/>
  <c r="G2186"/>
  <c r="F2186"/>
  <c r="C2186"/>
  <c r="K2185"/>
  <c r="J2185"/>
  <c r="G2185"/>
  <c r="F2185"/>
  <c r="C2185"/>
  <c r="K2184"/>
  <c r="J2184"/>
  <c r="G2184"/>
  <c r="F2184"/>
  <c r="C2184"/>
  <c r="K2183"/>
  <c r="J2183"/>
  <c r="G2183"/>
  <c r="F2183"/>
  <c r="C2183"/>
  <c r="K2182"/>
  <c r="J2182"/>
  <c r="G2182"/>
  <c r="F2182"/>
  <c r="C2182"/>
  <c r="K2181"/>
  <c r="J2181"/>
  <c r="G2181"/>
  <c r="F2181"/>
  <c r="C2181"/>
  <c r="K2180"/>
  <c r="J2180"/>
  <c r="G2180"/>
  <c r="F2180"/>
  <c r="C2180"/>
  <c r="K2179"/>
  <c r="J2179"/>
  <c r="G2179"/>
  <c r="F2179"/>
  <c r="C2179"/>
  <c r="K2178"/>
  <c r="J2178"/>
  <c r="G2178"/>
  <c r="F2178"/>
  <c r="C2178"/>
  <c r="K2177"/>
  <c r="J2177"/>
  <c r="G2177"/>
  <c r="F2177"/>
  <c r="C2177"/>
  <c r="K2176"/>
  <c r="J2176"/>
  <c r="G2176"/>
  <c r="F2176"/>
  <c r="C2176"/>
  <c r="K2175"/>
  <c r="J2175"/>
  <c r="G2175"/>
  <c r="F2175"/>
  <c r="C2175"/>
  <c r="K2174"/>
  <c r="J2174"/>
  <c r="G2174"/>
  <c r="F2174"/>
  <c r="C2174"/>
  <c r="K2173"/>
  <c r="J2173"/>
  <c r="G2173"/>
  <c r="F2173"/>
  <c r="C2173"/>
  <c r="K2172"/>
  <c r="J2172"/>
  <c r="G2172"/>
  <c r="F2172"/>
  <c r="C2172"/>
  <c r="K2171"/>
  <c r="J2171"/>
  <c r="G2171"/>
  <c r="F2171"/>
  <c r="C2171"/>
  <c r="K2170"/>
  <c r="J2170"/>
  <c r="G2170"/>
  <c r="F2170"/>
  <c r="C2170"/>
  <c r="K2169"/>
  <c r="J2169"/>
  <c r="G2169"/>
  <c r="F2169"/>
  <c r="C2169"/>
  <c r="K2168"/>
  <c r="J2168"/>
  <c r="G2168"/>
  <c r="F2168"/>
  <c r="C2168"/>
  <c r="K2167"/>
  <c r="J2167"/>
  <c r="G2167"/>
  <c r="F2167"/>
  <c r="C2167"/>
  <c r="K2166"/>
  <c r="J2166"/>
  <c r="G2166"/>
  <c r="F2166"/>
  <c r="C2166"/>
  <c r="K2165"/>
  <c r="J2165"/>
  <c r="G2165"/>
  <c r="F2165"/>
  <c r="C2165"/>
  <c r="K2164"/>
  <c r="J2164"/>
  <c r="G2164"/>
  <c r="F2164"/>
  <c r="C2164"/>
  <c r="K2163"/>
  <c r="J2163"/>
  <c r="G2163"/>
  <c r="F2163"/>
  <c r="C2163"/>
  <c r="K2162"/>
  <c r="J2162"/>
  <c r="G2162"/>
  <c r="F2162"/>
  <c r="C2162"/>
  <c r="K2161"/>
  <c r="J2161"/>
  <c r="G2161"/>
  <c r="F2161"/>
  <c r="C2161"/>
  <c r="K2160"/>
  <c r="J2160"/>
  <c r="G2160"/>
  <c r="F2160"/>
  <c r="C2160"/>
  <c r="K2159"/>
  <c r="J2159"/>
  <c r="G2159"/>
  <c r="F2159"/>
  <c r="C2159"/>
  <c r="K2158"/>
  <c r="J2158"/>
  <c r="G2158"/>
  <c r="F2158"/>
  <c r="C2158"/>
  <c r="K2157"/>
  <c r="J2157"/>
  <c r="G2157"/>
  <c r="F2157"/>
  <c r="C2157"/>
  <c r="K2156"/>
  <c r="J2156"/>
  <c r="G2156"/>
  <c r="F2156"/>
  <c r="C2156"/>
  <c r="K2155"/>
  <c r="C2155"/>
  <c r="K2154"/>
  <c r="J2154"/>
  <c r="G2154"/>
  <c r="F2154"/>
  <c r="C2154"/>
  <c r="K2153"/>
  <c r="J2153"/>
  <c r="G2153"/>
  <c r="F2153"/>
  <c r="C2153"/>
  <c r="K2152"/>
  <c r="J2152"/>
  <c r="G2152"/>
  <c r="F2152"/>
  <c r="C2152"/>
  <c r="K2151"/>
  <c r="J2151"/>
  <c r="G2151"/>
  <c r="F2151"/>
  <c r="C2151"/>
  <c r="K2150"/>
  <c r="J2150"/>
  <c r="G2150"/>
  <c r="F2150"/>
  <c r="C2150"/>
  <c r="K2149"/>
  <c r="J2149"/>
  <c r="G2149"/>
  <c r="F2149"/>
  <c r="C2149"/>
  <c r="K2148"/>
  <c r="J2148"/>
  <c r="G2148"/>
  <c r="F2148"/>
  <c r="C2148"/>
  <c r="K2147"/>
  <c r="J2147"/>
  <c r="G2147"/>
  <c r="F2147"/>
  <c r="C2147"/>
  <c r="K2146"/>
  <c r="J2146"/>
  <c r="G2146"/>
  <c r="F2146"/>
  <c r="C2146"/>
  <c r="K2145"/>
  <c r="J2145"/>
  <c r="G2145"/>
  <c r="F2145"/>
  <c r="C2145"/>
  <c r="K2144"/>
  <c r="J2144"/>
  <c r="G2144"/>
  <c r="F2144"/>
  <c r="C2144"/>
  <c r="K2143"/>
  <c r="J2143"/>
  <c r="G2143"/>
  <c r="F2143"/>
  <c r="C2143"/>
  <c r="K2142"/>
  <c r="J2142"/>
  <c r="G2142"/>
  <c r="F2142"/>
  <c r="C2142"/>
  <c r="K2141"/>
  <c r="J2141"/>
  <c r="G2141"/>
  <c r="F2141"/>
  <c r="C2141"/>
  <c r="K2140"/>
  <c r="J2140"/>
  <c r="G2140"/>
  <c r="F2140"/>
  <c r="C2140"/>
  <c r="K2139"/>
  <c r="J2139"/>
  <c r="G2139"/>
  <c r="F2139"/>
  <c r="C2139"/>
  <c r="K2138"/>
  <c r="J2138"/>
  <c r="G2138"/>
  <c r="F2138"/>
  <c r="C2138"/>
  <c r="K2137"/>
  <c r="J2137"/>
  <c r="G2137"/>
  <c r="F2137"/>
  <c r="C2137"/>
  <c r="K2136"/>
  <c r="J2136"/>
  <c r="G2136"/>
  <c r="F2136"/>
  <c r="C2136"/>
  <c r="K2135"/>
  <c r="J2135"/>
  <c r="G2135"/>
  <c r="F2135"/>
  <c r="C2135"/>
  <c r="K2134"/>
  <c r="J2134"/>
  <c r="G2134"/>
  <c r="F2134"/>
  <c r="C2134"/>
  <c r="K2133"/>
  <c r="J2133"/>
  <c r="G2133"/>
  <c r="F2133"/>
  <c r="C2133"/>
  <c r="K2132"/>
  <c r="J2132"/>
  <c r="G2132"/>
  <c r="F2132"/>
  <c r="C2132"/>
  <c r="K2131"/>
  <c r="J2131"/>
  <c r="G2131"/>
  <c r="F2131"/>
  <c r="C2131"/>
  <c r="K2130"/>
  <c r="J2130"/>
  <c r="G2130"/>
  <c r="F2130"/>
  <c r="C2130"/>
  <c r="K2129"/>
  <c r="J2129"/>
  <c r="G2129"/>
  <c r="F2129"/>
  <c r="C2129"/>
  <c r="K2128"/>
  <c r="J2128"/>
  <c r="G2128"/>
  <c r="F2128"/>
  <c r="C2128"/>
  <c r="K2127"/>
  <c r="J2127"/>
  <c r="G2127"/>
  <c r="F2127"/>
  <c r="C2127"/>
  <c r="K2126"/>
  <c r="J2126"/>
  <c r="G2126"/>
  <c r="F2126"/>
  <c r="C2126"/>
  <c r="K2125"/>
  <c r="J2125"/>
  <c r="G2125"/>
  <c r="F2125"/>
  <c r="C2125"/>
  <c r="K2124"/>
  <c r="J2124"/>
  <c r="G2124"/>
  <c r="F2124"/>
  <c r="C2124"/>
  <c r="K2123"/>
  <c r="J2123"/>
  <c r="G2123"/>
  <c r="F2123"/>
  <c r="C2123"/>
  <c r="K2122"/>
  <c r="J2122"/>
  <c r="G2122"/>
  <c r="F2122"/>
  <c r="C2122"/>
  <c r="K2121"/>
  <c r="J2121"/>
  <c r="G2121"/>
  <c r="F2121"/>
  <c r="C2121"/>
  <c r="K2120"/>
  <c r="J2120"/>
  <c r="G2120"/>
  <c r="F2120"/>
  <c r="C2120"/>
  <c r="K2119"/>
  <c r="J2119"/>
  <c r="G2119"/>
  <c r="F2119"/>
  <c r="C2119"/>
  <c r="K2118"/>
  <c r="J2118"/>
  <c r="G2118"/>
  <c r="F2118"/>
  <c r="C2118"/>
  <c r="K2117"/>
  <c r="J2117"/>
  <c r="G2117"/>
  <c r="F2117"/>
  <c r="C2117"/>
  <c r="K2116"/>
  <c r="J2116"/>
  <c r="G2116"/>
  <c r="F2116"/>
  <c r="C2116"/>
  <c r="K2115"/>
  <c r="J2115"/>
  <c r="G2115"/>
  <c r="F2115"/>
  <c r="C2115"/>
  <c r="K2114"/>
  <c r="J2114"/>
  <c r="G2114"/>
  <c r="F2114"/>
  <c r="C2114"/>
  <c r="K2113"/>
  <c r="J2113"/>
  <c r="G2113"/>
  <c r="F2113"/>
  <c r="C2113"/>
  <c r="K2112"/>
  <c r="J2112"/>
  <c r="G2112"/>
  <c r="F2112"/>
  <c r="C2112"/>
  <c r="K2111"/>
  <c r="J2111"/>
  <c r="G2111"/>
  <c r="F2111"/>
  <c r="C2111"/>
  <c r="K2110"/>
  <c r="J2110"/>
  <c r="G2110"/>
  <c r="F2110"/>
  <c r="C2110"/>
  <c r="K2109"/>
  <c r="J2109"/>
  <c r="G2109"/>
  <c r="F2109"/>
  <c r="C2109"/>
  <c r="K2108"/>
  <c r="J2108"/>
  <c r="G2108"/>
  <c r="F2108"/>
  <c r="C2108"/>
  <c r="K2107"/>
  <c r="J2107"/>
  <c r="G2107"/>
  <c r="F2107"/>
  <c r="C2107"/>
  <c r="K2106"/>
  <c r="J2106"/>
  <c r="G2106"/>
  <c r="F2106"/>
  <c r="C2106"/>
  <c r="K2105"/>
  <c r="J2105"/>
  <c r="G2105"/>
  <c r="F2105"/>
  <c r="C2105"/>
  <c r="K2104"/>
  <c r="J2104"/>
  <c r="G2104"/>
  <c r="F2104"/>
  <c r="C2104"/>
  <c r="K2103"/>
  <c r="J2103"/>
  <c r="G2103"/>
  <c r="F2103"/>
  <c r="C2103"/>
  <c r="K2102"/>
  <c r="J2102"/>
  <c r="G2102"/>
  <c r="F2102"/>
  <c r="C2102"/>
  <c r="K2101"/>
  <c r="J2101"/>
  <c r="G2101"/>
  <c r="F2101"/>
  <c r="C2101"/>
  <c r="K2100"/>
  <c r="J2100"/>
  <c r="G2100"/>
  <c r="F2100"/>
  <c r="C2100"/>
  <c r="K2099"/>
  <c r="J2099"/>
  <c r="G2099"/>
  <c r="F2099"/>
  <c r="C2099"/>
  <c r="K2098"/>
  <c r="J2098"/>
  <c r="G2098"/>
  <c r="F2098"/>
  <c r="C2098"/>
  <c r="K2097"/>
  <c r="J2097"/>
  <c r="G2097"/>
  <c r="F2097"/>
  <c r="C2097"/>
  <c r="K2096"/>
  <c r="J2096"/>
  <c r="G2096"/>
  <c r="F2096"/>
  <c r="C2096"/>
  <c r="K2095"/>
  <c r="J2095"/>
  <c r="G2095"/>
  <c r="F2095"/>
  <c r="C2095"/>
  <c r="K2094"/>
  <c r="J2094"/>
  <c r="G2094"/>
  <c r="F2094"/>
  <c r="C2094"/>
  <c r="K2093"/>
  <c r="J2093"/>
  <c r="G2093"/>
  <c r="F2093"/>
  <c r="C2093"/>
  <c r="K2092"/>
  <c r="J2092"/>
  <c r="G2092"/>
  <c r="F2092"/>
  <c r="C2092"/>
  <c r="K2091"/>
  <c r="J2091"/>
  <c r="G2091"/>
  <c r="F2091"/>
  <c r="C2091"/>
  <c r="K2090"/>
  <c r="J2090"/>
  <c r="G2090"/>
  <c r="F2090"/>
  <c r="C2090"/>
  <c r="K2089"/>
  <c r="J2089"/>
  <c r="G2089"/>
  <c r="F2089"/>
  <c r="C2089"/>
  <c r="K2088"/>
  <c r="J2088"/>
  <c r="G2088"/>
  <c r="F2088"/>
  <c r="C2088"/>
  <c r="K2087"/>
  <c r="J2087"/>
  <c r="G2087"/>
  <c r="F2087"/>
  <c r="C2087"/>
  <c r="K2086"/>
  <c r="J2086"/>
  <c r="G2086"/>
  <c r="F2086"/>
  <c r="C2086"/>
  <c r="K2085"/>
  <c r="J2085"/>
  <c r="G2085"/>
  <c r="F2085"/>
  <c r="C2085"/>
  <c r="K2084"/>
  <c r="J2084"/>
  <c r="G2084"/>
  <c r="F2084"/>
  <c r="C2084"/>
  <c r="K2083"/>
  <c r="J2083"/>
  <c r="G2083"/>
  <c r="F2083"/>
  <c r="C2083"/>
  <c r="K2082"/>
  <c r="J2082"/>
  <c r="G2082"/>
  <c r="F2082"/>
  <c r="C2082"/>
  <c r="K2081"/>
  <c r="J2081"/>
  <c r="G2081"/>
  <c r="F2081"/>
  <c r="C2081"/>
  <c r="K2080"/>
  <c r="J2080"/>
  <c r="G2080"/>
  <c r="F2080"/>
  <c r="C2080"/>
  <c r="K2079"/>
  <c r="J2079"/>
  <c r="G2079"/>
  <c r="F2079"/>
  <c r="C2079"/>
  <c r="K2078"/>
  <c r="J2078"/>
  <c r="G2078"/>
  <c r="F2078"/>
  <c r="C2078"/>
  <c r="K2077"/>
  <c r="J2077"/>
  <c r="G2077"/>
  <c r="F2077"/>
  <c r="C2077"/>
  <c r="K2076"/>
  <c r="J2076"/>
  <c r="G2076"/>
  <c r="F2076"/>
  <c r="C2076"/>
  <c r="K2075"/>
  <c r="J2075"/>
  <c r="G2075"/>
  <c r="F2075"/>
  <c r="C2075"/>
  <c r="K2074"/>
  <c r="J2074"/>
  <c r="G2074"/>
  <c r="F2074"/>
  <c r="C2074"/>
  <c r="K2073"/>
  <c r="J2073"/>
  <c r="G2073"/>
  <c r="F2073"/>
  <c r="C2073"/>
  <c r="K2072"/>
  <c r="J2072"/>
  <c r="G2072"/>
  <c r="F2072"/>
  <c r="C2072"/>
  <c r="K2071"/>
  <c r="J2071"/>
  <c r="G2071"/>
  <c r="F2071"/>
  <c r="C2071"/>
  <c r="K2070"/>
  <c r="J2070"/>
  <c r="G2070"/>
  <c r="F2070"/>
  <c r="C2070"/>
  <c r="K2069"/>
  <c r="J2069"/>
  <c r="G2069"/>
  <c r="F2069"/>
  <c r="C2069"/>
  <c r="K2068"/>
  <c r="J2068"/>
  <c r="G2068"/>
  <c r="F2068"/>
  <c r="C2068"/>
  <c r="K2067"/>
  <c r="J2067"/>
  <c r="G2067"/>
  <c r="F2067"/>
  <c r="C2067"/>
  <c r="K2066"/>
  <c r="J2066"/>
  <c r="G2066"/>
  <c r="F2066"/>
  <c r="C2066"/>
  <c r="K2065"/>
  <c r="J2065"/>
  <c r="G2065"/>
  <c r="F2065"/>
  <c r="C2065"/>
  <c r="K2064"/>
  <c r="J2064"/>
  <c r="G2064"/>
  <c r="F2064"/>
  <c r="C2064"/>
  <c r="K2063"/>
  <c r="J2063"/>
  <c r="G2063"/>
  <c r="F2063"/>
  <c r="C2063"/>
  <c r="K2062"/>
  <c r="J2062"/>
  <c r="G2062"/>
  <c r="F2062"/>
  <c r="C2062"/>
  <c r="K2061"/>
  <c r="J2061"/>
  <c r="G2061"/>
  <c r="F2061"/>
  <c r="C2061"/>
  <c r="K2060"/>
  <c r="J2060"/>
  <c r="G2060"/>
  <c r="F2060"/>
  <c r="C2060"/>
  <c r="K2059"/>
  <c r="J2059"/>
  <c r="G2059"/>
  <c r="F2059"/>
  <c r="C2059"/>
  <c r="K2058"/>
  <c r="J2058"/>
  <c r="G2058"/>
  <c r="F2058"/>
  <c r="C2058"/>
  <c r="K2057"/>
  <c r="J2057"/>
  <c r="G2057"/>
  <c r="F2057"/>
  <c r="C2057"/>
  <c r="K2056"/>
  <c r="J2056"/>
  <c r="G2056"/>
  <c r="F2056"/>
  <c r="C2056"/>
  <c r="K2055"/>
  <c r="J2055"/>
  <c r="G2055"/>
  <c r="F2055"/>
  <c r="C2055"/>
  <c r="K2054"/>
  <c r="J2054"/>
  <c r="G2054"/>
  <c r="F2054"/>
  <c r="C2054"/>
  <c r="K2053"/>
  <c r="J2053"/>
  <c r="G2053"/>
  <c r="F2053"/>
  <c r="C2053"/>
  <c r="K2052"/>
  <c r="J2052"/>
  <c r="G2052"/>
  <c r="F2052"/>
  <c r="C2052"/>
  <c r="K2051"/>
  <c r="J2051"/>
  <c r="G2051"/>
  <c r="F2051"/>
  <c r="C2051"/>
  <c r="K2050"/>
  <c r="J2050"/>
  <c r="G2050"/>
  <c r="F2050"/>
  <c r="C2050"/>
  <c r="K2049"/>
  <c r="J2049"/>
  <c r="G2049"/>
  <c r="F2049"/>
  <c r="C2049"/>
  <c r="K2048"/>
  <c r="J2048"/>
  <c r="G2048"/>
  <c r="F2048"/>
  <c r="C2048"/>
  <c r="K2047"/>
  <c r="J2047"/>
  <c r="G2047"/>
  <c r="F2047"/>
  <c r="C2047"/>
  <c r="K2046"/>
  <c r="J2046"/>
  <c r="G2046"/>
  <c r="F2046"/>
  <c r="C2046"/>
  <c r="K2045"/>
  <c r="J2045"/>
  <c r="G2045"/>
  <c r="F2045"/>
  <c r="C2045"/>
  <c r="K2044"/>
  <c r="J2044"/>
  <c r="G2044"/>
  <c r="F2044"/>
  <c r="C2044"/>
  <c r="K2043"/>
  <c r="J2043"/>
  <c r="G2043"/>
  <c r="F2043"/>
  <c r="C2043"/>
  <c r="K2042"/>
  <c r="J2042"/>
  <c r="G2042"/>
  <c r="F2042"/>
  <c r="C2042"/>
  <c r="K2041"/>
  <c r="J2041"/>
  <c r="G2041"/>
  <c r="F2041"/>
  <c r="C2041"/>
  <c r="K2040"/>
  <c r="J2040"/>
  <c r="G2040"/>
  <c r="F2040"/>
  <c r="C2040"/>
  <c r="K2039"/>
  <c r="J2039"/>
  <c r="G2039"/>
  <c r="F2039"/>
  <c r="C2039"/>
  <c r="K2038"/>
  <c r="J2038"/>
  <c r="G2038"/>
  <c r="F2038"/>
  <c r="C2038"/>
  <c r="K2037"/>
  <c r="J2037"/>
  <c r="G2037"/>
  <c r="F2037"/>
  <c r="C2037"/>
  <c r="K2036"/>
  <c r="J2036"/>
  <c r="G2036"/>
  <c r="F2036"/>
  <c r="C2036"/>
  <c r="K2035"/>
  <c r="J2035"/>
  <c r="G2035"/>
  <c r="F2035"/>
  <c r="C2035"/>
  <c r="K2034"/>
  <c r="J2034"/>
  <c r="G2034"/>
  <c r="F2034"/>
  <c r="C2034"/>
  <c r="K2033"/>
  <c r="J2033"/>
  <c r="G2033"/>
  <c r="F2033"/>
  <c r="C2033"/>
  <c r="K2032"/>
  <c r="J2032"/>
  <c r="G2032"/>
  <c r="F2032"/>
  <c r="C2032"/>
  <c r="K2031"/>
  <c r="J2031"/>
  <c r="G2031"/>
  <c r="F2031"/>
  <c r="C2031"/>
  <c r="K2030"/>
  <c r="J2030"/>
  <c r="G2030"/>
  <c r="F2030"/>
  <c r="C2030"/>
  <c r="K2029"/>
  <c r="J2029"/>
  <c r="G2029"/>
  <c r="F2029"/>
  <c r="C2029"/>
  <c r="K2028"/>
  <c r="J2028"/>
  <c r="G2028"/>
  <c r="F2028"/>
  <c r="C2028"/>
  <c r="K2027"/>
  <c r="J2027"/>
  <c r="G2027"/>
  <c r="F2027"/>
  <c r="C2027"/>
  <c r="K2026"/>
  <c r="J2026"/>
  <c r="G2026"/>
  <c r="F2026"/>
  <c r="C2026"/>
  <c r="K2025"/>
  <c r="J2025"/>
  <c r="G2025"/>
  <c r="F2025"/>
  <c r="C2025"/>
  <c r="K2024"/>
  <c r="J2024"/>
  <c r="G2024"/>
  <c r="F2024"/>
  <c r="C2024"/>
  <c r="K2023"/>
  <c r="J2023"/>
  <c r="G2023"/>
  <c r="F2023"/>
  <c r="C2023"/>
  <c r="K2022"/>
  <c r="J2022"/>
  <c r="G2022"/>
  <c r="F2022"/>
  <c r="C2022"/>
  <c r="K2021"/>
  <c r="J2021"/>
  <c r="G2021"/>
  <c r="F2021"/>
  <c r="C2021"/>
  <c r="K2020"/>
  <c r="J2020"/>
  <c r="G2020"/>
  <c r="F2020"/>
  <c r="C2020"/>
  <c r="K2019"/>
  <c r="J2019"/>
  <c r="G2019"/>
  <c r="F2019"/>
  <c r="C2019"/>
  <c r="K2018"/>
  <c r="J2018"/>
  <c r="G2018"/>
  <c r="F2018"/>
  <c r="C2018"/>
  <c r="K2017"/>
  <c r="J2017"/>
  <c r="G2017"/>
  <c r="F2017"/>
  <c r="C2017"/>
  <c r="K2016"/>
  <c r="J2016"/>
  <c r="G2016"/>
  <c r="F2016"/>
  <c r="C2016"/>
  <c r="K2015"/>
  <c r="J2015"/>
  <c r="G2015"/>
  <c r="F2015"/>
  <c r="C2015"/>
  <c r="K2014"/>
  <c r="J2014"/>
  <c r="G2014"/>
  <c r="F2014"/>
  <c r="C2014"/>
  <c r="K2013"/>
  <c r="J2013"/>
  <c r="G2013"/>
  <c r="F2013"/>
  <c r="C2013"/>
  <c r="K2012"/>
  <c r="J2012"/>
  <c r="G2012"/>
  <c r="F2012"/>
  <c r="C2012"/>
  <c r="K2011"/>
  <c r="J2011"/>
  <c r="G2011"/>
  <c r="F2011"/>
  <c r="C2011"/>
  <c r="K2010"/>
  <c r="J2010"/>
  <c r="G2010"/>
  <c r="F2010"/>
  <c r="C2010"/>
  <c r="K2009"/>
  <c r="J2009"/>
  <c r="G2009"/>
  <c r="F2009"/>
  <c r="C2009"/>
  <c r="K2008"/>
  <c r="J2008"/>
  <c r="G2008"/>
  <c r="F2008"/>
  <c r="C2008"/>
  <c r="K2007"/>
  <c r="J2007"/>
  <c r="G2007"/>
  <c r="F2007"/>
  <c r="C2007"/>
  <c r="K2006"/>
  <c r="J2006"/>
  <c r="G2006"/>
  <c r="F2006"/>
  <c r="C2006"/>
  <c r="K2005"/>
  <c r="J2005"/>
  <c r="G2005"/>
  <c r="F2005"/>
  <c r="C2005"/>
  <c r="K2004"/>
  <c r="J2004"/>
  <c r="G2004"/>
  <c r="F2004"/>
  <c r="C2004"/>
  <c r="K2003"/>
  <c r="J2003"/>
  <c r="G2003"/>
  <c r="F2003"/>
  <c r="C2003"/>
  <c r="K2002"/>
  <c r="J2002"/>
  <c r="G2002"/>
  <c r="F2002"/>
  <c r="C2002"/>
  <c r="K2001"/>
  <c r="J2001"/>
  <c r="G2001"/>
  <c r="F2001"/>
  <c r="C2001"/>
  <c r="K2000"/>
  <c r="J2000"/>
  <c r="G2000"/>
  <c r="F2000"/>
  <c r="C2000"/>
  <c r="K1999"/>
  <c r="J1999"/>
  <c r="G1999"/>
  <c r="F1999"/>
  <c r="C1999"/>
  <c r="K1998"/>
  <c r="J1998"/>
  <c r="G1998"/>
  <c r="F1998"/>
  <c r="C1998"/>
  <c r="K1997"/>
  <c r="J1997"/>
  <c r="G1997"/>
  <c r="F1997"/>
  <c r="C1997"/>
  <c r="K1996"/>
  <c r="J1996"/>
  <c r="G1996"/>
  <c r="F1996"/>
  <c r="C1996"/>
  <c r="K1995"/>
  <c r="J1995"/>
  <c r="G1995"/>
  <c r="F1995"/>
  <c r="C1995"/>
  <c r="K1994"/>
  <c r="J1994"/>
  <c r="G1994"/>
  <c r="F1994"/>
  <c r="C1994"/>
  <c r="K1993"/>
  <c r="J1993"/>
  <c r="G1993"/>
  <c r="F1993"/>
  <c r="C1993"/>
  <c r="K1992"/>
  <c r="J1992"/>
  <c r="G1992"/>
  <c r="F1992"/>
  <c r="C1992"/>
  <c r="K1991"/>
  <c r="J1991"/>
  <c r="G1991"/>
  <c r="F1991"/>
  <c r="C1991"/>
  <c r="K1990"/>
  <c r="J1990"/>
  <c r="G1990"/>
  <c r="F1990"/>
  <c r="C1990"/>
  <c r="K1989"/>
  <c r="J1989"/>
  <c r="G1989"/>
  <c r="F1989"/>
  <c r="C1989"/>
  <c r="K1988"/>
  <c r="J1988"/>
  <c r="G1988"/>
  <c r="F1988"/>
  <c r="C1988"/>
  <c r="K1987"/>
  <c r="J1987"/>
  <c r="G1987"/>
  <c r="F1987"/>
  <c r="C1987"/>
  <c r="K1986"/>
  <c r="J1986"/>
  <c r="G1986"/>
  <c r="F1986"/>
  <c r="C1986"/>
  <c r="K1985"/>
  <c r="J1985"/>
  <c r="G1985"/>
  <c r="F1985"/>
  <c r="C1985"/>
  <c r="K1984"/>
  <c r="J1984"/>
  <c r="G1984"/>
  <c r="F1984"/>
  <c r="C1984"/>
  <c r="K1983"/>
  <c r="J1983"/>
  <c r="G1983"/>
  <c r="F1983"/>
  <c r="C1983"/>
  <c r="K1982"/>
  <c r="C1982"/>
  <c r="K1981"/>
  <c r="J1981"/>
  <c r="G1981"/>
  <c r="F1981"/>
  <c r="C1981"/>
  <c r="K1980"/>
  <c r="J1980"/>
  <c r="G1980"/>
  <c r="F1980"/>
  <c r="C1980"/>
  <c r="K1979"/>
  <c r="J1979"/>
  <c r="G1979"/>
  <c r="F1979"/>
  <c r="C1979"/>
  <c r="K1978"/>
  <c r="C1978"/>
  <c r="K1977"/>
  <c r="J1977"/>
  <c r="G1977"/>
  <c r="F1977"/>
  <c r="C1977"/>
  <c r="K1976"/>
  <c r="J1976"/>
  <c r="G1976"/>
  <c r="F1976"/>
  <c r="C1976"/>
  <c r="K1975"/>
  <c r="C1975"/>
  <c r="K1974"/>
  <c r="J1974"/>
  <c r="G1974"/>
  <c r="F1974"/>
  <c r="C1974"/>
  <c r="K1973"/>
  <c r="J1973"/>
  <c r="G1973"/>
  <c r="F1973"/>
  <c r="C1973"/>
  <c r="K1972"/>
  <c r="J1972"/>
  <c r="G1972"/>
  <c r="F1972"/>
  <c r="C1972"/>
  <c r="K1971"/>
  <c r="J1971"/>
  <c r="G1971"/>
  <c r="F1971"/>
  <c r="C1971"/>
  <c r="K1970"/>
  <c r="J1970"/>
  <c r="G1970"/>
  <c r="F1970"/>
  <c r="C1970"/>
  <c r="K1969"/>
  <c r="J1969"/>
  <c r="G1969"/>
  <c r="F1969"/>
  <c r="C1969"/>
  <c r="K1968"/>
  <c r="J1968"/>
  <c r="G1968"/>
  <c r="F1968"/>
  <c r="C1968"/>
  <c r="K1967"/>
  <c r="J1967"/>
  <c r="G1967"/>
  <c r="F1967"/>
  <c r="C1967"/>
  <c r="K1966"/>
  <c r="J1966"/>
  <c r="G1966"/>
  <c r="F1966"/>
  <c r="C1966"/>
  <c r="K1965"/>
  <c r="J1965"/>
  <c r="G1965"/>
  <c r="F1965"/>
  <c r="C1965"/>
  <c r="K1964"/>
  <c r="J1964"/>
  <c r="G1964"/>
  <c r="F1964"/>
  <c r="C1964"/>
  <c r="K1963"/>
  <c r="J1963"/>
  <c r="G1963"/>
  <c r="F1963"/>
  <c r="C1963"/>
  <c r="K1962"/>
  <c r="J1962"/>
  <c r="G1962"/>
  <c r="F1962"/>
  <c r="C1962"/>
  <c r="K1961"/>
  <c r="J1961"/>
  <c r="G1961"/>
  <c r="F1961"/>
  <c r="C1961"/>
  <c r="K1960"/>
  <c r="J1960"/>
  <c r="G1960"/>
  <c r="F1960"/>
  <c r="C1960"/>
  <c r="K1959"/>
  <c r="J1959"/>
  <c r="G1959"/>
  <c r="F1959"/>
  <c r="C1959"/>
  <c r="K1958"/>
  <c r="J1958"/>
  <c r="G1958"/>
  <c r="F1958"/>
  <c r="C1958"/>
  <c r="K1957"/>
  <c r="J1957"/>
  <c r="G1957"/>
  <c r="F1957"/>
  <c r="C1957"/>
  <c r="K1956"/>
  <c r="J1956"/>
  <c r="G1956"/>
  <c r="F1956"/>
  <c r="C1956"/>
  <c r="K1955"/>
  <c r="J1955"/>
  <c r="G1955"/>
  <c r="F1955"/>
  <c r="C1955"/>
  <c r="K1954"/>
  <c r="J1954"/>
  <c r="G1954"/>
  <c r="F1954"/>
  <c r="C1954"/>
  <c r="K1953"/>
  <c r="J1953"/>
  <c r="G1953"/>
  <c r="F1953"/>
  <c r="C1953"/>
  <c r="K1952"/>
  <c r="J1952"/>
  <c r="G1952"/>
  <c r="F1952"/>
  <c r="C1952"/>
  <c r="K1951"/>
  <c r="J1951"/>
  <c r="G1951"/>
  <c r="F1951"/>
  <c r="C1951"/>
  <c r="K1950"/>
  <c r="J1950"/>
  <c r="G1950"/>
  <c r="F1950"/>
  <c r="C1950"/>
  <c r="K1949"/>
  <c r="J1949"/>
  <c r="G1949"/>
  <c r="F1949"/>
  <c r="C1949"/>
  <c r="K1948"/>
  <c r="J1948"/>
  <c r="G1948"/>
  <c r="F1948"/>
  <c r="C1948"/>
  <c r="K1947"/>
  <c r="J1947"/>
  <c r="G1947"/>
  <c r="F1947"/>
  <c r="C1947"/>
  <c r="K1946"/>
  <c r="J1946"/>
  <c r="G1946"/>
  <c r="F1946"/>
  <c r="C1946"/>
  <c r="K1945"/>
  <c r="J1945"/>
  <c r="G1945"/>
  <c r="F1945"/>
  <c r="C1945"/>
  <c r="K1944"/>
  <c r="C1944"/>
  <c r="K1943"/>
  <c r="J1943"/>
  <c r="G1943"/>
  <c r="F1943"/>
  <c r="C1943"/>
  <c r="K1942"/>
  <c r="J1942"/>
  <c r="G1942"/>
  <c r="F1942"/>
  <c r="C1942"/>
  <c r="K1941"/>
  <c r="J1941"/>
  <c r="G1941"/>
  <c r="F1941"/>
  <c r="C1941"/>
  <c r="K1940"/>
  <c r="J1940"/>
  <c r="G1940"/>
  <c r="F1940"/>
  <c r="C1940"/>
  <c r="K1939"/>
  <c r="J1939"/>
  <c r="G1939"/>
  <c r="F1939"/>
  <c r="C1939"/>
  <c r="K1938"/>
  <c r="J1938"/>
  <c r="G1938"/>
  <c r="F1938"/>
  <c r="C1938"/>
  <c r="K1937"/>
  <c r="J1937"/>
  <c r="G1937"/>
  <c r="F1937"/>
  <c r="C1937"/>
  <c r="K1936"/>
  <c r="J1936"/>
  <c r="G1936"/>
  <c r="F1936"/>
  <c r="C1936"/>
  <c r="K1935"/>
  <c r="J1935"/>
  <c r="G1935"/>
  <c r="F1935"/>
  <c r="C1935"/>
  <c r="K1934"/>
  <c r="J1934"/>
  <c r="G1934"/>
  <c r="F1934"/>
  <c r="C1934"/>
  <c r="K1933"/>
  <c r="J1933"/>
  <c r="G1933"/>
  <c r="F1933"/>
  <c r="C1933"/>
  <c r="K1932"/>
  <c r="J1932"/>
  <c r="G1932"/>
  <c r="F1932"/>
  <c r="C1932"/>
  <c r="K1931"/>
  <c r="J1931"/>
  <c r="G1931"/>
  <c r="F1931"/>
  <c r="C1931"/>
  <c r="K1930"/>
  <c r="J1930"/>
  <c r="G1930"/>
  <c r="F1930"/>
  <c r="C1930"/>
  <c r="K1929"/>
  <c r="J1929"/>
  <c r="G1929"/>
  <c r="F1929"/>
  <c r="C1929"/>
  <c r="K1928"/>
  <c r="J1928"/>
  <c r="G1928"/>
  <c r="F1928"/>
  <c r="C1928"/>
  <c r="K1927"/>
  <c r="J1927"/>
  <c r="G1927"/>
  <c r="F1927"/>
  <c r="C1927"/>
  <c r="K1926"/>
  <c r="J1926"/>
  <c r="G1926"/>
  <c r="F1926"/>
  <c r="C1926"/>
  <c r="K1925"/>
  <c r="J1925"/>
  <c r="G1925"/>
  <c r="F1925"/>
  <c r="C1925"/>
  <c r="K1924"/>
  <c r="J1924"/>
  <c r="G1924"/>
  <c r="F1924"/>
  <c r="C1924"/>
  <c r="K1923"/>
  <c r="J1923"/>
  <c r="G1923"/>
  <c r="F1923"/>
  <c r="C1923"/>
  <c r="K1922"/>
  <c r="J1922"/>
  <c r="G1922"/>
  <c r="F1922"/>
  <c r="C1922"/>
  <c r="K1921"/>
  <c r="J1921"/>
  <c r="G1921"/>
  <c r="F1921"/>
  <c r="C1921"/>
  <c r="K1920"/>
  <c r="J1920"/>
  <c r="G1920"/>
  <c r="F1920"/>
  <c r="C1920"/>
  <c r="K1919"/>
  <c r="J1919"/>
  <c r="G1919"/>
  <c r="F1919"/>
  <c r="C1919"/>
  <c r="K1918"/>
  <c r="J1918"/>
  <c r="G1918"/>
  <c r="F1918"/>
  <c r="C1918"/>
  <c r="K1917"/>
  <c r="J1917"/>
  <c r="G1917"/>
  <c r="F1917"/>
  <c r="C1917"/>
  <c r="K1916"/>
  <c r="J1916"/>
  <c r="G1916"/>
  <c r="F1916"/>
  <c r="C1916"/>
  <c r="K1915"/>
  <c r="J1915"/>
  <c r="G1915"/>
  <c r="F1915"/>
  <c r="C1915"/>
  <c r="K1914"/>
  <c r="J1914"/>
  <c r="G1914"/>
  <c r="F1914"/>
  <c r="C1914"/>
  <c r="K1913"/>
  <c r="J1913"/>
  <c r="G1913"/>
  <c r="F1913"/>
  <c r="C1913"/>
  <c r="K1912"/>
  <c r="J1912"/>
  <c r="G1912"/>
  <c r="F1912"/>
  <c r="C1912"/>
  <c r="K1911"/>
  <c r="J1911"/>
  <c r="G1911"/>
  <c r="F1911"/>
  <c r="C1911"/>
  <c r="K1910"/>
  <c r="J1910"/>
  <c r="G1910"/>
  <c r="F1910"/>
  <c r="C1910"/>
  <c r="K1909"/>
  <c r="J1909"/>
  <c r="G1909"/>
  <c r="F1909"/>
  <c r="C1909"/>
  <c r="K1908"/>
  <c r="J1908"/>
  <c r="G1908"/>
  <c r="F1908"/>
  <c r="C1908"/>
  <c r="K1907"/>
  <c r="J1907"/>
  <c r="G1907"/>
  <c r="F1907"/>
  <c r="C1907"/>
  <c r="K1906"/>
  <c r="J1906"/>
  <c r="G1906"/>
  <c r="F1906"/>
  <c r="C1906"/>
  <c r="K1905"/>
  <c r="J1905"/>
  <c r="G1905"/>
  <c r="F1905"/>
  <c r="C1905"/>
  <c r="K1904"/>
  <c r="J1904"/>
  <c r="G1904"/>
  <c r="F1904"/>
  <c r="C1904"/>
  <c r="K1903"/>
  <c r="J1903"/>
  <c r="G1903"/>
  <c r="F1903"/>
  <c r="C1903"/>
  <c r="K1902"/>
  <c r="J1902"/>
  <c r="G1902"/>
  <c r="F1902"/>
  <c r="C1902"/>
  <c r="K1901"/>
  <c r="J1901"/>
  <c r="G1901"/>
  <c r="F1901"/>
  <c r="C1901"/>
  <c r="K1900"/>
  <c r="J1900"/>
  <c r="G1900"/>
  <c r="F1900"/>
  <c r="C1900"/>
  <c r="K1899"/>
  <c r="J1899"/>
  <c r="G1899"/>
  <c r="F1899"/>
  <c r="C1899"/>
  <c r="K1898"/>
  <c r="J1898"/>
  <c r="G1898"/>
  <c r="F1898"/>
  <c r="C1898"/>
  <c r="K1897"/>
  <c r="J1897"/>
  <c r="G1897"/>
  <c r="F1897"/>
  <c r="C1897"/>
  <c r="K1896"/>
  <c r="J1896"/>
  <c r="G1896"/>
  <c r="F1896"/>
  <c r="C1896"/>
  <c r="K1895"/>
  <c r="J1895"/>
  <c r="G1895"/>
  <c r="F1895"/>
  <c r="C1895"/>
  <c r="K1894"/>
  <c r="J1894"/>
  <c r="G1894"/>
  <c r="F1894"/>
  <c r="C1894"/>
  <c r="K1893"/>
  <c r="J1893"/>
  <c r="G1893"/>
  <c r="F1893"/>
  <c r="C1893"/>
  <c r="K1892"/>
  <c r="J1892"/>
  <c r="G1892"/>
  <c r="F1892"/>
  <c r="C1892"/>
  <c r="K1891"/>
  <c r="J1891"/>
  <c r="G1891"/>
  <c r="F1891"/>
  <c r="C1891"/>
  <c r="K1890"/>
  <c r="J1890"/>
  <c r="G1890"/>
  <c r="F1890"/>
  <c r="C1890"/>
  <c r="K1889"/>
  <c r="J1889"/>
  <c r="G1889"/>
  <c r="F1889"/>
  <c r="C1889"/>
  <c r="K1888"/>
  <c r="J1888"/>
  <c r="G1888"/>
  <c r="F1888"/>
  <c r="C1888"/>
  <c r="K1887"/>
  <c r="J1887"/>
  <c r="G1887"/>
  <c r="F1887"/>
  <c r="C1887"/>
  <c r="K1886"/>
  <c r="J1886"/>
  <c r="G1886"/>
  <c r="F1886"/>
  <c r="C1886"/>
  <c r="K1885"/>
  <c r="J1885"/>
  <c r="G1885"/>
  <c r="F1885"/>
  <c r="C1885"/>
  <c r="K1884"/>
  <c r="J1884"/>
  <c r="G1884"/>
  <c r="F1884"/>
  <c r="C1884"/>
  <c r="K1883"/>
  <c r="J1883"/>
  <c r="G1883"/>
  <c r="F1883"/>
  <c r="C1883"/>
  <c r="K1882"/>
  <c r="J1882"/>
  <c r="G1882"/>
  <c r="F1882"/>
  <c r="C1882"/>
  <c r="K1881"/>
  <c r="J1881"/>
  <c r="G1881"/>
  <c r="F1881"/>
  <c r="C1881"/>
  <c r="K1880"/>
  <c r="J1880"/>
  <c r="G1880"/>
  <c r="F1880"/>
  <c r="C1880"/>
  <c r="K1879"/>
  <c r="J1879"/>
  <c r="G1879"/>
  <c r="F1879"/>
  <c r="C1879"/>
  <c r="K1878"/>
  <c r="J1878"/>
  <c r="G1878"/>
  <c r="F1878"/>
  <c r="C1878"/>
  <c r="K1877"/>
  <c r="J1877"/>
  <c r="G1877"/>
  <c r="F1877"/>
  <c r="C1877"/>
  <c r="K1876"/>
  <c r="J1876"/>
  <c r="G1876"/>
  <c r="F1876"/>
  <c r="C1876"/>
  <c r="K1875"/>
  <c r="J1875"/>
  <c r="G1875"/>
  <c r="F1875"/>
  <c r="C1875"/>
  <c r="K1874"/>
  <c r="J1874"/>
  <c r="G1874"/>
  <c r="F1874"/>
  <c r="C1874"/>
  <c r="K1873"/>
  <c r="J1873"/>
  <c r="G1873"/>
  <c r="F1873"/>
  <c r="C1873"/>
  <c r="K1872"/>
  <c r="J1872"/>
  <c r="G1872"/>
  <c r="F1872"/>
  <c r="C1872"/>
  <c r="K1871"/>
  <c r="J1871"/>
  <c r="G1871"/>
  <c r="F1871"/>
  <c r="C1871"/>
  <c r="K1870"/>
  <c r="J1870"/>
  <c r="G1870"/>
  <c r="F1870"/>
  <c r="C1870"/>
  <c r="K1869"/>
  <c r="J1869"/>
  <c r="G1869"/>
  <c r="F1869"/>
  <c r="C1869"/>
  <c r="K1868"/>
  <c r="J1868"/>
  <c r="G1868"/>
  <c r="F1868"/>
  <c r="C1868"/>
  <c r="K1867"/>
  <c r="J1867"/>
  <c r="G1867"/>
  <c r="F1867"/>
  <c r="C1867"/>
  <c r="K1866"/>
  <c r="J1866"/>
  <c r="G1866"/>
  <c r="F1866"/>
  <c r="C1866"/>
  <c r="K1865"/>
  <c r="J1865"/>
  <c r="G1865"/>
  <c r="F1865"/>
  <c r="C1865"/>
  <c r="K1864"/>
  <c r="J1864"/>
  <c r="G1864"/>
  <c r="F1864"/>
  <c r="C1864"/>
  <c r="K1863"/>
  <c r="J1863"/>
  <c r="G1863"/>
  <c r="F1863"/>
  <c r="C1863"/>
  <c r="K1862"/>
  <c r="J1862"/>
  <c r="G1862"/>
  <c r="F1862"/>
  <c r="C1862"/>
  <c r="K1861"/>
  <c r="J1861"/>
  <c r="G1861"/>
  <c r="F1861"/>
  <c r="C1861"/>
  <c r="K1860"/>
  <c r="J1860"/>
  <c r="G1860"/>
  <c r="F1860"/>
  <c r="C1860"/>
  <c r="K1859"/>
  <c r="C1859"/>
  <c r="K1858"/>
  <c r="J1858"/>
  <c r="G1858"/>
  <c r="F1858"/>
  <c r="C1858"/>
  <c r="K1857"/>
  <c r="J1857"/>
  <c r="G1857"/>
  <c r="F1857"/>
  <c r="C1857"/>
  <c r="K1856"/>
  <c r="J1856"/>
  <c r="G1856"/>
  <c r="F1856"/>
  <c r="C1856"/>
  <c r="K1855"/>
  <c r="J1855"/>
  <c r="G1855"/>
  <c r="F1855"/>
  <c r="C1855"/>
  <c r="K1854"/>
  <c r="J1854"/>
  <c r="G1854"/>
  <c r="F1854"/>
  <c r="C1854"/>
  <c r="K1853"/>
  <c r="J1853"/>
  <c r="G1853"/>
  <c r="F1853"/>
  <c r="C1853"/>
  <c r="K1852"/>
  <c r="J1852"/>
  <c r="G1852"/>
  <c r="F1852"/>
  <c r="C1852"/>
  <c r="K1851"/>
  <c r="J1851"/>
  <c r="G1851"/>
  <c r="F1851"/>
  <c r="C1851"/>
  <c r="K1850"/>
  <c r="J1850"/>
  <c r="G1850"/>
  <c r="F1850"/>
  <c r="C1850"/>
  <c r="K1849"/>
  <c r="J1849"/>
  <c r="G1849"/>
  <c r="F1849"/>
  <c r="C1849"/>
  <c r="K1848"/>
  <c r="J1848"/>
  <c r="G1848"/>
  <c r="F1848"/>
  <c r="C1848"/>
  <c r="K1847"/>
  <c r="J1847"/>
  <c r="G1847"/>
  <c r="F1847"/>
  <c r="C1847"/>
  <c r="K1846"/>
  <c r="J1846"/>
  <c r="G1846"/>
  <c r="F1846"/>
  <c r="C1846"/>
  <c r="K1845"/>
  <c r="J1845"/>
  <c r="G1845"/>
  <c r="F1845"/>
  <c r="C1845"/>
  <c r="K1844"/>
  <c r="J1844"/>
  <c r="G1844"/>
  <c r="F1844"/>
  <c r="C1844"/>
  <c r="K1843"/>
  <c r="J1843"/>
  <c r="G1843"/>
  <c r="F1843"/>
  <c r="C1843"/>
  <c r="K1842"/>
  <c r="J1842"/>
  <c r="G1842"/>
  <c r="F1842"/>
  <c r="C1842"/>
  <c r="K1841"/>
  <c r="C1841"/>
  <c r="K1840"/>
  <c r="J1840"/>
  <c r="G1840"/>
  <c r="F1840"/>
  <c r="C1840"/>
  <c r="K1839"/>
  <c r="J1839"/>
  <c r="G1839"/>
  <c r="F1839"/>
  <c r="C1839"/>
  <c r="K1838"/>
  <c r="J1838"/>
  <c r="G1838"/>
  <c r="F1838"/>
  <c r="C1838"/>
  <c r="K1837"/>
  <c r="J1837"/>
  <c r="G1837"/>
  <c r="F1837"/>
  <c r="C1837"/>
  <c r="K1836"/>
  <c r="J1836"/>
  <c r="G1836"/>
  <c r="F1836"/>
  <c r="C1836"/>
  <c r="K1835"/>
  <c r="J1835"/>
  <c r="G1835"/>
  <c r="F1835"/>
  <c r="C1835"/>
  <c r="K1834"/>
  <c r="J1834"/>
  <c r="G1834"/>
  <c r="F1834"/>
  <c r="C1834"/>
  <c r="K1833"/>
  <c r="J1833"/>
  <c r="G1833"/>
  <c r="F1833"/>
  <c r="C1833"/>
  <c r="K1832"/>
  <c r="J1832"/>
  <c r="G1832"/>
  <c r="F1832"/>
  <c r="C1832"/>
  <c r="K1831"/>
  <c r="J1831"/>
  <c r="G1831"/>
  <c r="F1831"/>
  <c r="C1831"/>
  <c r="K1830"/>
  <c r="J1830"/>
  <c r="G1830"/>
  <c r="F1830"/>
  <c r="C1830"/>
  <c r="K1829"/>
  <c r="J1829"/>
  <c r="G1829"/>
  <c r="F1829"/>
  <c r="C1829"/>
  <c r="K1828"/>
  <c r="J1828"/>
  <c r="G1828"/>
  <c r="F1828"/>
  <c r="C1828"/>
  <c r="K1827"/>
  <c r="J1827"/>
  <c r="G1827"/>
  <c r="F1827"/>
  <c r="C1827"/>
  <c r="K1826"/>
  <c r="J1826"/>
  <c r="G1826"/>
  <c r="F1826"/>
  <c r="C1826"/>
  <c r="K1825"/>
  <c r="J1825"/>
  <c r="G1825"/>
  <c r="F1825"/>
  <c r="C1825"/>
  <c r="K1824"/>
  <c r="J1824"/>
  <c r="G1824"/>
  <c r="F1824"/>
  <c r="C1824"/>
  <c r="K1823"/>
  <c r="C1823"/>
  <c r="K1822"/>
  <c r="J1822"/>
  <c r="G1822"/>
  <c r="F1822"/>
  <c r="C1822"/>
  <c r="K1821"/>
  <c r="J1821"/>
  <c r="G1821"/>
  <c r="F1821"/>
  <c r="C1821"/>
  <c r="K1820"/>
  <c r="J1820"/>
  <c r="G1820"/>
  <c r="F1820"/>
  <c r="C1820"/>
  <c r="K1819"/>
  <c r="J1819"/>
  <c r="G1819"/>
  <c r="F1819"/>
  <c r="C1819"/>
  <c r="K1818"/>
  <c r="J1818"/>
  <c r="G1818"/>
  <c r="F1818"/>
  <c r="C1818"/>
  <c r="K1817"/>
  <c r="J1817"/>
  <c r="G1817"/>
  <c r="F1817"/>
  <c r="C1817"/>
  <c r="K1816"/>
  <c r="J1816"/>
  <c r="G1816"/>
  <c r="F1816"/>
  <c r="C1816"/>
  <c r="K1815"/>
  <c r="J1815"/>
  <c r="G1815"/>
  <c r="F1815"/>
  <c r="C1815"/>
  <c r="K1814"/>
  <c r="J1814"/>
  <c r="G1814"/>
  <c r="F1814"/>
  <c r="C1814"/>
  <c r="K1813"/>
  <c r="J1813"/>
  <c r="G1813"/>
  <c r="F1813"/>
  <c r="C1813"/>
  <c r="K1812"/>
  <c r="J1812"/>
  <c r="G1812"/>
  <c r="F1812"/>
  <c r="C1812"/>
  <c r="K1811"/>
  <c r="J1811"/>
  <c r="G1811"/>
  <c r="F1811"/>
  <c r="C1811"/>
  <c r="K1810"/>
  <c r="J1810"/>
  <c r="G1810"/>
  <c r="F1810"/>
  <c r="C1810"/>
  <c r="K1809"/>
  <c r="J1809"/>
  <c r="G1809"/>
  <c r="F1809"/>
  <c r="C1809"/>
  <c r="K1808"/>
  <c r="J1808"/>
  <c r="G1808"/>
  <c r="F1808"/>
  <c r="C1808"/>
  <c r="K1807"/>
  <c r="J1807"/>
  <c r="G1807"/>
  <c r="F1807"/>
  <c r="C1807"/>
  <c r="K1806"/>
  <c r="J1806"/>
  <c r="G1806"/>
  <c r="F1806"/>
  <c r="C1806"/>
  <c r="K1805"/>
  <c r="C1805"/>
  <c r="K1804"/>
  <c r="C1804"/>
  <c r="K1803"/>
  <c r="J1803"/>
  <c r="G1803"/>
  <c r="F1803"/>
  <c r="C1803"/>
  <c r="K1802"/>
  <c r="J1802"/>
  <c r="G1802"/>
  <c r="F1802"/>
  <c r="C1802"/>
  <c r="K1801"/>
  <c r="J1801"/>
  <c r="G1801"/>
  <c r="F1801"/>
  <c r="C1801"/>
  <c r="K1800"/>
  <c r="J1800"/>
  <c r="G1800"/>
  <c r="F1800"/>
  <c r="C1800"/>
  <c r="K1799"/>
  <c r="J1799"/>
  <c r="G1799"/>
  <c r="F1799"/>
  <c r="C1799"/>
  <c r="K1798"/>
  <c r="J1798"/>
  <c r="G1798"/>
  <c r="F1798"/>
  <c r="C1798"/>
  <c r="K1797"/>
  <c r="J1797"/>
  <c r="G1797"/>
  <c r="F1797"/>
  <c r="C1797"/>
  <c r="K1796"/>
  <c r="J1796"/>
  <c r="G1796"/>
  <c r="F1796"/>
  <c r="C1796"/>
  <c r="K1795"/>
  <c r="J1795"/>
  <c r="G1795"/>
  <c r="F1795"/>
  <c r="C1795"/>
  <c r="K1794"/>
  <c r="J1794"/>
  <c r="G1794"/>
  <c r="F1794"/>
  <c r="C1794"/>
  <c r="K1793"/>
  <c r="J1793"/>
  <c r="G1793"/>
  <c r="F1793"/>
  <c r="C1793"/>
  <c r="K1792"/>
  <c r="J1792"/>
  <c r="G1792"/>
  <c r="F1792"/>
  <c r="C1792"/>
  <c r="K1791"/>
  <c r="J1791"/>
  <c r="G1791"/>
  <c r="F1791"/>
  <c r="C1791"/>
  <c r="K1790"/>
  <c r="J1790"/>
  <c r="G1790"/>
  <c r="F1790"/>
  <c r="C1790"/>
  <c r="K1789"/>
  <c r="J1789"/>
  <c r="G1789"/>
  <c r="F1789"/>
  <c r="C1789"/>
  <c r="K1788"/>
  <c r="J1788"/>
  <c r="G1788"/>
  <c r="F1788"/>
  <c r="C1788"/>
  <c r="K1787"/>
  <c r="J1787"/>
  <c r="G1787"/>
  <c r="F1787"/>
  <c r="C1787"/>
  <c r="K1786"/>
  <c r="J1786"/>
  <c r="G1786"/>
  <c r="F1786"/>
  <c r="C1786"/>
  <c r="K1785"/>
  <c r="J1785"/>
  <c r="G1785"/>
  <c r="F1785"/>
  <c r="C1785"/>
  <c r="K1784"/>
  <c r="J1784"/>
  <c r="G1784"/>
  <c r="F1784"/>
  <c r="C1784"/>
  <c r="K1783"/>
  <c r="J1783"/>
  <c r="G1783"/>
  <c r="F1783"/>
  <c r="C1783"/>
  <c r="K1782"/>
  <c r="J1782"/>
  <c r="G1782"/>
  <c r="F1782"/>
  <c r="C1782"/>
  <c r="K1781"/>
  <c r="J1781"/>
  <c r="G1781"/>
  <c r="F1781"/>
  <c r="C1781"/>
  <c r="K1780"/>
  <c r="J1780"/>
  <c r="G1780"/>
  <c r="F1780"/>
  <c r="C1780"/>
  <c r="K1779"/>
  <c r="J1779"/>
  <c r="G1779"/>
  <c r="F1779"/>
  <c r="C1779"/>
  <c r="K1778"/>
  <c r="J1778"/>
  <c r="G1778"/>
  <c r="F1778"/>
  <c r="C1778"/>
  <c r="K1777"/>
  <c r="J1777"/>
  <c r="G1777"/>
  <c r="F1777"/>
  <c r="C1777"/>
  <c r="K1776"/>
  <c r="J1776"/>
  <c r="G1776"/>
  <c r="F1776"/>
  <c r="C1776"/>
  <c r="K1775"/>
  <c r="J1775"/>
  <c r="G1775"/>
  <c r="F1775"/>
  <c r="C1775"/>
  <c r="K1774"/>
  <c r="J1774"/>
  <c r="G1774"/>
  <c r="F1774"/>
  <c r="C1774"/>
  <c r="K1773"/>
  <c r="J1773"/>
  <c r="G1773"/>
  <c r="F1773"/>
  <c r="C1773"/>
  <c r="K1772"/>
  <c r="C1772"/>
  <c r="K1771"/>
  <c r="J1771"/>
  <c r="G1771"/>
  <c r="F1771"/>
  <c r="C1771"/>
  <c r="K1770"/>
  <c r="J1770"/>
  <c r="G1770"/>
  <c r="F1770"/>
  <c r="C1770"/>
  <c r="K1769"/>
  <c r="J1769"/>
  <c r="G1769"/>
  <c r="F1769"/>
  <c r="C1769"/>
  <c r="K1768"/>
  <c r="J1768"/>
  <c r="G1768"/>
  <c r="F1768"/>
  <c r="C1768"/>
  <c r="K1767"/>
  <c r="J1767"/>
  <c r="G1767"/>
  <c r="F1767"/>
  <c r="C1767"/>
  <c r="K1766"/>
  <c r="J1766"/>
  <c r="G1766"/>
  <c r="F1766"/>
  <c r="C1766"/>
  <c r="K1765"/>
  <c r="J1765"/>
  <c r="G1765"/>
  <c r="F1765"/>
  <c r="C1765"/>
  <c r="K1764"/>
  <c r="J1764"/>
  <c r="G1764"/>
  <c r="F1764"/>
  <c r="C1764"/>
  <c r="K1763"/>
  <c r="J1763"/>
  <c r="G1763"/>
  <c r="F1763"/>
  <c r="C1763"/>
  <c r="K1762"/>
  <c r="J1762"/>
  <c r="G1762"/>
  <c r="F1762"/>
  <c r="C1762"/>
  <c r="K1761"/>
  <c r="J1761"/>
  <c r="G1761"/>
  <c r="F1761"/>
  <c r="C1761"/>
  <c r="K1760"/>
  <c r="J1760"/>
  <c r="G1760"/>
  <c r="F1760"/>
  <c r="C1760"/>
  <c r="K1759"/>
  <c r="J1759"/>
  <c r="G1759"/>
  <c r="F1759"/>
  <c r="C1759"/>
  <c r="K1758"/>
  <c r="J1758"/>
  <c r="G1758"/>
  <c r="F1758"/>
  <c r="C1758"/>
  <c r="K1757"/>
  <c r="J1757"/>
  <c r="G1757"/>
  <c r="F1757"/>
  <c r="C1757"/>
  <c r="K1756"/>
  <c r="J1756"/>
  <c r="G1756"/>
  <c r="F1756"/>
  <c r="C1756"/>
  <c r="K1755"/>
  <c r="J1755"/>
  <c r="G1755"/>
  <c r="F1755"/>
  <c r="C1755"/>
  <c r="K1754"/>
  <c r="J1754"/>
  <c r="G1754"/>
  <c r="F1754"/>
  <c r="C1754"/>
  <c r="K1753"/>
  <c r="J1753"/>
  <c r="G1753"/>
  <c r="F1753"/>
  <c r="C1753"/>
  <c r="K1752"/>
  <c r="J1752"/>
  <c r="G1752"/>
  <c r="F1752"/>
  <c r="C1752"/>
  <c r="K1751"/>
  <c r="J1751"/>
  <c r="G1751"/>
  <c r="F1751"/>
  <c r="C1751"/>
  <c r="K1750"/>
  <c r="J1750"/>
  <c r="G1750"/>
  <c r="F1750"/>
  <c r="C1750"/>
  <c r="K1749"/>
  <c r="J1749"/>
  <c r="G1749"/>
  <c r="F1749"/>
  <c r="C1749"/>
  <c r="K1748"/>
  <c r="J1748"/>
  <c r="G1748"/>
  <c r="F1748"/>
  <c r="C1748"/>
  <c r="K1747"/>
  <c r="J1747"/>
  <c r="G1747"/>
  <c r="F1747"/>
  <c r="C1747"/>
  <c r="K1746"/>
  <c r="J1746"/>
  <c r="G1746"/>
  <c r="F1746"/>
  <c r="C1746"/>
  <c r="K1745"/>
  <c r="J1745"/>
  <c r="G1745"/>
  <c r="F1745"/>
  <c r="C1745"/>
  <c r="K1744"/>
  <c r="J1744"/>
  <c r="G1744"/>
  <c r="F1744"/>
  <c r="C1744"/>
  <c r="K1743"/>
  <c r="J1743"/>
  <c r="G1743"/>
  <c r="F1743"/>
  <c r="C1743"/>
  <c r="K1742"/>
  <c r="J1742"/>
  <c r="G1742"/>
  <c r="F1742"/>
  <c r="C1742"/>
  <c r="K1741"/>
  <c r="J1741"/>
  <c r="G1741"/>
  <c r="F1741"/>
  <c r="C1741"/>
  <c r="K1740"/>
  <c r="J1740"/>
  <c r="G1740"/>
  <c r="F1740"/>
  <c r="C1740"/>
  <c r="K1739"/>
  <c r="J1739"/>
  <c r="G1739"/>
  <c r="F1739"/>
  <c r="C1739"/>
  <c r="K1738"/>
  <c r="J1738"/>
  <c r="G1738"/>
  <c r="F1738"/>
  <c r="C1738"/>
  <c r="K1737"/>
  <c r="J1737"/>
  <c r="G1737"/>
  <c r="F1737"/>
  <c r="C1737"/>
  <c r="K1736"/>
  <c r="J1736"/>
  <c r="G1736"/>
  <c r="F1736"/>
  <c r="C1736"/>
  <c r="K1735"/>
  <c r="J1735"/>
  <c r="G1735"/>
  <c r="F1735"/>
  <c r="C1735"/>
  <c r="K1734"/>
  <c r="J1734"/>
  <c r="G1734"/>
  <c r="F1734"/>
  <c r="C1734"/>
  <c r="K1733"/>
  <c r="J1733"/>
  <c r="G1733"/>
  <c r="F1733"/>
  <c r="C1733"/>
  <c r="K1732"/>
  <c r="J1732"/>
  <c r="G1732"/>
  <c r="F1732"/>
  <c r="C1732"/>
  <c r="K1731"/>
  <c r="J1731"/>
  <c r="G1731"/>
  <c r="F1731"/>
  <c r="C1731"/>
  <c r="K1730"/>
  <c r="J1730"/>
  <c r="G1730"/>
  <c r="F1730"/>
  <c r="C1730"/>
  <c r="K1729"/>
  <c r="J1729"/>
  <c r="G1729"/>
  <c r="F1729"/>
  <c r="C1729"/>
  <c r="K1728"/>
  <c r="J1728"/>
  <c r="G1728"/>
  <c r="F1728"/>
  <c r="C1728"/>
  <c r="K1727"/>
  <c r="J1727"/>
  <c r="G1727"/>
  <c r="F1727"/>
  <c r="C1727"/>
  <c r="K1726"/>
  <c r="J1726"/>
  <c r="G1726"/>
  <c r="F1726"/>
  <c r="C1726"/>
  <c r="K1725"/>
  <c r="J1725"/>
  <c r="G1725"/>
  <c r="F1725"/>
  <c r="C1725"/>
  <c r="K1724"/>
  <c r="J1724"/>
  <c r="G1724"/>
  <c r="F1724"/>
  <c r="C1724"/>
  <c r="K1723"/>
  <c r="J1723"/>
  <c r="G1723"/>
  <c r="F1723"/>
  <c r="C1723"/>
  <c r="K1722"/>
  <c r="J1722"/>
  <c r="G1722"/>
  <c r="F1722"/>
  <c r="C1722"/>
  <c r="K1721"/>
  <c r="J1721"/>
  <c r="G1721"/>
  <c r="F1721"/>
  <c r="C1721"/>
  <c r="K1720"/>
  <c r="J1720"/>
  <c r="G1720"/>
  <c r="F1720"/>
  <c r="C1720"/>
  <c r="K1719"/>
  <c r="C1719"/>
  <c r="K1718"/>
  <c r="J1718"/>
  <c r="G1718"/>
  <c r="F1718"/>
  <c r="C1718"/>
  <c r="K1717"/>
  <c r="J1717"/>
  <c r="G1717"/>
  <c r="F1717"/>
  <c r="C1717"/>
  <c r="K1716"/>
  <c r="J1716"/>
  <c r="G1716"/>
  <c r="F1716"/>
  <c r="C1716"/>
  <c r="K1715"/>
  <c r="J1715"/>
  <c r="G1715"/>
  <c r="F1715"/>
  <c r="C1715"/>
  <c r="K1714"/>
  <c r="J1714"/>
  <c r="G1714"/>
  <c r="F1714"/>
  <c r="C1714"/>
  <c r="K1713"/>
  <c r="J1713"/>
  <c r="G1713"/>
  <c r="F1713"/>
  <c r="C1713"/>
  <c r="K1712"/>
  <c r="J1712"/>
  <c r="G1712"/>
  <c r="F1712"/>
  <c r="C1712"/>
  <c r="K1711"/>
  <c r="J1711"/>
  <c r="G1711"/>
  <c r="F1711"/>
  <c r="C1711"/>
  <c r="K1710"/>
  <c r="J1710"/>
  <c r="G1710"/>
  <c r="F1710"/>
  <c r="C1710"/>
  <c r="K1709"/>
  <c r="J1709"/>
  <c r="G1709"/>
  <c r="F1709"/>
  <c r="C1709"/>
  <c r="K1708"/>
  <c r="J1708"/>
  <c r="G1708"/>
  <c r="F1708"/>
  <c r="C1708"/>
  <c r="K1707"/>
  <c r="J1707"/>
  <c r="G1707"/>
  <c r="F1707"/>
  <c r="C1707"/>
  <c r="K1706"/>
  <c r="J1706"/>
  <c r="G1706"/>
  <c r="F1706"/>
  <c r="C1706"/>
  <c r="K1705"/>
  <c r="J1705"/>
  <c r="G1705"/>
  <c r="F1705"/>
  <c r="C1705"/>
  <c r="K1704"/>
  <c r="C1704"/>
  <c r="K1703"/>
  <c r="J1703"/>
  <c r="G1703"/>
  <c r="F1703"/>
  <c r="C1703"/>
  <c r="K1702"/>
  <c r="J1702"/>
  <c r="G1702"/>
  <c r="F1702"/>
  <c r="C1702"/>
  <c r="K1701"/>
  <c r="J1701"/>
  <c r="G1701"/>
  <c r="F1701"/>
  <c r="C1701"/>
  <c r="K1700"/>
  <c r="J1700"/>
  <c r="G1700"/>
  <c r="F1700"/>
  <c r="C1700"/>
  <c r="K1699"/>
  <c r="J1699"/>
  <c r="G1699"/>
  <c r="F1699"/>
  <c r="C1699"/>
  <c r="K1698"/>
  <c r="J1698"/>
  <c r="G1698"/>
  <c r="F1698"/>
  <c r="C1698"/>
  <c r="K1697"/>
  <c r="J1697"/>
  <c r="G1697"/>
  <c r="F1697"/>
  <c r="C1697"/>
  <c r="K1696"/>
  <c r="J1696"/>
  <c r="G1696"/>
  <c r="F1696"/>
  <c r="C1696"/>
  <c r="K1695"/>
  <c r="J1695"/>
  <c r="G1695"/>
  <c r="F1695"/>
  <c r="C1695"/>
  <c r="K1694"/>
  <c r="J1694"/>
  <c r="G1694"/>
  <c r="F1694"/>
  <c r="C1694"/>
  <c r="K1693"/>
  <c r="J1693"/>
  <c r="G1693"/>
  <c r="F1693"/>
  <c r="C1693"/>
  <c r="K1692"/>
  <c r="J1692"/>
  <c r="G1692"/>
  <c r="F1692"/>
  <c r="C1692"/>
  <c r="K1691"/>
  <c r="J1691"/>
  <c r="G1691"/>
  <c r="F1691"/>
  <c r="C1691"/>
  <c r="K1690"/>
  <c r="J1690"/>
  <c r="G1690"/>
  <c r="F1690"/>
  <c r="C1690"/>
  <c r="K1689"/>
  <c r="J1689"/>
  <c r="G1689"/>
  <c r="F1689"/>
  <c r="C1689"/>
  <c r="K1688"/>
  <c r="J1688"/>
  <c r="G1688"/>
  <c r="F1688"/>
  <c r="C1688"/>
  <c r="K1687"/>
  <c r="J1687"/>
  <c r="G1687"/>
  <c r="F1687"/>
  <c r="C1687"/>
  <c r="K1686"/>
  <c r="J1686"/>
  <c r="G1686"/>
  <c r="F1686"/>
  <c r="C1686"/>
  <c r="K1685"/>
  <c r="J1685"/>
  <c r="G1685"/>
  <c r="F1685"/>
  <c r="C1685"/>
  <c r="K1684"/>
  <c r="J1684"/>
  <c r="G1684"/>
  <c r="F1684"/>
  <c r="C1684"/>
  <c r="K1683"/>
  <c r="J1683"/>
  <c r="G1683"/>
  <c r="F1683"/>
  <c r="C1683"/>
  <c r="K1682"/>
  <c r="J1682"/>
  <c r="G1682"/>
  <c r="F1682"/>
  <c r="C1682"/>
  <c r="K1681"/>
  <c r="J1681"/>
  <c r="G1681"/>
  <c r="F1681"/>
  <c r="C1681"/>
  <c r="K1680"/>
  <c r="J1680"/>
  <c r="G1680"/>
  <c r="F1680"/>
  <c r="C1680"/>
  <c r="K1679"/>
  <c r="J1679"/>
  <c r="G1679"/>
  <c r="F1679"/>
  <c r="C1679"/>
  <c r="K1678"/>
  <c r="J1678"/>
  <c r="G1678"/>
  <c r="F1678"/>
  <c r="C1678"/>
  <c r="K1677"/>
  <c r="J1677"/>
  <c r="G1677"/>
  <c r="F1677"/>
  <c r="C1677"/>
  <c r="K1676"/>
  <c r="J1676"/>
  <c r="G1676"/>
  <c r="F1676"/>
  <c r="C1676"/>
  <c r="K1675"/>
  <c r="J1675"/>
  <c r="G1675"/>
  <c r="F1675"/>
  <c r="C1675"/>
  <c r="K1674"/>
  <c r="J1674"/>
  <c r="G1674"/>
  <c r="F1674"/>
  <c r="C1674"/>
  <c r="K1673"/>
  <c r="J1673"/>
  <c r="G1673"/>
  <c r="F1673"/>
  <c r="C1673"/>
  <c r="K1672"/>
  <c r="J1672"/>
  <c r="G1672"/>
  <c r="F1672"/>
  <c r="C1672"/>
  <c r="K1671"/>
  <c r="J1671"/>
  <c r="G1671"/>
  <c r="F1671"/>
  <c r="C1671"/>
  <c r="K1670"/>
  <c r="C1670"/>
  <c r="K1669"/>
  <c r="J1669"/>
  <c r="G1669"/>
  <c r="F1669"/>
  <c r="C1669"/>
  <c r="K1668"/>
  <c r="J1668"/>
  <c r="G1668"/>
  <c r="F1668"/>
  <c r="C1668"/>
  <c r="K1667"/>
  <c r="J1667"/>
  <c r="G1667"/>
  <c r="F1667"/>
  <c r="C1667"/>
  <c r="K1666"/>
  <c r="J1666"/>
  <c r="G1666"/>
  <c r="F1666"/>
  <c r="C1666"/>
  <c r="K1665"/>
  <c r="J1665"/>
  <c r="G1665"/>
  <c r="F1665"/>
  <c r="C1665"/>
  <c r="K1664"/>
  <c r="J1664"/>
  <c r="G1664"/>
  <c r="F1664"/>
  <c r="C1664"/>
  <c r="K1663"/>
  <c r="J1663"/>
  <c r="G1663"/>
  <c r="F1663"/>
  <c r="C1663"/>
  <c r="K1662"/>
  <c r="J1662"/>
  <c r="G1662"/>
  <c r="F1662"/>
  <c r="C1662"/>
  <c r="K1661"/>
  <c r="J1661"/>
  <c r="G1661"/>
  <c r="F1661"/>
  <c r="C1661"/>
  <c r="K1660"/>
  <c r="J1660"/>
  <c r="G1660"/>
  <c r="F1660"/>
  <c r="C1660"/>
  <c r="K1659"/>
  <c r="J1659"/>
  <c r="G1659"/>
  <c r="F1659"/>
  <c r="C1659"/>
  <c r="K1658"/>
  <c r="J1658"/>
  <c r="G1658"/>
  <c r="F1658"/>
  <c r="C1658"/>
  <c r="K1657"/>
  <c r="J1657"/>
  <c r="G1657"/>
  <c r="F1657"/>
  <c r="C1657"/>
  <c r="K1656"/>
  <c r="J1656"/>
  <c r="G1656"/>
  <c r="F1656"/>
  <c r="C1656"/>
  <c r="K1655"/>
  <c r="J1655"/>
  <c r="G1655"/>
  <c r="F1655"/>
  <c r="C1655"/>
  <c r="K1654"/>
  <c r="J1654"/>
  <c r="G1654"/>
  <c r="F1654"/>
  <c r="C1654"/>
  <c r="K1653"/>
  <c r="J1653"/>
  <c r="G1653"/>
  <c r="F1653"/>
  <c r="C1653"/>
  <c r="K1652"/>
  <c r="J1652"/>
  <c r="G1652"/>
  <c r="F1652"/>
  <c r="C1652"/>
  <c r="K1651"/>
  <c r="J1651"/>
  <c r="G1651"/>
  <c r="F1651"/>
  <c r="C1651"/>
  <c r="K1650"/>
  <c r="J1650"/>
  <c r="G1650"/>
  <c r="F1650"/>
  <c r="C1650"/>
  <c r="K1649"/>
  <c r="J1649"/>
  <c r="G1649"/>
  <c r="F1649"/>
  <c r="C1649"/>
  <c r="K1648"/>
  <c r="J1648"/>
  <c r="G1648"/>
  <c r="F1648"/>
  <c r="C1648"/>
  <c r="K1647"/>
  <c r="J1647"/>
  <c r="G1647"/>
  <c r="F1647"/>
  <c r="C1647"/>
  <c r="K1646"/>
  <c r="J1646"/>
  <c r="G1646"/>
  <c r="F1646"/>
  <c r="C1646"/>
  <c r="K1645"/>
  <c r="J1645"/>
  <c r="G1645"/>
  <c r="F1645"/>
  <c r="C1645"/>
  <c r="K1644"/>
  <c r="J1644"/>
  <c r="G1644"/>
  <c r="F1644"/>
  <c r="C1644"/>
  <c r="K1643"/>
  <c r="J1643"/>
  <c r="G1643"/>
  <c r="F1643"/>
  <c r="C1643"/>
  <c r="K1642"/>
  <c r="J1642"/>
  <c r="G1642"/>
  <c r="F1642"/>
  <c r="C1642"/>
  <c r="K1641"/>
  <c r="J1641"/>
  <c r="G1641"/>
  <c r="F1641"/>
  <c r="C1641"/>
  <c r="K1640"/>
  <c r="J1640"/>
  <c r="G1640"/>
  <c r="F1640"/>
  <c r="C1640"/>
  <c r="K1639"/>
  <c r="J1639"/>
  <c r="G1639"/>
  <c r="F1639"/>
  <c r="C1639"/>
  <c r="K1638"/>
  <c r="J1638"/>
  <c r="G1638"/>
  <c r="F1638"/>
  <c r="C1638"/>
  <c r="K1637"/>
  <c r="J1637"/>
  <c r="G1637"/>
  <c r="F1637"/>
  <c r="C1637"/>
  <c r="K1636"/>
  <c r="J1636"/>
  <c r="G1636"/>
  <c r="F1636"/>
  <c r="C1636"/>
  <c r="K1635"/>
  <c r="J1635"/>
  <c r="G1635"/>
  <c r="F1635"/>
  <c r="C1635"/>
  <c r="K1634"/>
  <c r="C1634"/>
  <c r="K1633"/>
  <c r="J1633"/>
  <c r="G1633"/>
  <c r="F1633"/>
  <c r="C1633"/>
  <c r="K1632"/>
  <c r="J1632"/>
  <c r="G1632"/>
  <c r="F1632"/>
  <c r="C1632"/>
  <c r="K1631"/>
  <c r="J1631"/>
  <c r="G1631"/>
  <c r="F1631"/>
  <c r="C1631"/>
  <c r="K1630"/>
  <c r="J1630"/>
  <c r="G1630"/>
  <c r="F1630"/>
  <c r="C1630"/>
  <c r="K1629"/>
  <c r="J1629"/>
  <c r="G1629"/>
  <c r="F1629"/>
  <c r="C1629"/>
  <c r="K1628"/>
  <c r="J1628"/>
  <c r="G1628"/>
  <c r="F1628"/>
  <c r="C1628"/>
  <c r="K1627"/>
  <c r="J1627"/>
  <c r="G1627"/>
  <c r="F1627"/>
  <c r="C1627"/>
  <c r="K1626"/>
  <c r="J1626"/>
  <c r="G1626"/>
  <c r="F1626"/>
  <c r="C1626"/>
  <c r="K1625"/>
  <c r="J1625"/>
  <c r="G1625"/>
  <c r="F1625"/>
  <c r="C1625"/>
  <c r="K1624"/>
  <c r="J1624"/>
  <c r="G1624"/>
  <c r="F1624"/>
  <c r="C1624"/>
  <c r="K1623"/>
  <c r="J1623"/>
  <c r="G1623"/>
  <c r="F1623"/>
  <c r="C1623"/>
  <c r="K1622"/>
  <c r="J1622"/>
  <c r="G1622"/>
  <c r="F1622"/>
  <c r="C1622"/>
  <c r="K1621"/>
  <c r="J1621"/>
  <c r="G1621"/>
  <c r="F1621"/>
  <c r="C1621"/>
  <c r="K1620"/>
  <c r="J1620"/>
  <c r="G1620"/>
  <c r="F1620"/>
  <c r="C1620"/>
  <c r="K1619"/>
  <c r="J1619"/>
  <c r="G1619"/>
  <c r="F1619"/>
  <c r="C1619"/>
  <c r="K1618"/>
  <c r="J1618"/>
  <c r="G1618"/>
  <c r="F1618"/>
  <c r="C1618"/>
  <c r="K1617"/>
  <c r="J1617"/>
  <c r="G1617"/>
  <c r="F1617"/>
  <c r="C1617"/>
  <c r="K1616"/>
  <c r="J1616"/>
  <c r="G1616"/>
  <c r="F1616"/>
  <c r="C1616"/>
  <c r="K1615"/>
  <c r="J1615"/>
  <c r="G1615"/>
  <c r="F1615"/>
  <c r="C1615"/>
  <c r="K1614"/>
  <c r="J1614"/>
  <c r="G1614"/>
  <c r="F1614"/>
  <c r="C1614"/>
  <c r="K1613"/>
  <c r="J1613"/>
  <c r="G1613"/>
  <c r="F1613"/>
  <c r="C1613"/>
  <c r="K1612"/>
  <c r="J1612"/>
  <c r="G1612"/>
  <c r="F1612"/>
  <c r="C1612"/>
  <c r="K1611"/>
  <c r="J1611"/>
  <c r="G1611"/>
  <c r="F1611"/>
  <c r="C1611"/>
  <c r="K1610"/>
  <c r="J1610"/>
  <c r="G1610"/>
  <c r="F1610"/>
  <c r="C1610"/>
  <c r="K1609"/>
  <c r="J1609"/>
  <c r="G1609"/>
  <c r="F1609"/>
  <c r="C1609"/>
  <c r="K1608"/>
  <c r="J1608"/>
  <c r="G1608"/>
  <c r="F1608"/>
  <c r="C1608"/>
  <c r="K1607"/>
  <c r="J1607"/>
  <c r="G1607"/>
  <c r="F1607"/>
  <c r="C1607"/>
  <c r="K1606"/>
  <c r="J1606"/>
  <c r="G1606"/>
  <c r="F1606"/>
  <c r="C1606"/>
  <c r="K1605"/>
  <c r="J1605"/>
  <c r="G1605"/>
  <c r="F1605"/>
  <c r="C1605"/>
  <c r="K1604"/>
  <c r="J1604"/>
  <c r="G1604"/>
  <c r="F1604"/>
  <c r="C1604"/>
  <c r="K1603"/>
  <c r="J1603"/>
  <c r="G1603"/>
  <c r="F1603"/>
  <c r="C1603"/>
  <c r="K1602"/>
  <c r="J1602"/>
  <c r="G1602"/>
  <c r="F1602"/>
  <c r="C1602"/>
  <c r="K1601"/>
  <c r="J1601"/>
  <c r="G1601"/>
  <c r="F1601"/>
  <c r="C1601"/>
  <c r="K1600"/>
  <c r="J1600"/>
  <c r="G1600"/>
  <c r="F1600"/>
  <c r="C1600"/>
  <c r="K1599"/>
  <c r="J1599"/>
  <c r="G1599"/>
  <c r="F1599"/>
  <c r="C1599"/>
  <c r="K1598"/>
  <c r="J1598"/>
  <c r="G1598"/>
  <c r="F1598"/>
  <c r="C1598"/>
  <c r="K1597"/>
  <c r="J1597"/>
  <c r="G1597"/>
  <c r="F1597"/>
  <c r="C1597"/>
  <c r="K1596"/>
  <c r="J1596"/>
  <c r="G1596"/>
  <c r="F1596"/>
  <c r="C1596"/>
  <c r="K1595"/>
  <c r="J1595"/>
  <c r="G1595"/>
  <c r="F1595"/>
  <c r="C1595"/>
  <c r="K1594"/>
  <c r="J1594"/>
  <c r="G1594"/>
  <c r="F1594"/>
  <c r="C1594"/>
  <c r="K1593"/>
  <c r="J1593"/>
  <c r="G1593"/>
  <c r="F1593"/>
  <c r="C1593"/>
  <c r="K1592"/>
  <c r="J1592"/>
  <c r="G1592"/>
  <c r="F1592"/>
  <c r="C1592"/>
  <c r="K1591"/>
  <c r="J1591"/>
  <c r="G1591"/>
  <c r="F1591"/>
  <c r="C1591"/>
  <c r="K1590"/>
  <c r="J1590"/>
  <c r="G1590"/>
  <c r="F1590"/>
  <c r="C1590"/>
  <c r="K1589"/>
  <c r="J1589"/>
  <c r="G1589"/>
  <c r="F1589"/>
  <c r="C1589"/>
  <c r="K1588"/>
  <c r="J1588"/>
  <c r="G1588"/>
  <c r="F1588"/>
  <c r="C1588"/>
  <c r="K1587"/>
  <c r="J1587"/>
  <c r="G1587"/>
  <c r="F1587"/>
  <c r="C1587"/>
  <c r="K1586"/>
  <c r="J1586"/>
  <c r="G1586"/>
  <c r="F1586"/>
  <c r="C1586"/>
  <c r="K1585"/>
  <c r="J1585"/>
  <c r="G1585"/>
  <c r="F1585"/>
  <c r="C1585"/>
  <c r="K1584"/>
  <c r="J1584"/>
  <c r="G1584"/>
  <c r="F1584"/>
  <c r="C1584"/>
  <c r="K1583"/>
  <c r="J1583"/>
  <c r="G1583"/>
  <c r="F1583"/>
  <c r="C1583"/>
  <c r="K1582"/>
  <c r="J1582"/>
  <c r="G1582"/>
  <c r="F1582"/>
  <c r="C1582"/>
  <c r="K1581"/>
  <c r="J1581"/>
  <c r="G1581"/>
  <c r="F1581"/>
  <c r="C1581"/>
  <c r="K1580"/>
  <c r="J1580"/>
  <c r="G1580"/>
  <c r="F1580"/>
  <c r="C1580"/>
  <c r="K1579"/>
  <c r="J1579"/>
  <c r="G1579"/>
  <c r="F1579"/>
  <c r="C1579"/>
  <c r="K1578"/>
  <c r="J1578"/>
  <c r="G1578"/>
  <c r="F1578"/>
  <c r="C1578"/>
  <c r="K1577"/>
  <c r="J1577"/>
  <c r="G1577"/>
  <c r="F1577"/>
  <c r="C1577"/>
  <c r="K1576"/>
  <c r="J1576"/>
  <c r="G1576"/>
  <c r="F1576"/>
  <c r="C1576"/>
  <c r="K1575"/>
  <c r="J1575"/>
  <c r="G1575"/>
  <c r="F1575"/>
  <c r="C1575"/>
  <c r="K1574"/>
  <c r="J1574"/>
  <c r="G1574"/>
  <c r="F1574"/>
  <c r="C1574"/>
  <c r="K1573"/>
  <c r="J1573"/>
  <c r="G1573"/>
  <c r="F1573"/>
  <c r="C1573"/>
  <c r="K1572"/>
  <c r="J1572"/>
  <c r="G1572"/>
  <c r="F1572"/>
  <c r="C1572"/>
  <c r="K1571"/>
  <c r="J1571"/>
  <c r="G1571"/>
  <c r="F1571"/>
  <c r="C1571"/>
  <c r="K1570"/>
  <c r="J1570"/>
  <c r="G1570"/>
  <c r="F1570"/>
  <c r="C1570"/>
  <c r="K1569"/>
  <c r="J1569"/>
  <c r="G1569"/>
  <c r="F1569"/>
  <c r="C1569"/>
  <c r="K1568"/>
  <c r="J1568"/>
  <c r="G1568"/>
  <c r="F1568"/>
  <c r="C1568"/>
  <c r="K1567"/>
  <c r="J1567"/>
  <c r="G1567"/>
  <c r="F1567"/>
  <c r="C1567"/>
  <c r="K1566"/>
  <c r="J1566"/>
  <c r="G1566"/>
  <c r="F1566"/>
  <c r="C1566"/>
  <c r="K1565"/>
  <c r="J1565"/>
  <c r="G1565"/>
  <c r="F1565"/>
  <c r="C1565"/>
  <c r="K1564"/>
  <c r="J1564"/>
  <c r="G1564"/>
  <c r="F1564"/>
  <c r="C1564"/>
  <c r="K1563"/>
  <c r="J1563"/>
  <c r="G1563"/>
  <c r="F1563"/>
  <c r="C1563"/>
  <c r="K1562"/>
  <c r="J1562"/>
  <c r="G1562"/>
  <c r="F1562"/>
  <c r="C1562"/>
  <c r="K1561"/>
  <c r="J1561"/>
  <c r="G1561"/>
  <c r="F1561"/>
  <c r="C1561"/>
  <c r="K1560"/>
  <c r="J1560"/>
  <c r="G1560"/>
  <c r="F1560"/>
  <c r="C1560"/>
  <c r="K1559"/>
  <c r="J1559"/>
  <c r="G1559"/>
  <c r="F1559"/>
  <c r="C1559"/>
  <c r="K1558"/>
  <c r="J1558"/>
  <c r="G1558"/>
  <c r="F1558"/>
  <c r="C1558"/>
  <c r="K1557"/>
  <c r="J1557"/>
  <c r="G1557"/>
  <c r="F1557"/>
  <c r="C1557"/>
  <c r="K1556"/>
  <c r="J1556"/>
  <c r="G1556"/>
  <c r="F1556"/>
  <c r="C1556"/>
  <c r="K1555"/>
  <c r="J1555"/>
  <c r="G1555"/>
  <c r="F1555"/>
  <c r="C1555"/>
  <c r="K1554"/>
  <c r="J1554"/>
  <c r="G1554"/>
  <c r="F1554"/>
  <c r="C1554"/>
  <c r="K1553"/>
  <c r="J1553"/>
  <c r="G1553"/>
  <c r="F1553"/>
  <c r="C1553"/>
  <c r="K1552"/>
  <c r="J1552"/>
  <c r="G1552"/>
  <c r="F1552"/>
  <c r="C1552"/>
  <c r="K1551"/>
  <c r="J1551"/>
  <c r="G1551"/>
  <c r="F1551"/>
  <c r="C1551"/>
  <c r="K1550"/>
  <c r="J1550"/>
  <c r="G1550"/>
  <c r="F1550"/>
  <c r="C1550"/>
  <c r="K1549"/>
  <c r="J1549"/>
  <c r="G1549"/>
  <c r="F1549"/>
  <c r="C1549"/>
  <c r="K1548"/>
  <c r="J1548"/>
  <c r="G1548"/>
  <c r="F1548"/>
  <c r="C1548"/>
  <c r="K1547"/>
  <c r="J1547"/>
  <c r="G1547"/>
  <c r="F1547"/>
  <c r="C1547"/>
  <c r="K1546"/>
  <c r="J1546"/>
  <c r="G1546"/>
  <c r="F1546"/>
  <c r="C1546"/>
  <c r="K1545"/>
  <c r="J1545"/>
  <c r="G1545"/>
  <c r="F1545"/>
  <c r="C1545"/>
  <c r="K1544"/>
  <c r="J1544"/>
  <c r="G1544"/>
  <c r="F1544"/>
  <c r="C1544"/>
  <c r="K1543"/>
  <c r="J1543"/>
  <c r="G1543"/>
  <c r="F1543"/>
  <c r="C1543"/>
  <c r="K1542"/>
  <c r="J1542"/>
  <c r="G1542"/>
  <c r="F1542"/>
  <c r="C1542"/>
  <c r="K1541"/>
  <c r="J1541"/>
  <c r="G1541"/>
  <c r="F1541"/>
  <c r="C1541"/>
  <c r="K1540"/>
  <c r="C1540"/>
  <c r="K1539"/>
  <c r="J1539"/>
  <c r="G1539"/>
  <c r="F1539"/>
  <c r="C1539"/>
  <c r="K1538"/>
  <c r="J1538"/>
  <c r="G1538"/>
  <c r="F1538"/>
  <c r="C1538"/>
  <c r="K1537"/>
  <c r="J1537"/>
  <c r="G1537"/>
  <c r="F1537"/>
  <c r="C1537"/>
  <c r="K1536"/>
  <c r="J1536"/>
  <c r="G1536"/>
  <c r="F1536"/>
  <c r="C1536"/>
  <c r="K1535"/>
  <c r="J1535"/>
  <c r="G1535"/>
  <c r="F1535"/>
  <c r="C1535"/>
  <c r="K1534"/>
  <c r="J1534"/>
  <c r="G1534"/>
  <c r="F1534"/>
  <c r="C1534"/>
  <c r="K1533"/>
  <c r="J1533"/>
  <c r="G1533"/>
  <c r="F1533"/>
  <c r="C1533"/>
  <c r="K1532"/>
  <c r="J1532"/>
  <c r="G1532"/>
  <c r="F1532"/>
  <c r="C1532"/>
  <c r="K1531"/>
  <c r="J1531"/>
  <c r="G1531"/>
  <c r="F1531"/>
  <c r="C1531"/>
  <c r="K1530"/>
  <c r="J1530"/>
  <c r="G1530"/>
  <c r="F1530"/>
  <c r="C1530"/>
  <c r="K1529"/>
  <c r="J1529"/>
  <c r="G1529"/>
  <c r="F1529"/>
  <c r="C1529"/>
  <c r="K1528"/>
  <c r="J1528"/>
  <c r="G1528"/>
  <c r="F1528"/>
  <c r="C1528"/>
  <c r="K1527"/>
  <c r="J1527"/>
  <c r="G1527"/>
  <c r="F1527"/>
  <c r="C1527"/>
  <c r="K1526"/>
  <c r="J1526"/>
  <c r="G1526"/>
  <c r="F1526"/>
  <c r="C1526"/>
  <c r="K1525"/>
  <c r="J1525"/>
  <c r="G1525"/>
  <c r="F1525"/>
  <c r="C1525"/>
  <c r="K1524"/>
  <c r="J1524"/>
  <c r="G1524"/>
  <c r="F1524"/>
  <c r="C1524"/>
  <c r="K1523"/>
  <c r="J1523"/>
  <c r="G1523"/>
  <c r="F1523"/>
  <c r="C1523"/>
  <c r="K1522"/>
  <c r="J1522"/>
  <c r="G1522"/>
  <c r="F1522"/>
  <c r="C1522"/>
  <c r="K1521"/>
  <c r="J1521"/>
  <c r="G1521"/>
  <c r="F1521"/>
  <c r="C1521"/>
  <c r="K1520"/>
  <c r="J1520"/>
  <c r="G1520"/>
  <c r="F1520"/>
  <c r="C1520"/>
  <c r="K1519"/>
  <c r="J1519"/>
  <c r="G1519"/>
  <c r="F1519"/>
  <c r="C1519"/>
  <c r="K1518"/>
  <c r="J1518"/>
  <c r="G1518"/>
  <c r="F1518"/>
  <c r="C1518"/>
  <c r="K1517"/>
  <c r="J1517"/>
  <c r="G1517"/>
  <c r="F1517"/>
  <c r="C1517"/>
  <c r="K1516"/>
  <c r="J1516"/>
  <c r="G1516"/>
  <c r="F1516"/>
  <c r="C1516"/>
  <c r="K1515"/>
  <c r="J1515"/>
  <c r="G1515"/>
  <c r="F1515"/>
  <c r="C1515"/>
  <c r="K1514"/>
  <c r="J1514"/>
  <c r="G1514"/>
  <c r="F1514"/>
  <c r="C1514"/>
  <c r="K1513"/>
  <c r="J1513"/>
  <c r="G1513"/>
  <c r="F1513"/>
  <c r="C1513"/>
  <c r="K1512"/>
  <c r="J1512"/>
  <c r="G1512"/>
  <c r="F1512"/>
  <c r="C1512"/>
  <c r="K1511"/>
  <c r="J1511"/>
  <c r="G1511"/>
  <c r="F1511"/>
  <c r="C1511"/>
  <c r="K1510"/>
  <c r="J1510"/>
  <c r="G1510"/>
  <c r="F1510"/>
  <c r="C1510"/>
  <c r="K1509"/>
  <c r="J1509"/>
  <c r="G1509"/>
  <c r="F1509"/>
  <c r="C1509"/>
  <c r="K1508"/>
  <c r="J1508"/>
  <c r="G1508"/>
  <c r="F1508"/>
  <c r="C1508"/>
  <c r="K1507"/>
  <c r="J1507"/>
  <c r="G1507"/>
  <c r="F1507"/>
  <c r="C1507"/>
  <c r="K1506"/>
  <c r="J1506"/>
  <c r="G1506"/>
  <c r="F1506"/>
  <c r="C1506"/>
  <c r="K1505"/>
  <c r="J1505"/>
  <c r="G1505"/>
  <c r="F1505"/>
  <c r="C1505"/>
  <c r="K1504"/>
  <c r="J1504"/>
  <c r="G1504"/>
  <c r="F1504"/>
  <c r="C1504"/>
  <c r="K1503"/>
  <c r="J1503"/>
  <c r="G1503"/>
  <c r="F1503"/>
  <c r="C1503"/>
  <c r="K1502"/>
  <c r="J1502"/>
  <c r="G1502"/>
  <c r="F1502"/>
  <c r="C1502"/>
  <c r="K1501"/>
  <c r="J1501"/>
  <c r="G1501"/>
  <c r="F1501"/>
  <c r="C1501"/>
  <c r="K1500"/>
  <c r="J1500"/>
  <c r="G1500"/>
  <c r="F1500"/>
  <c r="C1500"/>
  <c r="K1499"/>
  <c r="J1499"/>
  <c r="G1499"/>
  <c r="F1499"/>
  <c r="C1499"/>
  <c r="K1498"/>
  <c r="J1498"/>
  <c r="G1498"/>
  <c r="F1498"/>
  <c r="C1498"/>
  <c r="K1497"/>
  <c r="J1497"/>
  <c r="G1497"/>
  <c r="F1497"/>
  <c r="C1497"/>
  <c r="K1496"/>
  <c r="J1496"/>
  <c r="G1496"/>
  <c r="F1496"/>
  <c r="C1496"/>
  <c r="K1495"/>
  <c r="J1495"/>
  <c r="G1495"/>
  <c r="F1495"/>
  <c r="C1495"/>
  <c r="K1494"/>
  <c r="J1494"/>
  <c r="G1494"/>
  <c r="F1494"/>
  <c r="C1494"/>
  <c r="K1493"/>
  <c r="J1493"/>
  <c r="G1493"/>
  <c r="F1493"/>
  <c r="C1493"/>
  <c r="K1492"/>
  <c r="J1492"/>
  <c r="G1492"/>
  <c r="F1492"/>
  <c r="C1492"/>
  <c r="K1491"/>
  <c r="J1491"/>
  <c r="G1491"/>
  <c r="F1491"/>
  <c r="C1491"/>
  <c r="K1490"/>
  <c r="J1490"/>
  <c r="G1490"/>
  <c r="F1490"/>
  <c r="C1490"/>
  <c r="K1489"/>
  <c r="J1489"/>
  <c r="G1489"/>
  <c r="F1489"/>
  <c r="C1489"/>
  <c r="K1488"/>
  <c r="J1488"/>
  <c r="G1488"/>
  <c r="F1488"/>
  <c r="C1488"/>
  <c r="K1487"/>
  <c r="J1487"/>
  <c r="G1487"/>
  <c r="F1487"/>
  <c r="C1487"/>
  <c r="K1486"/>
  <c r="J1486"/>
  <c r="G1486"/>
  <c r="F1486"/>
  <c r="C1486"/>
  <c r="K1485"/>
  <c r="J1485"/>
  <c r="G1485"/>
  <c r="F1485"/>
  <c r="C1485"/>
  <c r="K1484"/>
  <c r="J1484"/>
  <c r="G1484"/>
  <c r="F1484"/>
  <c r="C1484"/>
  <c r="K1483"/>
  <c r="J1483"/>
  <c r="G1483"/>
  <c r="F1483"/>
  <c r="C1483"/>
  <c r="K1482"/>
  <c r="J1482"/>
  <c r="G1482"/>
  <c r="F1482"/>
  <c r="C1482"/>
  <c r="K1481"/>
  <c r="J1481"/>
  <c r="G1481"/>
  <c r="F1481"/>
  <c r="C1481"/>
  <c r="K1480"/>
  <c r="J1480"/>
  <c r="G1480"/>
  <c r="F1480"/>
  <c r="C1480"/>
  <c r="K1479"/>
  <c r="J1479"/>
  <c r="G1479"/>
  <c r="F1479"/>
  <c r="C1479"/>
  <c r="K1478"/>
  <c r="J1478"/>
  <c r="G1478"/>
  <c r="F1478"/>
  <c r="C1478"/>
  <c r="K1477"/>
  <c r="J1477"/>
  <c r="G1477"/>
  <c r="F1477"/>
  <c r="C1477"/>
  <c r="K1476"/>
  <c r="J1476"/>
  <c r="G1476"/>
  <c r="F1476"/>
  <c r="C1476"/>
  <c r="K1475"/>
  <c r="J1475"/>
  <c r="G1475"/>
  <c r="F1475"/>
  <c r="C1475"/>
  <c r="K1474"/>
  <c r="J1474"/>
  <c r="G1474"/>
  <c r="F1474"/>
  <c r="C1474"/>
  <c r="K1473"/>
  <c r="J1473"/>
  <c r="G1473"/>
  <c r="F1473"/>
  <c r="C1473"/>
  <c r="K1472"/>
  <c r="J1472"/>
  <c r="G1472"/>
  <c r="F1472"/>
  <c r="C1472"/>
  <c r="K1471"/>
  <c r="J1471"/>
  <c r="G1471"/>
  <c r="F1471"/>
  <c r="C1471"/>
  <c r="K1470"/>
  <c r="J1470"/>
  <c r="G1470"/>
  <c r="F1470"/>
  <c r="C1470"/>
  <c r="K1469"/>
  <c r="J1469"/>
  <c r="G1469"/>
  <c r="F1469"/>
  <c r="C1469"/>
  <c r="K1468"/>
  <c r="J1468"/>
  <c r="G1468"/>
  <c r="F1468"/>
  <c r="C1468"/>
  <c r="K1467"/>
  <c r="J1467"/>
  <c r="G1467"/>
  <c r="F1467"/>
  <c r="C1467"/>
  <c r="K1466"/>
  <c r="J1466"/>
  <c r="G1466"/>
  <c r="F1466"/>
  <c r="C1466"/>
  <c r="K1465"/>
  <c r="J1465"/>
  <c r="G1465"/>
  <c r="F1465"/>
  <c r="C1465"/>
  <c r="K1464"/>
  <c r="J1464"/>
  <c r="G1464"/>
  <c r="F1464"/>
  <c r="C1464"/>
  <c r="K1463"/>
  <c r="J1463"/>
  <c r="G1463"/>
  <c r="F1463"/>
  <c r="C1463"/>
  <c r="K1462"/>
  <c r="J1462"/>
  <c r="G1462"/>
  <c r="F1462"/>
  <c r="C1462"/>
  <c r="K1461"/>
  <c r="J1461"/>
  <c r="G1461"/>
  <c r="F1461"/>
  <c r="C1461"/>
  <c r="K1460"/>
  <c r="J1460"/>
  <c r="G1460"/>
  <c r="F1460"/>
  <c r="C1460"/>
  <c r="K1459"/>
  <c r="J1459"/>
  <c r="G1459"/>
  <c r="F1459"/>
  <c r="C1459"/>
  <c r="K1458"/>
  <c r="J1458"/>
  <c r="G1458"/>
  <c r="F1458"/>
  <c r="C1458"/>
  <c r="K1457"/>
  <c r="J1457"/>
  <c r="G1457"/>
  <c r="F1457"/>
  <c r="C1457"/>
  <c r="K1456"/>
  <c r="J1456"/>
  <c r="G1456"/>
  <c r="F1456"/>
  <c r="C1456"/>
  <c r="K1455"/>
  <c r="J1455"/>
  <c r="G1455"/>
  <c r="F1455"/>
  <c r="C1455"/>
  <c r="K1454"/>
  <c r="J1454"/>
  <c r="G1454"/>
  <c r="F1454"/>
  <c r="C1454"/>
  <c r="K1453"/>
  <c r="J1453"/>
  <c r="G1453"/>
  <c r="F1453"/>
  <c r="C1453"/>
  <c r="K1452"/>
  <c r="J1452"/>
  <c r="G1452"/>
  <c r="F1452"/>
  <c r="C1452"/>
  <c r="K1451"/>
  <c r="J1451"/>
  <c r="G1451"/>
  <c r="F1451"/>
  <c r="C1451"/>
  <c r="K1450"/>
  <c r="J1450"/>
  <c r="G1450"/>
  <c r="F1450"/>
  <c r="C1450"/>
  <c r="K1449"/>
  <c r="J1449"/>
  <c r="G1449"/>
  <c r="F1449"/>
  <c r="C1449"/>
  <c r="K1448"/>
  <c r="J1448"/>
  <c r="G1448"/>
  <c r="F1448"/>
  <c r="C1448"/>
  <c r="K1447"/>
  <c r="J1447"/>
  <c r="G1447"/>
  <c r="F1447"/>
  <c r="C1447"/>
  <c r="K1446"/>
  <c r="J1446"/>
  <c r="G1446"/>
  <c r="F1446"/>
  <c r="C1446"/>
  <c r="K1445"/>
  <c r="J1445"/>
  <c r="G1445"/>
  <c r="F1445"/>
  <c r="C1445"/>
  <c r="K1444"/>
  <c r="J1444"/>
  <c r="G1444"/>
  <c r="F1444"/>
  <c r="C1444"/>
  <c r="K1443"/>
  <c r="J1443"/>
  <c r="G1443"/>
  <c r="F1443"/>
  <c r="C1443"/>
  <c r="K1442"/>
  <c r="J1442"/>
  <c r="G1442"/>
  <c r="F1442"/>
  <c r="C1442"/>
  <c r="K1441"/>
  <c r="J1441"/>
  <c r="G1441"/>
  <c r="F1441"/>
  <c r="C1441"/>
  <c r="K1440"/>
  <c r="J1440"/>
  <c r="G1440"/>
  <c r="F1440"/>
  <c r="C1440"/>
  <c r="K1439"/>
  <c r="J1439"/>
  <c r="G1439"/>
  <c r="F1439"/>
  <c r="C1439"/>
  <c r="K1438"/>
  <c r="C1438"/>
  <c r="K1437"/>
  <c r="J1437"/>
  <c r="G1437"/>
  <c r="F1437"/>
  <c r="C1437"/>
  <c r="K1436"/>
  <c r="J1436"/>
  <c r="G1436"/>
  <c r="F1436"/>
  <c r="C1436"/>
  <c r="K1435"/>
  <c r="J1435"/>
  <c r="G1435"/>
  <c r="F1435"/>
  <c r="C1435"/>
  <c r="K1434"/>
  <c r="J1434"/>
  <c r="G1434"/>
  <c r="F1434"/>
  <c r="C1434"/>
  <c r="K1433"/>
  <c r="J1433"/>
  <c r="G1433"/>
  <c r="F1433"/>
  <c r="C1433"/>
  <c r="K1432"/>
  <c r="J1432"/>
  <c r="G1432"/>
  <c r="F1432"/>
  <c r="C1432"/>
  <c r="K1431"/>
  <c r="J1431"/>
  <c r="G1431"/>
  <c r="F1431"/>
  <c r="C1431"/>
  <c r="K1430"/>
  <c r="J1430"/>
  <c r="G1430"/>
  <c r="F1430"/>
  <c r="C1430"/>
  <c r="K1429"/>
  <c r="J1429"/>
  <c r="G1429"/>
  <c r="F1429"/>
  <c r="C1429"/>
  <c r="K1428"/>
  <c r="J1428"/>
  <c r="G1428"/>
  <c r="F1428"/>
  <c r="C1428"/>
  <c r="K1427"/>
  <c r="J1427"/>
  <c r="G1427"/>
  <c r="F1427"/>
  <c r="C1427"/>
  <c r="K1426"/>
  <c r="J1426"/>
  <c r="G1426"/>
  <c r="F1426"/>
  <c r="C1426"/>
  <c r="K1425"/>
  <c r="J1425"/>
  <c r="G1425"/>
  <c r="F1425"/>
  <c r="C1425"/>
  <c r="K1424"/>
  <c r="C1424"/>
  <c r="K1423"/>
  <c r="J1423"/>
  <c r="G1423"/>
  <c r="F1423"/>
  <c r="C1423"/>
  <c r="K1422"/>
  <c r="J1422"/>
  <c r="G1422"/>
  <c r="F1422"/>
  <c r="C1422"/>
  <c r="K1421"/>
  <c r="J1421"/>
  <c r="G1421"/>
  <c r="F1421"/>
  <c r="C1421"/>
  <c r="K1420"/>
  <c r="J1420"/>
  <c r="G1420"/>
  <c r="F1420"/>
  <c r="C1420"/>
  <c r="K1419"/>
  <c r="J1419"/>
  <c r="G1419"/>
  <c r="F1419"/>
  <c r="C1419"/>
  <c r="K1418"/>
  <c r="J1418"/>
  <c r="G1418"/>
  <c r="F1418"/>
  <c r="C1418"/>
  <c r="K1417"/>
  <c r="J1417"/>
  <c r="G1417"/>
  <c r="F1417"/>
  <c r="C1417"/>
  <c r="K1416"/>
  <c r="J1416"/>
  <c r="G1416"/>
  <c r="F1416"/>
  <c r="C1416"/>
  <c r="K1415"/>
  <c r="J1415"/>
  <c r="G1415"/>
  <c r="F1415"/>
  <c r="C1415"/>
  <c r="K1414"/>
  <c r="J1414"/>
  <c r="G1414"/>
  <c r="F1414"/>
  <c r="C1414"/>
  <c r="K1413"/>
  <c r="J1413"/>
  <c r="G1413"/>
  <c r="F1413"/>
  <c r="C1413"/>
  <c r="K1412"/>
  <c r="J1412"/>
  <c r="G1412"/>
  <c r="F1412"/>
  <c r="C1412"/>
  <c r="K1411"/>
  <c r="J1411"/>
  <c r="G1411"/>
  <c r="F1411"/>
  <c r="C1411"/>
  <c r="K1410"/>
  <c r="J1410"/>
  <c r="G1410"/>
  <c r="F1410"/>
  <c r="C1410"/>
  <c r="K1409"/>
  <c r="J1409"/>
  <c r="G1409"/>
  <c r="F1409"/>
  <c r="C1409"/>
  <c r="K1408"/>
  <c r="J1408"/>
  <c r="G1408"/>
  <c r="F1408"/>
  <c r="C1408"/>
  <c r="K1407"/>
  <c r="C1407"/>
  <c r="K1406"/>
  <c r="J1406"/>
  <c r="G1406"/>
  <c r="F1406"/>
  <c r="C1406"/>
  <c r="K1405"/>
  <c r="J1405"/>
  <c r="G1405"/>
  <c r="F1405"/>
  <c r="C1405"/>
  <c r="K1404"/>
  <c r="J1404"/>
  <c r="G1404"/>
  <c r="F1404"/>
  <c r="C1404"/>
  <c r="K1403"/>
  <c r="J1403"/>
  <c r="G1403"/>
  <c r="F1403"/>
  <c r="C1403"/>
  <c r="K1402"/>
  <c r="J1402"/>
  <c r="G1402"/>
  <c r="F1402"/>
  <c r="C1402"/>
  <c r="K1401"/>
  <c r="J1401"/>
  <c r="G1401"/>
  <c r="F1401"/>
  <c r="C1401"/>
  <c r="K1400"/>
  <c r="J1400"/>
  <c r="G1400"/>
  <c r="F1400"/>
  <c r="C1400"/>
  <c r="K1399"/>
  <c r="J1399"/>
  <c r="G1399"/>
  <c r="F1399"/>
  <c r="C1399"/>
  <c r="K1398"/>
  <c r="J1398"/>
  <c r="G1398"/>
  <c r="F1398"/>
  <c r="C1398"/>
  <c r="K1397"/>
  <c r="J1397"/>
  <c r="G1397"/>
  <c r="F1397"/>
  <c r="C1397"/>
  <c r="K1396"/>
  <c r="J1396"/>
  <c r="G1396"/>
  <c r="F1396"/>
  <c r="C1396"/>
  <c r="K1395"/>
  <c r="J1395"/>
  <c r="G1395"/>
  <c r="F1395"/>
  <c r="C1395"/>
  <c r="K1394"/>
  <c r="J1394"/>
  <c r="G1394"/>
  <c r="F1394"/>
  <c r="C1394"/>
  <c r="K1393"/>
  <c r="J1393"/>
  <c r="G1393"/>
  <c r="F1393"/>
  <c r="C1393"/>
  <c r="K1392"/>
  <c r="J1392"/>
  <c r="G1392"/>
  <c r="F1392"/>
  <c r="C1392"/>
  <c r="K1391"/>
  <c r="J1391"/>
  <c r="G1391"/>
  <c r="F1391"/>
  <c r="C1391"/>
  <c r="K1390"/>
  <c r="C1390"/>
  <c r="K1389"/>
  <c r="J1389"/>
  <c r="G1389"/>
  <c r="F1389"/>
  <c r="C1389"/>
  <c r="K1388"/>
  <c r="J1388"/>
  <c r="G1388"/>
  <c r="F1388"/>
  <c r="C1388"/>
  <c r="K1387"/>
  <c r="C1387"/>
  <c r="K1386"/>
  <c r="C1386"/>
  <c r="K1385"/>
  <c r="C1385"/>
  <c r="K1384"/>
  <c r="C1384"/>
  <c r="K1383"/>
  <c r="J1383"/>
  <c r="G1383"/>
  <c r="F1383"/>
  <c r="C1383"/>
  <c r="K1382"/>
  <c r="J1382"/>
  <c r="G1382"/>
  <c r="F1382"/>
  <c r="C1382"/>
  <c r="K1381"/>
  <c r="J1381"/>
  <c r="G1381"/>
  <c r="F1381"/>
  <c r="C1381"/>
  <c r="K1380"/>
  <c r="J1380"/>
  <c r="G1380"/>
  <c r="F1380"/>
  <c r="C1380"/>
  <c r="K1379"/>
  <c r="J1379"/>
  <c r="G1379"/>
  <c r="F1379"/>
  <c r="C1379"/>
  <c r="K1378"/>
  <c r="J1378"/>
  <c r="G1378"/>
  <c r="F1378"/>
  <c r="C1378"/>
  <c r="K1377"/>
  <c r="J1377"/>
  <c r="G1377"/>
  <c r="F1377"/>
  <c r="C1377"/>
  <c r="K1376"/>
  <c r="J1376"/>
  <c r="G1376"/>
  <c r="F1376"/>
  <c r="C1376"/>
  <c r="K1375"/>
  <c r="J1375"/>
  <c r="G1375"/>
  <c r="F1375"/>
  <c r="C1375"/>
  <c r="K1374"/>
  <c r="J1374"/>
  <c r="G1374"/>
  <c r="F1374"/>
  <c r="C1374"/>
  <c r="K1373"/>
  <c r="J1373"/>
  <c r="G1373"/>
  <c r="F1373"/>
  <c r="C1373"/>
  <c r="K1372"/>
  <c r="J1372"/>
  <c r="G1372"/>
  <c r="F1372"/>
  <c r="C1372"/>
  <c r="K1371"/>
  <c r="J1371"/>
  <c r="G1371"/>
  <c r="F1371"/>
  <c r="C1371"/>
  <c r="K1370"/>
  <c r="J1370"/>
  <c r="G1370"/>
  <c r="F1370"/>
  <c r="C1370"/>
  <c r="K1369"/>
  <c r="J1369"/>
  <c r="G1369"/>
  <c r="F1369"/>
  <c r="C1369"/>
  <c r="K1368"/>
  <c r="J1368"/>
  <c r="G1368"/>
  <c r="F1368"/>
  <c r="C1368"/>
  <c r="K1367"/>
  <c r="J1367"/>
  <c r="G1367"/>
  <c r="F1367"/>
  <c r="C1367"/>
  <c r="K1366"/>
  <c r="J1366"/>
  <c r="G1366"/>
  <c r="F1366"/>
  <c r="C1366"/>
  <c r="K1365"/>
  <c r="J1365"/>
  <c r="G1365"/>
  <c r="F1365"/>
  <c r="C1365"/>
  <c r="K1364"/>
  <c r="J1364"/>
  <c r="G1364"/>
  <c r="F1364"/>
  <c r="C1364"/>
  <c r="K1363"/>
  <c r="J1363"/>
  <c r="G1363"/>
  <c r="F1363"/>
  <c r="C1363"/>
  <c r="K1362"/>
  <c r="J1362"/>
  <c r="G1362"/>
  <c r="F1362"/>
  <c r="C1362"/>
  <c r="K1361"/>
  <c r="J1361"/>
  <c r="G1361"/>
  <c r="F1361"/>
  <c r="C1361"/>
  <c r="K1360"/>
  <c r="J1360"/>
  <c r="G1360"/>
  <c r="F1360"/>
  <c r="C1360"/>
  <c r="K1359"/>
  <c r="J1359"/>
  <c r="G1359"/>
  <c r="F1359"/>
  <c r="C1359"/>
  <c r="K1358"/>
  <c r="J1358"/>
  <c r="G1358"/>
  <c r="F1358"/>
  <c r="C1358"/>
  <c r="K1357"/>
  <c r="J1357"/>
  <c r="G1357"/>
  <c r="F1357"/>
  <c r="C1357"/>
  <c r="K1356"/>
  <c r="J1356"/>
  <c r="G1356"/>
  <c r="F1356"/>
  <c r="C1356"/>
  <c r="K1355"/>
  <c r="J1355"/>
  <c r="G1355"/>
  <c r="F1355"/>
  <c r="C1355"/>
  <c r="K1354"/>
  <c r="J1354"/>
  <c r="G1354"/>
  <c r="F1354"/>
  <c r="C1354"/>
  <c r="K1353"/>
  <c r="J1353"/>
  <c r="G1353"/>
  <c r="F1353"/>
  <c r="C1353"/>
  <c r="K1352"/>
  <c r="J1352"/>
  <c r="G1352"/>
  <c r="F1352"/>
  <c r="C1352"/>
  <c r="K1351"/>
  <c r="J1351"/>
  <c r="G1351"/>
  <c r="F1351"/>
  <c r="C1351"/>
  <c r="K1350"/>
  <c r="J1350"/>
  <c r="G1350"/>
  <c r="F1350"/>
  <c r="C1350"/>
  <c r="K1349"/>
  <c r="J1349"/>
  <c r="G1349"/>
  <c r="F1349"/>
  <c r="C1349"/>
  <c r="K1348"/>
  <c r="J1348"/>
  <c r="G1348"/>
  <c r="F1348"/>
  <c r="C1348"/>
  <c r="K1347"/>
  <c r="J1347"/>
  <c r="G1347"/>
  <c r="F1347"/>
  <c r="C1347"/>
  <c r="K1346"/>
  <c r="J1346"/>
  <c r="G1346"/>
  <c r="F1346"/>
  <c r="C1346"/>
  <c r="K1345"/>
  <c r="J1345"/>
  <c r="G1345"/>
  <c r="F1345"/>
  <c r="C1345"/>
  <c r="K1344"/>
  <c r="J1344"/>
  <c r="G1344"/>
  <c r="F1344"/>
  <c r="C1344"/>
  <c r="K1343"/>
  <c r="J1343"/>
  <c r="G1343"/>
  <c r="F1343"/>
  <c r="C1343"/>
  <c r="K1342"/>
  <c r="J1342"/>
  <c r="G1342"/>
  <c r="F1342"/>
  <c r="C1342"/>
  <c r="K1341"/>
  <c r="J1341"/>
  <c r="G1341"/>
  <c r="F1341"/>
  <c r="C1341"/>
  <c r="K1340"/>
  <c r="J1340"/>
  <c r="G1340"/>
  <c r="F1340"/>
  <c r="C1340"/>
  <c r="K1339"/>
  <c r="J1339"/>
  <c r="G1339"/>
  <c r="F1339"/>
  <c r="C1339"/>
  <c r="K1338"/>
  <c r="J1338"/>
  <c r="G1338"/>
  <c r="F1338"/>
  <c r="C1338"/>
  <c r="K1337"/>
  <c r="J1337"/>
  <c r="G1337"/>
  <c r="F1337"/>
  <c r="C1337"/>
  <c r="K1336"/>
  <c r="J1336"/>
  <c r="G1336"/>
  <c r="F1336"/>
  <c r="C1336"/>
  <c r="K1335"/>
  <c r="J1335"/>
  <c r="G1335"/>
  <c r="F1335"/>
  <c r="C1335"/>
  <c r="K1334"/>
  <c r="J1334"/>
  <c r="G1334"/>
  <c r="F1334"/>
  <c r="C1334"/>
  <c r="K1333"/>
  <c r="J1333"/>
  <c r="G1333"/>
  <c r="F1333"/>
  <c r="C1333"/>
  <c r="K1332"/>
  <c r="J1332"/>
  <c r="G1332"/>
  <c r="F1332"/>
  <c r="C1332"/>
  <c r="K1331"/>
  <c r="J1331"/>
  <c r="G1331"/>
  <c r="F1331"/>
  <c r="C1331"/>
  <c r="K1330"/>
  <c r="J1330"/>
  <c r="G1330"/>
  <c r="F1330"/>
  <c r="C1330"/>
  <c r="K1329"/>
  <c r="J1329"/>
  <c r="G1329"/>
  <c r="F1329"/>
  <c r="C1329"/>
  <c r="K1328"/>
  <c r="J1328"/>
  <c r="G1328"/>
  <c r="F1328"/>
  <c r="C1328"/>
  <c r="K1327"/>
  <c r="J1327"/>
  <c r="G1327"/>
  <c r="F1327"/>
  <c r="C1327"/>
  <c r="K1326"/>
  <c r="J1326"/>
  <c r="G1326"/>
  <c r="F1326"/>
  <c r="C1326"/>
  <c r="K1325"/>
  <c r="J1325"/>
  <c r="G1325"/>
  <c r="F1325"/>
  <c r="C1325"/>
  <c r="K1324"/>
  <c r="J1324"/>
  <c r="G1324"/>
  <c r="F1324"/>
  <c r="C1324"/>
  <c r="K1323"/>
  <c r="J1323"/>
  <c r="G1323"/>
  <c r="F1323"/>
  <c r="C1323"/>
  <c r="K1322"/>
  <c r="J1322"/>
  <c r="G1322"/>
  <c r="F1322"/>
  <c r="C1322"/>
  <c r="K1321"/>
  <c r="J1321"/>
  <c r="G1321"/>
  <c r="F1321"/>
  <c r="C1321"/>
  <c r="K1320"/>
  <c r="J1320"/>
  <c r="G1320"/>
  <c r="F1320"/>
  <c r="C1320"/>
  <c r="K1319"/>
  <c r="J1319"/>
  <c r="G1319"/>
  <c r="F1319"/>
  <c r="C1319"/>
  <c r="K1318"/>
  <c r="J1318"/>
  <c r="G1318"/>
  <c r="F1318"/>
  <c r="C1318"/>
  <c r="K1317"/>
  <c r="J1317"/>
  <c r="G1317"/>
  <c r="F1317"/>
  <c r="C1317"/>
  <c r="K1316"/>
  <c r="J1316"/>
  <c r="G1316"/>
  <c r="F1316"/>
  <c r="C1316"/>
  <c r="K1315"/>
  <c r="J1315"/>
  <c r="G1315"/>
  <c r="F1315"/>
  <c r="C1315"/>
  <c r="K1314"/>
  <c r="J1314"/>
  <c r="G1314"/>
  <c r="F1314"/>
  <c r="C1314"/>
  <c r="K1313"/>
  <c r="J1313"/>
  <c r="G1313"/>
  <c r="F1313"/>
  <c r="C1313"/>
  <c r="K1312"/>
  <c r="J1312"/>
  <c r="G1312"/>
  <c r="F1312"/>
  <c r="C1312"/>
  <c r="K1311"/>
  <c r="J1311"/>
  <c r="G1311"/>
  <c r="F1311"/>
  <c r="C1311"/>
  <c r="K1310"/>
  <c r="J1310"/>
  <c r="G1310"/>
  <c r="F1310"/>
  <c r="C1310"/>
  <c r="K1309"/>
  <c r="J1309"/>
  <c r="G1309"/>
  <c r="F1309"/>
  <c r="C1309"/>
  <c r="K1308"/>
  <c r="J1308"/>
  <c r="G1308"/>
  <c r="F1308"/>
  <c r="C1308"/>
  <c r="K1307"/>
  <c r="J1307"/>
  <c r="G1307"/>
  <c r="F1307"/>
  <c r="C1307"/>
  <c r="K1306"/>
  <c r="J1306"/>
  <c r="G1306"/>
  <c r="F1306"/>
  <c r="C1306"/>
  <c r="K1305"/>
  <c r="J1305"/>
  <c r="G1305"/>
  <c r="F1305"/>
  <c r="C1305"/>
  <c r="K1304"/>
  <c r="J1304"/>
  <c r="G1304"/>
  <c r="F1304"/>
  <c r="C1304"/>
  <c r="K1303"/>
  <c r="J1303"/>
  <c r="G1303"/>
  <c r="F1303"/>
  <c r="C1303"/>
  <c r="K1302"/>
  <c r="J1302"/>
  <c r="G1302"/>
  <c r="F1302"/>
  <c r="C1302"/>
  <c r="K1301"/>
  <c r="J1301"/>
  <c r="G1301"/>
  <c r="F1301"/>
  <c r="C1301"/>
  <c r="K1300"/>
  <c r="C1300"/>
  <c r="K1299"/>
  <c r="C1299"/>
  <c r="K1298"/>
  <c r="J1298"/>
  <c r="G1298"/>
  <c r="F1298"/>
  <c r="C1298"/>
  <c r="K1297"/>
  <c r="J1297"/>
  <c r="G1297"/>
  <c r="F1297"/>
  <c r="C1297"/>
  <c r="K1296"/>
  <c r="J1296"/>
  <c r="G1296"/>
  <c r="F1296"/>
  <c r="C1296"/>
  <c r="K1295"/>
  <c r="J1295"/>
  <c r="G1295"/>
  <c r="F1295"/>
  <c r="C1295"/>
  <c r="K1294"/>
  <c r="J1294"/>
  <c r="G1294"/>
  <c r="F1294"/>
  <c r="C1294"/>
  <c r="K1293"/>
  <c r="J1293"/>
  <c r="G1293"/>
  <c r="F1293"/>
  <c r="C1293"/>
  <c r="K1292"/>
  <c r="J1292"/>
  <c r="G1292"/>
  <c r="F1292"/>
  <c r="C1292"/>
  <c r="K1291"/>
  <c r="J1291"/>
  <c r="G1291"/>
  <c r="F1291"/>
  <c r="C1291"/>
  <c r="K1290"/>
  <c r="J1290"/>
  <c r="G1290"/>
  <c r="F1290"/>
  <c r="C1290"/>
  <c r="K1289"/>
  <c r="J1289"/>
  <c r="G1289"/>
  <c r="F1289"/>
  <c r="C1289"/>
  <c r="K1288"/>
  <c r="J1288"/>
  <c r="G1288"/>
  <c r="F1288"/>
  <c r="C1288"/>
  <c r="K1287"/>
  <c r="J1287"/>
  <c r="G1287"/>
  <c r="F1287"/>
  <c r="C1287"/>
  <c r="K1286"/>
  <c r="J1286"/>
  <c r="G1286"/>
  <c r="F1286"/>
  <c r="C1286"/>
  <c r="K1285"/>
  <c r="J1285"/>
  <c r="G1285"/>
  <c r="F1285"/>
  <c r="C1285"/>
  <c r="K1284"/>
  <c r="J1284"/>
  <c r="G1284"/>
  <c r="F1284"/>
  <c r="C1284"/>
  <c r="K1283"/>
  <c r="J1283"/>
  <c r="G1283"/>
  <c r="F1283"/>
  <c r="C1283"/>
  <c r="K1282"/>
  <c r="J1282"/>
  <c r="G1282"/>
  <c r="F1282"/>
  <c r="C1282"/>
  <c r="K1281"/>
  <c r="J1281"/>
  <c r="G1281"/>
  <c r="F1281"/>
  <c r="C1281"/>
  <c r="K1280"/>
  <c r="J1280"/>
  <c r="G1280"/>
  <c r="F1280"/>
  <c r="C1280"/>
  <c r="K1279"/>
  <c r="J1279"/>
  <c r="G1279"/>
  <c r="F1279"/>
  <c r="C1279"/>
  <c r="K1278"/>
  <c r="J1278"/>
  <c r="G1278"/>
  <c r="F1278"/>
  <c r="C1278"/>
  <c r="K1277"/>
  <c r="J1277"/>
  <c r="G1277"/>
  <c r="F1277"/>
  <c r="C1277"/>
  <c r="K1276"/>
  <c r="J1276"/>
  <c r="G1276"/>
  <c r="F1276"/>
  <c r="C1276"/>
  <c r="K1275"/>
  <c r="J1275"/>
  <c r="G1275"/>
  <c r="F1275"/>
  <c r="C1275"/>
  <c r="K1274"/>
  <c r="J1274"/>
  <c r="G1274"/>
  <c r="F1274"/>
  <c r="C1274"/>
  <c r="K1273"/>
  <c r="J1273"/>
  <c r="G1273"/>
  <c r="F1273"/>
  <c r="C1273"/>
  <c r="K1272"/>
  <c r="J1272"/>
  <c r="G1272"/>
  <c r="F1272"/>
  <c r="C1272"/>
  <c r="K1271"/>
  <c r="J1271"/>
  <c r="G1271"/>
  <c r="F1271"/>
  <c r="C1271"/>
  <c r="K1270"/>
  <c r="J1270"/>
  <c r="G1270"/>
  <c r="F1270"/>
  <c r="C1270"/>
  <c r="K1269"/>
  <c r="J1269"/>
  <c r="G1269"/>
  <c r="F1269"/>
  <c r="C1269"/>
  <c r="K1268"/>
  <c r="J1268"/>
  <c r="G1268"/>
  <c r="F1268"/>
  <c r="C1268"/>
  <c r="K1267"/>
  <c r="J1267"/>
  <c r="G1267"/>
  <c r="F1267"/>
  <c r="C1267"/>
  <c r="K1266"/>
  <c r="J1266"/>
  <c r="G1266"/>
  <c r="F1266"/>
  <c r="C1266"/>
  <c r="K1265"/>
  <c r="J1265"/>
  <c r="G1265"/>
  <c r="F1265"/>
  <c r="C1265"/>
  <c r="K1264"/>
  <c r="J1264"/>
  <c r="G1264"/>
  <c r="F1264"/>
  <c r="C1264"/>
  <c r="K1263"/>
  <c r="J1263"/>
  <c r="G1263"/>
  <c r="F1263"/>
  <c r="C1263"/>
  <c r="K1262"/>
  <c r="J1262"/>
  <c r="G1262"/>
  <c r="F1262"/>
  <c r="C1262"/>
  <c r="K1261"/>
  <c r="J1261"/>
  <c r="G1261"/>
  <c r="F1261"/>
  <c r="C1261"/>
  <c r="K1260"/>
  <c r="J1260"/>
  <c r="G1260"/>
  <c r="F1260"/>
  <c r="C1260"/>
  <c r="K1259"/>
  <c r="J1259"/>
  <c r="G1259"/>
  <c r="F1259"/>
  <c r="C1259"/>
  <c r="K1258"/>
  <c r="C1258"/>
  <c r="K1257"/>
  <c r="J1257"/>
  <c r="G1257"/>
  <c r="F1257"/>
  <c r="C1257"/>
  <c r="K1256"/>
  <c r="J1256"/>
  <c r="G1256"/>
  <c r="F1256"/>
  <c r="C1256"/>
  <c r="K1255"/>
  <c r="J1255"/>
  <c r="G1255"/>
  <c r="F1255"/>
  <c r="C1255"/>
  <c r="K1254"/>
  <c r="J1254"/>
  <c r="G1254"/>
  <c r="F1254"/>
  <c r="C1254"/>
  <c r="K1253"/>
  <c r="J1253"/>
  <c r="G1253"/>
  <c r="F1253"/>
  <c r="C1253"/>
  <c r="K1252"/>
  <c r="J1252"/>
  <c r="G1252"/>
  <c r="F1252"/>
  <c r="C1252"/>
  <c r="K1251"/>
  <c r="J1251"/>
  <c r="G1251"/>
  <c r="F1251"/>
  <c r="C1251"/>
  <c r="K1250"/>
  <c r="J1250"/>
  <c r="G1250"/>
  <c r="F1250"/>
  <c r="C1250"/>
  <c r="K1249"/>
  <c r="J1249"/>
  <c r="G1249"/>
  <c r="F1249"/>
  <c r="C1249"/>
  <c r="K1248"/>
  <c r="J1248"/>
  <c r="G1248"/>
  <c r="F1248"/>
  <c r="C1248"/>
  <c r="K1247"/>
  <c r="J1247"/>
  <c r="G1247"/>
  <c r="F1247"/>
  <c r="C1247"/>
  <c r="K1246"/>
  <c r="J1246"/>
  <c r="G1246"/>
  <c r="F1246"/>
  <c r="C1246"/>
  <c r="K1245"/>
  <c r="J1245"/>
  <c r="G1245"/>
  <c r="F1245"/>
  <c r="C1245"/>
  <c r="K1244"/>
  <c r="J1244"/>
  <c r="G1244"/>
  <c r="F1244"/>
  <c r="C1244"/>
  <c r="K1243"/>
  <c r="J1243"/>
  <c r="G1243"/>
  <c r="F1243"/>
  <c r="C1243"/>
  <c r="K1242"/>
  <c r="J1242"/>
  <c r="G1242"/>
  <c r="F1242"/>
  <c r="C1242"/>
  <c r="K1241"/>
  <c r="C1241"/>
  <c r="K1240"/>
  <c r="J1240"/>
  <c r="G1240"/>
  <c r="F1240"/>
  <c r="C1240"/>
  <c r="K1239"/>
  <c r="J1239"/>
  <c r="G1239"/>
  <c r="F1239"/>
  <c r="C1239"/>
  <c r="K1238"/>
  <c r="J1238"/>
  <c r="G1238"/>
  <c r="F1238"/>
  <c r="C1238"/>
  <c r="K1237"/>
  <c r="J1237"/>
  <c r="G1237"/>
  <c r="F1237"/>
  <c r="C1237"/>
  <c r="K1236"/>
  <c r="J1236"/>
  <c r="G1236"/>
  <c r="F1236"/>
  <c r="C1236"/>
  <c r="K1235"/>
  <c r="J1235"/>
  <c r="G1235"/>
  <c r="F1235"/>
  <c r="C1235"/>
  <c r="K1234"/>
  <c r="J1234"/>
  <c r="G1234"/>
  <c r="F1234"/>
  <c r="C1234"/>
  <c r="K1233"/>
  <c r="J1233"/>
  <c r="G1233"/>
  <c r="F1233"/>
  <c r="C1233"/>
  <c r="K1232"/>
  <c r="J1232"/>
  <c r="G1232"/>
  <c r="F1232"/>
  <c r="C1232"/>
  <c r="K1231"/>
  <c r="J1231"/>
  <c r="G1231"/>
  <c r="F1231"/>
  <c r="C1231"/>
  <c r="K1230"/>
  <c r="J1230"/>
  <c r="G1230"/>
  <c r="F1230"/>
  <c r="C1230"/>
  <c r="K1229"/>
  <c r="J1229"/>
  <c r="G1229"/>
  <c r="F1229"/>
  <c r="C1229"/>
  <c r="K1228"/>
  <c r="J1228"/>
  <c r="G1228"/>
  <c r="F1228"/>
  <c r="C1228"/>
  <c r="K1227"/>
  <c r="J1227"/>
  <c r="G1227"/>
  <c r="F1227"/>
  <c r="C1227"/>
  <c r="K1226"/>
  <c r="J1226"/>
  <c r="G1226"/>
  <c r="F1226"/>
  <c r="C1226"/>
  <c r="K1225"/>
  <c r="J1225"/>
  <c r="G1225"/>
  <c r="F1225"/>
  <c r="C1225"/>
  <c r="K1224"/>
  <c r="J1224"/>
  <c r="G1224"/>
  <c r="F1224"/>
  <c r="C1224"/>
  <c r="K1223"/>
  <c r="J1223"/>
  <c r="G1223"/>
  <c r="F1223"/>
  <c r="C1223"/>
  <c r="K1222"/>
  <c r="J1222"/>
  <c r="G1222"/>
  <c r="F1222"/>
  <c r="C1222"/>
  <c r="K1221"/>
  <c r="J1221"/>
  <c r="G1221"/>
  <c r="F1221"/>
  <c r="C1221"/>
  <c r="K1220"/>
  <c r="J1220"/>
  <c r="G1220"/>
  <c r="F1220"/>
  <c r="C1220"/>
  <c r="K1219"/>
  <c r="C1219"/>
  <c r="K1218"/>
  <c r="J1218"/>
  <c r="G1218"/>
  <c r="F1218"/>
  <c r="C1218"/>
  <c r="K1217"/>
  <c r="J1217"/>
  <c r="G1217"/>
  <c r="F1217"/>
  <c r="C1217"/>
  <c r="K1216"/>
  <c r="J1216"/>
  <c r="G1216"/>
  <c r="F1216"/>
  <c r="C1216"/>
  <c r="K1215"/>
  <c r="J1215"/>
  <c r="G1215"/>
  <c r="F1215"/>
  <c r="C1215"/>
  <c r="K1214"/>
  <c r="J1214"/>
  <c r="G1214"/>
  <c r="F1214"/>
  <c r="C1214"/>
  <c r="K1213"/>
  <c r="J1213"/>
  <c r="G1213"/>
  <c r="F1213"/>
  <c r="C1213"/>
  <c r="K1212"/>
  <c r="J1212"/>
  <c r="G1212"/>
  <c r="F1212"/>
  <c r="C1212"/>
  <c r="K1211"/>
  <c r="J1211"/>
  <c r="G1211"/>
  <c r="F1211"/>
  <c r="C1211"/>
  <c r="K1210"/>
  <c r="J1210"/>
  <c r="G1210"/>
  <c r="F1210"/>
  <c r="C1210"/>
  <c r="K1209"/>
  <c r="J1209"/>
  <c r="G1209"/>
  <c r="F1209"/>
  <c r="C1209"/>
  <c r="K1208"/>
  <c r="J1208"/>
  <c r="G1208"/>
  <c r="F1208"/>
  <c r="C1208"/>
  <c r="K1207"/>
  <c r="J1207"/>
  <c r="G1207"/>
  <c r="F1207"/>
  <c r="C1207"/>
  <c r="K1206"/>
  <c r="J1206"/>
  <c r="G1206"/>
  <c r="F1206"/>
  <c r="C1206"/>
  <c r="K1205"/>
  <c r="J1205"/>
  <c r="G1205"/>
  <c r="F1205"/>
  <c r="C1205"/>
  <c r="K1204"/>
  <c r="J1204"/>
  <c r="G1204"/>
  <c r="F1204"/>
  <c r="C1204"/>
  <c r="K1203"/>
  <c r="J1203"/>
  <c r="G1203"/>
  <c r="F1203"/>
  <c r="C1203"/>
  <c r="K1202"/>
  <c r="J1202"/>
  <c r="G1202"/>
  <c r="F1202"/>
  <c r="C1202"/>
  <c r="K1201"/>
  <c r="J1201"/>
  <c r="G1201"/>
  <c r="F1201"/>
  <c r="C1201"/>
  <c r="K1200"/>
  <c r="J1200"/>
  <c r="G1200"/>
  <c r="F1200"/>
  <c r="C1200"/>
  <c r="K1199"/>
  <c r="C1199"/>
  <c r="K1198"/>
  <c r="C1198"/>
  <c r="K1197"/>
  <c r="J1197"/>
  <c r="G1197"/>
  <c r="F1197"/>
  <c r="C1197"/>
  <c r="K1196"/>
  <c r="J1196"/>
  <c r="G1196"/>
  <c r="F1196"/>
  <c r="C1196"/>
  <c r="K1195"/>
  <c r="J1195"/>
  <c r="G1195"/>
  <c r="F1195"/>
  <c r="C1195"/>
  <c r="K1194"/>
  <c r="J1194"/>
  <c r="G1194"/>
  <c r="F1194"/>
  <c r="C1194"/>
  <c r="K1193"/>
  <c r="J1193"/>
  <c r="G1193"/>
  <c r="F1193"/>
  <c r="C1193"/>
  <c r="K1192"/>
  <c r="J1192"/>
  <c r="G1192"/>
  <c r="F1192"/>
  <c r="C1192"/>
  <c r="K1191"/>
  <c r="J1191"/>
  <c r="G1191"/>
  <c r="F1191"/>
  <c r="C1191"/>
  <c r="K1190"/>
  <c r="J1190"/>
  <c r="G1190"/>
  <c r="F1190"/>
  <c r="C1190"/>
  <c r="K1189"/>
  <c r="J1189"/>
  <c r="G1189"/>
  <c r="F1189"/>
  <c r="C1189"/>
  <c r="K1188"/>
  <c r="J1188"/>
  <c r="G1188"/>
  <c r="F1188"/>
  <c r="C1188"/>
  <c r="K1187"/>
  <c r="C1187"/>
  <c r="K1186"/>
  <c r="C1186"/>
  <c r="K1185"/>
  <c r="C1185"/>
  <c r="K1184"/>
  <c r="C1184"/>
  <c r="K1183"/>
  <c r="J1183"/>
  <c r="G1183"/>
  <c r="F1183"/>
  <c r="C1183"/>
  <c r="K1182"/>
  <c r="J1182"/>
  <c r="G1182"/>
  <c r="F1182"/>
  <c r="C1182"/>
  <c r="K1181"/>
  <c r="J1181"/>
  <c r="G1181"/>
  <c r="F1181"/>
  <c r="C1181"/>
  <c r="K1180"/>
  <c r="J1180"/>
  <c r="G1180"/>
  <c r="F1180"/>
  <c r="C1180"/>
  <c r="K1179"/>
  <c r="J1179"/>
  <c r="G1179"/>
  <c r="F1179"/>
  <c r="C1179"/>
  <c r="K1178"/>
  <c r="J1178"/>
  <c r="G1178"/>
  <c r="F1178"/>
  <c r="C1178"/>
  <c r="K1177"/>
  <c r="J1177"/>
  <c r="G1177"/>
  <c r="F1177"/>
  <c r="C1177"/>
  <c r="K1176"/>
  <c r="J1176"/>
  <c r="G1176"/>
  <c r="F1176"/>
  <c r="C1176"/>
  <c r="K1175"/>
  <c r="J1175"/>
  <c r="G1175"/>
  <c r="F1175"/>
  <c r="C1175"/>
  <c r="K1174"/>
  <c r="J1174"/>
  <c r="G1174"/>
  <c r="F1174"/>
  <c r="C1174"/>
  <c r="K1173"/>
  <c r="J1173"/>
  <c r="G1173"/>
  <c r="F1173"/>
  <c r="C1173"/>
  <c r="K1172"/>
  <c r="J1172"/>
  <c r="G1172"/>
  <c r="F1172"/>
  <c r="C1172"/>
  <c r="K1171"/>
  <c r="J1171"/>
  <c r="G1171"/>
  <c r="F1171"/>
  <c r="C1171"/>
  <c r="K1170"/>
  <c r="J1170"/>
  <c r="G1170"/>
  <c r="F1170"/>
  <c r="C1170"/>
  <c r="K1169"/>
  <c r="J1169"/>
  <c r="G1169"/>
  <c r="F1169"/>
  <c r="C1169"/>
  <c r="K1168"/>
  <c r="J1168"/>
  <c r="G1168"/>
  <c r="F1168"/>
  <c r="C1168"/>
  <c r="K1167"/>
  <c r="J1167"/>
  <c r="G1167"/>
  <c r="F1167"/>
  <c r="C1167"/>
  <c r="K1166"/>
  <c r="J1166"/>
  <c r="G1166"/>
  <c r="F1166"/>
  <c r="C1166"/>
  <c r="K1165"/>
  <c r="J1165"/>
  <c r="G1165"/>
  <c r="F1165"/>
  <c r="C1165"/>
  <c r="K1164"/>
  <c r="J1164"/>
  <c r="G1164"/>
  <c r="F1164"/>
  <c r="C1164"/>
  <c r="K1163"/>
  <c r="J1163"/>
  <c r="G1163"/>
  <c r="F1163"/>
  <c r="C1163"/>
  <c r="K1162"/>
  <c r="J1162"/>
  <c r="G1162"/>
  <c r="F1162"/>
  <c r="C1162"/>
  <c r="K1161"/>
  <c r="J1161"/>
  <c r="G1161"/>
  <c r="F1161"/>
  <c r="C1161"/>
  <c r="K1160"/>
  <c r="J1160"/>
  <c r="G1160"/>
  <c r="F1160"/>
  <c r="C1160"/>
  <c r="K1159"/>
  <c r="J1159"/>
  <c r="G1159"/>
  <c r="F1159"/>
  <c r="C1159"/>
  <c r="K1158"/>
  <c r="J1158"/>
  <c r="G1158"/>
  <c r="F1158"/>
  <c r="C1158"/>
  <c r="K1157"/>
  <c r="J1157"/>
  <c r="G1157"/>
  <c r="F1157"/>
  <c r="C1157"/>
  <c r="K1156"/>
  <c r="J1156"/>
  <c r="G1156"/>
  <c r="F1156"/>
  <c r="C1156"/>
  <c r="K1155"/>
  <c r="J1155"/>
  <c r="G1155"/>
  <c r="F1155"/>
  <c r="C1155"/>
  <c r="K1154"/>
  <c r="J1154"/>
  <c r="G1154"/>
  <c r="F1154"/>
  <c r="C1154"/>
  <c r="K1153"/>
  <c r="J1153"/>
  <c r="G1153"/>
  <c r="F1153"/>
  <c r="C1153"/>
  <c r="K1152"/>
  <c r="J1152"/>
  <c r="G1152"/>
  <c r="F1152"/>
  <c r="C1152"/>
  <c r="K1151"/>
  <c r="J1151"/>
  <c r="G1151"/>
  <c r="F1151"/>
  <c r="C1151"/>
  <c r="K1150"/>
  <c r="J1150"/>
  <c r="G1150"/>
  <c r="F1150"/>
  <c r="C1150"/>
  <c r="K1149"/>
  <c r="J1149"/>
  <c r="G1149"/>
  <c r="F1149"/>
  <c r="C1149"/>
  <c r="K1148"/>
  <c r="J1148"/>
  <c r="G1148"/>
  <c r="F1148"/>
  <c r="C1148"/>
  <c r="K1147"/>
  <c r="J1147"/>
  <c r="G1147"/>
  <c r="F1147"/>
  <c r="C1147"/>
  <c r="K1146"/>
  <c r="J1146"/>
  <c r="G1146"/>
  <c r="F1146"/>
  <c r="C1146"/>
  <c r="K1145"/>
  <c r="J1145"/>
  <c r="G1145"/>
  <c r="F1145"/>
  <c r="C1145"/>
  <c r="K1144"/>
  <c r="J1144"/>
  <c r="G1144"/>
  <c r="F1144"/>
  <c r="C1144"/>
  <c r="K1143"/>
  <c r="J1143"/>
  <c r="G1143"/>
  <c r="F1143"/>
  <c r="C1143"/>
  <c r="K1142"/>
  <c r="J1142"/>
  <c r="G1142"/>
  <c r="F1142"/>
  <c r="C1142"/>
  <c r="K1141"/>
  <c r="J1141"/>
  <c r="G1141"/>
  <c r="F1141"/>
  <c r="C1141"/>
  <c r="K1140"/>
  <c r="J1140"/>
  <c r="G1140"/>
  <c r="F1140"/>
  <c r="C1140"/>
  <c r="K1139"/>
  <c r="J1139"/>
  <c r="G1139"/>
  <c r="F1139"/>
  <c r="C1139"/>
  <c r="K1138"/>
  <c r="J1138"/>
  <c r="G1138"/>
  <c r="F1138"/>
  <c r="C1138"/>
  <c r="K1137"/>
  <c r="J1137"/>
  <c r="G1137"/>
  <c r="F1137"/>
  <c r="C1137"/>
  <c r="K1136"/>
  <c r="J1136"/>
  <c r="G1136"/>
  <c r="F1136"/>
  <c r="C1136"/>
  <c r="K1135"/>
  <c r="J1135"/>
  <c r="G1135"/>
  <c r="F1135"/>
  <c r="C1135"/>
  <c r="K1134"/>
  <c r="J1134"/>
  <c r="G1134"/>
  <c r="F1134"/>
  <c r="C1134"/>
  <c r="K1133"/>
  <c r="J1133"/>
  <c r="G1133"/>
  <c r="F1133"/>
  <c r="C1133"/>
  <c r="K1132"/>
  <c r="J1132"/>
  <c r="G1132"/>
  <c r="F1132"/>
  <c r="C1132"/>
  <c r="K1131"/>
  <c r="J1131"/>
  <c r="G1131"/>
  <c r="F1131"/>
  <c r="C1131"/>
  <c r="K1130"/>
  <c r="J1130"/>
  <c r="G1130"/>
  <c r="F1130"/>
  <c r="C1130"/>
  <c r="K1129"/>
  <c r="J1129"/>
  <c r="G1129"/>
  <c r="F1129"/>
  <c r="C1129"/>
  <c r="K1128"/>
  <c r="J1128"/>
  <c r="G1128"/>
  <c r="F1128"/>
  <c r="C1128"/>
  <c r="K1127"/>
  <c r="J1127"/>
  <c r="G1127"/>
  <c r="F1127"/>
  <c r="C1127"/>
  <c r="K1126"/>
  <c r="J1126"/>
  <c r="G1126"/>
  <c r="F1126"/>
  <c r="C1126"/>
  <c r="K1125"/>
  <c r="J1125"/>
  <c r="G1125"/>
  <c r="F1125"/>
  <c r="C1125"/>
  <c r="K1124"/>
  <c r="J1124"/>
  <c r="G1124"/>
  <c r="F1124"/>
  <c r="C1124"/>
  <c r="K1123"/>
  <c r="J1123"/>
  <c r="G1123"/>
  <c r="F1123"/>
  <c r="C1123"/>
  <c r="K1122"/>
  <c r="J1122"/>
  <c r="G1122"/>
  <c r="F1122"/>
  <c r="C1122"/>
  <c r="K1121"/>
  <c r="J1121"/>
  <c r="G1121"/>
  <c r="F1121"/>
  <c r="C1121"/>
  <c r="K1120"/>
  <c r="J1120"/>
  <c r="G1120"/>
  <c r="F1120"/>
  <c r="C1120"/>
  <c r="K1119"/>
  <c r="J1119"/>
  <c r="G1119"/>
  <c r="F1119"/>
  <c r="C1119"/>
  <c r="K1118"/>
  <c r="J1118"/>
  <c r="G1118"/>
  <c r="F1118"/>
  <c r="C1118"/>
  <c r="K1117"/>
  <c r="J1117"/>
  <c r="G1117"/>
  <c r="F1117"/>
  <c r="C1117"/>
  <c r="K1116"/>
  <c r="J1116"/>
  <c r="G1116"/>
  <c r="F1116"/>
  <c r="C1116"/>
  <c r="K1115"/>
  <c r="J1115"/>
  <c r="G1115"/>
  <c r="F1115"/>
  <c r="C1115"/>
  <c r="K1114"/>
  <c r="J1114"/>
  <c r="G1114"/>
  <c r="F1114"/>
  <c r="C1114"/>
  <c r="K1113"/>
  <c r="J1113"/>
  <c r="G1113"/>
  <c r="F1113"/>
  <c r="C1113"/>
  <c r="K1112"/>
  <c r="J1112"/>
  <c r="G1112"/>
  <c r="F1112"/>
  <c r="C1112"/>
  <c r="K1111"/>
  <c r="J1111"/>
  <c r="G1111"/>
  <c r="F1111"/>
  <c r="C1111"/>
  <c r="K1110"/>
  <c r="J1110"/>
  <c r="G1110"/>
  <c r="F1110"/>
  <c r="C1110"/>
  <c r="K1109"/>
  <c r="J1109"/>
  <c r="G1109"/>
  <c r="F1109"/>
  <c r="C1109"/>
  <c r="K1108"/>
  <c r="J1108"/>
  <c r="G1108"/>
  <c r="F1108"/>
  <c r="C1108"/>
  <c r="K1107"/>
  <c r="J1107"/>
  <c r="G1107"/>
  <c r="F1107"/>
  <c r="C1107"/>
  <c r="K1106"/>
  <c r="J1106"/>
  <c r="G1106"/>
  <c r="F1106"/>
  <c r="C1106"/>
  <c r="K1105"/>
  <c r="J1105"/>
  <c r="G1105"/>
  <c r="F1105"/>
  <c r="C1105"/>
  <c r="K1104"/>
  <c r="J1104"/>
  <c r="G1104"/>
  <c r="F1104"/>
  <c r="C1104"/>
  <c r="K1103"/>
  <c r="J1103"/>
  <c r="G1103"/>
  <c r="F1103"/>
  <c r="C1103"/>
  <c r="K1102"/>
  <c r="J1102"/>
  <c r="G1102"/>
  <c r="F1102"/>
  <c r="C1102"/>
  <c r="K1101"/>
  <c r="J1101"/>
  <c r="G1101"/>
  <c r="F1101"/>
  <c r="C1101"/>
  <c r="K1100"/>
  <c r="J1100"/>
  <c r="G1100"/>
  <c r="F1100"/>
  <c r="C1100"/>
  <c r="K1099"/>
  <c r="J1099"/>
  <c r="G1099"/>
  <c r="F1099"/>
  <c r="C1099"/>
  <c r="K1098"/>
  <c r="J1098"/>
  <c r="G1098"/>
  <c r="F1098"/>
  <c r="C1098"/>
  <c r="K1097"/>
  <c r="J1097"/>
  <c r="G1097"/>
  <c r="F1097"/>
  <c r="C1097"/>
  <c r="K1096"/>
  <c r="J1096"/>
  <c r="G1096"/>
  <c r="F1096"/>
  <c r="C1096"/>
  <c r="K1095"/>
  <c r="J1095"/>
  <c r="G1095"/>
  <c r="F1095"/>
  <c r="C1095"/>
  <c r="K1094"/>
  <c r="J1094"/>
  <c r="G1094"/>
  <c r="F1094"/>
  <c r="C1094"/>
  <c r="K1093"/>
  <c r="J1093"/>
  <c r="G1093"/>
  <c r="F1093"/>
  <c r="C1093"/>
  <c r="K1092"/>
  <c r="J1092"/>
  <c r="G1092"/>
  <c r="F1092"/>
  <c r="C1092"/>
  <c r="K1091"/>
  <c r="J1091"/>
  <c r="G1091"/>
  <c r="F1091"/>
  <c r="C1091"/>
  <c r="K1090"/>
  <c r="J1090"/>
  <c r="G1090"/>
  <c r="F1090"/>
  <c r="C1090"/>
  <c r="K1089"/>
  <c r="J1089"/>
  <c r="G1089"/>
  <c r="F1089"/>
  <c r="C1089"/>
  <c r="K1088"/>
  <c r="J1088"/>
  <c r="G1088"/>
  <c r="F1088"/>
  <c r="C1088"/>
  <c r="K1087"/>
  <c r="J1087"/>
  <c r="G1087"/>
  <c r="F1087"/>
  <c r="C1087"/>
  <c r="K1086"/>
  <c r="J1086"/>
  <c r="G1086"/>
  <c r="F1086"/>
  <c r="C1086"/>
  <c r="K1085"/>
  <c r="J1085"/>
  <c r="G1085"/>
  <c r="F1085"/>
  <c r="C1085"/>
  <c r="K1084"/>
  <c r="J1084"/>
  <c r="G1084"/>
  <c r="F1084"/>
  <c r="C1084"/>
  <c r="K1083"/>
  <c r="J1083"/>
  <c r="G1083"/>
  <c r="F1083"/>
  <c r="C1083"/>
  <c r="K1082"/>
  <c r="J1082"/>
  <c r="G1082"/>
  <c r="F1082"/>
  <c r="C1082"/>
  <c r="K1081"/>
  <c r="J1081"/>
  <c r="G1081"/>
  <c r="F1081"/>
  <c r="C1081"/>
  <c r="K1080"/>
  <c r="J1080"/>
  <c r="G1080"/>
  <c r="F1080"/>
  <c r="C1080"/>
  <c r="K1079"/>
  <c r="J1079"/>
  <c r="G1079"/>
  <c r="F1079"/>
  <c r="C1079"/>
  <c r="K1078"/>
  <c r="J1078"/>
  <c r="G1078"/>
  <c r="F1078"/>
  <c r="C1078"/>
  <c r="K1077"/>
  <c r="J1077"/>
  <c r="G1077"/>
  <c r="F1077"/>
  <c r="C1077"/>
  <c r="K1076"/>
  <c r="J1076"/>
  <c r="G1076"/>
  <c r="F1076"/>
  <c r="C1076"/>
  <c r="K1075"/>
  <c r="J1075"/>
  <c r="G1075"/>
  <c r="F1075"/>
  <c r="C1075"/>
  <c r="K1074"/>
  <c r="J1074"/>
  <c r="G1074"/>
  <c r="F1074"/>
  <c r="C1074"/>
  <c r="K1073"/>
  <c r="J1073"/>
  <c r="G1073"/>
  <c r="F1073"/>
  <c r="C1073"/>
  <c r="K1072"/>
  <c r="J1072"/>
  <c r="G1072"/>
  <c r="F1072"/>
  <c r="C1072"/>
  <c r="K1071"/>
  <c r="J1071"/>
  <c r="G1071"/>
  <c r="F1071"/>
  <c r="C1071"/>
  <c r="K1070"/>
  <c r="J1070"/>
  <c r="G1070"/>
  <c r="F1070"/>
  <c r="C1070"/>
  <c r="K1069"/>
  <c r="J1069"/>
  <c r="G1069"/>
  <c r="F1069"/>
  <c r="C1069"/>
  <c r="K1068"/>
  <c r="J1068"/>
  <c r="G1068"/>
  <c r="F1068"/>
  <c r="C1068"/>
  <c r="K1067"/>
  <c r="J1067"/>
  <c r="G1067"/>
  <c r="F1067"/>
  <c r="C1067"/>
  <c r="K1066"/>
  <c r="J1066"/>
  <c r="G1066"/>
  <c r="F1066"/>
  <c r="C1066"/>
  <c r="K1065"/>
  <c r="J1065"/>
  <c r="G1065"/>
  <c r="F1065"/>
  <c r="C1065"/>
  <c r="K1064"/>
  <c r="J1064"/>
  <c r="G1064"/>
  <c r="F1064"/>
  <c r="C1064"/>
  <c r="K1063"/>
  <c r="J1063"/>
  <c r="G1063"/>
  <c r="F1063"/>
  <c r="C1063"/>
  <c r="K1062"/>
  <c r="J1062"/>
  <c r="G1062"/>
  <c r="F1062"/>
  <c r="C1062"/>
  <c r="K1061"/>
  <c r="J1061"/>
  <c r="G1061"/>
  <c r="F1061"/>
  <c r="C1061"/>
  <c r="K1060"/>
  <c r="J1060"/>
  <c r="G1060"/>
  <c r="F1060"/>
  <c r="C1060"/>
  <c r="K1059"/>
  <c r="J1059"/>
  <c r="G1059"/>
  <c r="F1059"/>
  <c r="C1059"/>
  <c r="K1058"/>
  <c r="J1058"/>
  <c r="G1058"/>
  <c r="F1058"/>
  <c r="C1058"/>
  <c r="K1057"/>
  <c r="J1057"/>
  <c r="G1057"/>
  <c r="F1057"/>
  <c r="C1057"/>
  <c r="K1056"/>
  <c r="J1056"/>
  <c r="G1056"/>
  <c r="F1056"/>
  <c r="C1056"/>
  <c r="K1055"/>
  <c r="J1055"/>
  <c r="G1055"/>
  <c r="F1055"/>
  <c r="C1055"/>
  <c r="K1054"/>
  <c r="J1054"/>
  <c r="G1054"/>
  <c r="F1054"/>
  <c r="C1054"/>
  <c r="K1053"/>
  <c r="J1053"/>
  <c r="G1053"/>
  <c r="F1053"/>
  <c r="C1053"/>
  <c r="K1052"/>
  <c r="J1052"/>
  <c r="G1052"/>
  <c r="F1052"/>
  <c r="C1052"/>
  <c r="K1051"/>
  <c r="J1051"/>
  <c r="G1051"/>
  <c r="F1051"/>
  <c r="C1051"/>
  <c r="K1050"/>
  <c r="J1050"/>
  <c r="G1050"/>
  <c r="F1050"/>
  <c r="C1050"/>
  <c r="K1049"/>
  <c r="J1049"/>
  <c r="G1049"/>
  <c r="F1049"/>
  <c r="C1049"/>
  <c r="K1048"/>
  <c r="J1048"/>
  <c r="G1048"/>
  <c r="F1048"/>
  <c r="C1048"/>
  <c r="K1047"/>
  <c r="J1047"/>
  <c r="G1047"/>
  <c r="F1047"/>
  <c r="C1047"/>
  <c r="K1046"/>
  <c r="J1046"/>
  <c r="G1046"/>
  <c r="F1046"/>
  <c r="C1046"/>
  <c r="K1045"/>
  <c r="J1045"/>
  <c r="G1045"/>
  <c r="F1045"/>
  <c r="C1045"/>
  <c r="K1044"/>
  <c r="J1044"/>
  <c r="G1044"/>
  <c r="F1044"/>
  <c r="C1044"/>
  <c r="K1043"/>
  <c r="J1043"/>
  <c r="G1043"/>
  <c r="F1043"/>
  <c r="C1043"/>
  <c r="K1042"/>
  <c r="J1042"/>
  <c r="G1042"/>
  <c r="F1042"/>
  <c r="C1042"/>
  <c r="K1041"/>
  <c r="J1041"/>
  <c r="G1041"/>
  <c r="F1041"/>
  <c r="C1041"/>
  <c r="K1040"/>
  <c r="J1040"/>
  <c r="G1040"/>
  <c r="F1040"/>
  <c r="C1040"/>
  <c r="K1039"/>
  <c r="J1039"/>
  <c r="G1039"/>
  <c r="F1039"/>
  <c r="C1039"/>
  <c r="K1038"/>
  <c r="J1038"/>
  <c r="G1038"/>
  <c r="F1038"/>
  <c r="C1038"/>
  <c r="K1037"/>
  <c r="J1037"/>
  <c r="G1037"/>
  <c r="F1037"/>
  <c r="C1037"/>
  <c r="K1036"/>
  <c r="J1036"/>
  <c r="G1036"/>
  <c r="F1036"/>
  <c r="C1036"/>
  <c r="K1035"/>
  <c r="J1035"/>
  <c r="G1035"/>
  <c r="F1035"/>
  <c r="C1035"/>
  <c r="K1034"/>
  <c r="J1034"/>
  <c r="G1034"/>
  <c r="F1034"/>
  <c r="C1034"/>
  <c r="K1033"/>
  <c r="J1033"/>
  <c r="G1033"/>
  <c r="F1033"/>
  <c r="C1033"/>
  <c r="K1032"/>
  <c r="J1032"/>
  <c r="G1032"/>
  <c r="F1032"/>
  <c r="C1032"/>
  <c r="K1031"/>
  <c r="J1031"/>
  <c r="G1031"/>
  <c r="F1031"/>
  <c r="C1031"/>
  <c r="K1030"/>
  <c r="J1030"/>
  <c r="G1030"/>
  <c r="F1030"/>
  <c r="C1030"/>
  <c r="K1029"/>
  <c r="J1029"/>
  <c r="G1029"/>
  <c r="F1029"/>
  <c r="C1029"/>
  <c r="K1028"/>
  <c r="J1028"/>
  <c r="G1028"/>
  <c r="F1028"/>
  <c r="C1028"/>
  <c r="K1027"/>
  <c r="J1027"/>
  <c r="G1027"/>
  <c r="F1027"/>
  <c r="C1027"/>
  <c r="K1026"/>
  <c r="J1026"/>
  <c r="G1026"/>
  <c r="F1026"/>
  <c r="C1026"/>
  <c r="K1025"/>
  <c r="J1025"/>
  <c r="G1025"/>
  <c r="F1025"/>
  <c r="C1025"/>
  <c r="K1024"/>
  <c r="J1024"/>
  <c r="G1024"/>
  <c r="F1024"/>
  <c r="C1024"/>
  <c r="K1023"/>
  <c r="J1023"/>
  <c r="G1023"/>
  <c r="F1023"/>
  <c r="C1023"/>
  <c r="K1022"/>
  <c r="J1022"/>
  <c r="G1022"/>
  <c r="F1022"/>
  <c r="C1022"/>
  <c r="K1021"/>
  <c r="J1021"/>
  <c r="G1021"/>
  <c r="F1021"/>
  <c r="C1021"/>
  <c r="K1020"/>
  <c r="J1020"/>
  <c r="G1020"/>
  <c r="F1020"/>
  <c r="C1020"/>
  <c r="K1019"/>
  <c r="J1019"/>
  <c r="G1019"/>
  <c r="F1019"/>
  <c r="C1019"/>
  <c r="K1018"/>
  <c r="J1018"/>
  <c r="G1018"/>
  <c r="F1018"/>
  <c r="C1018"/>
  <c r="K1017"/>
  <c r="C1017"/>
  <c r="K1016"/>
  <c r="J1016"/>
  <c r="G1016"/>
  <c r="F1016"/>
  <c r="C1016"/>
  <c r="K1015"/>
  <c r="J1015"/>
  <c r="G1015"/>
  <c r="F1015"/>
  <c r="C1015"/>
  <c r="K1014"/>
  <c r="C1014"/>
  <c r="K1013"/>
  <c r="J1013"/>
  <c r="G1013"/>
  <c r="F1013"/>
  <c r="C1013"/>
  <c r="K1012"/>
  <c r="J1012"/>
  <c r="G1012"/>
  <c r="F1012"/>
  <c r="C1012"/>
  <c r="K1011"/>
  <c r="J1011"/>
  <c r="G1011"/>
  <c r="F1011"/>
  <c r="C1011"/>
  <c r="K1010"/>
  <c r="J1010"/>
  <c r="G1010"/>
  <c r="F1010"/>
  <c r="C1010"/>
  <c r="K1009"/>
  <c r="J1009"/>
  <c r="G1009"/>
  <c r="F1009"/>
  <c r="C1009"/>
  <c r="K1008"/>
  <c r="J1008"/>
  <c r="G1008"/>
  <c r="F1008"/>
  <c r="C1008"/>
  <c r="K1007"/>
  <c r="J1007"/>
  <c r="G1007"/>
  <c r="F1007"/>
  <c r="C1007"/>
  <c r="K1006"/>
  <c r="J1006"/>
  <c r="G1006"/>
  <c r="F1006"/>
  <c r="C1006"/>
  <c r="K1005"/>
  <c r="J1005"/>
  <c r="G1005"/>
  <c r="F1005"/>
  <c r="C1005"/>
  <c r="K1004"/>
  <c r="J1004"/>
  <c r="G1004"/>
  <c r="F1004"/>
  <c r="C1004"/>
  <c r="K1003"/>
  <c r="J1003"/>
  <c r="G1003"/>
  <c r="F1003"/>
  <c r="C1003"/>
  <c r="K1002"/>
  <c r="J1002"/>
  <c r="G1002"/>
  <c r="F1002"/>
  <c r="C1002"/>
  <c r="K1001"/>
  <c r="J1001"/>
  <c r="G1001"/>
  <c r="F1001"/>
  <c r="C1001"/>
  <c r="K1000"/>
  <c r="J1000"/>
  <c r="G1000"/>
  <c r="F1000"/>
  <c r="C1000"/>
  <c r="K999"/>
  <c r="J999"/>
  <c r="G999"/>
  <c r="F999"/>
  <c r="C999"/>
  <c r="K998"/>
  <c r="J998"/>
  <c r="G998"/>
  <c r="F998"/>
  <c r="C998"/>
  <c r="K997"/>
  <c r="J997"/>
  <c r="G997"/>
  <c r="F997"/>
  <c r="C997"/>
  <c r="K996"/>
  <c r="J996"/>
  <c r="G996"/>
  <c r="F996"/>
  <c r="C996"/>
  <c r="K995"/>
  <c r="J995"/>
  <c r="G995"/>
  <c r="F995"/>
  <c r="C995"/>
  <c r="K994"/>
  <c r="J994"/>
  <c r="G994"/>
  <c r="F994"/>
  <c r="C994"/>
  <c r="K993"/>
  <c r="J993"/>
  <c r="G993"/>
  <c r="F993"/>
  <c r="C993"/>
  <c r="K992"/>
  <c r="J992"/>
  <c r="G992"/>
  <c r="F992"/>
  <c r="C992"/>
  <c r="K991"/>
  <c r="J991"/>
  <c r="G991"/>
  <c r="F991"/>
  <c r="C991"/>
  <c r="K990"/>
  <c r="J990"/>
  <c r="G990"/>
  <c r="F990"/>
  <c r="C990"/>
  <c r="K989"/>
  <c r="J989"/>
  <c r="G989"/>
  <c r="F989"/>
  <c r="C989"/>
  <c r="K988"/>
  <c r="J988"/>
  <c r="G988"/>
  <c r="F988"/>
  <c r="C988"/>
  <c r="K987"/>
  <c r="J987"/>
  <c r="G987"/>
  <c r="F987"/>
  <c r="C987"/>
  <c r="K986"/>
  <c r="J986"/>
  <c r="G986"/>
  <c r="F986"/>
  <c r="C986"/>
  <c r="K985"/>
  <c r="J985"/>
  <c r="G985"/>
  <c r="F985"/>
  <c r="C985"/>
  <c r="K984"/>
  <c r="J984"/>
  <c r="G984"/>
  <c r="F984"/>
  <c r="C984"/>
  <c r="K983"/>
  <c r="J983"/>
  <c r="G983"/>
  <c r="F983"/>
  <c r="C983"/>
  <c r="K982"/>
  <c r="C982"/>
  <c r="K981"/>
  <c r="J981"/>
  <c r="G981"/>
  <c r="F981"/>
  <c r="C981"/>
  <c r="K980"/>
  <c r="J980"/>
  <c r="G980"/>
  <c r="F980"/>
  <c r="C980"/>
  <c r="K979"/>
  <c r="J979"/>
  <c r="G979"/>
  <c r="F979"/>
  <c r="C979"/>
  <c r="K978"/>
  <c r="J978"/>
  <c r="G978"/>
  <c r="F978"/>
  <c r="C978"/>
  <c r="K977"/>
  <c r="J977"/>
  <c r="G977"/>
  <c r="F977"/>
  <c r="C977"/>
  <c r="K976"/>
  <c r="J976"/>
  <c r="G976"/>
  <c r="F976"/>
  <c r="C976"/>
  <c r="K975"/>
  <c r="J975"/>
  <c r="G975"/>
  <c r="F975"/>
  <c r="C975"/>
  <c r="K974"/>
  <c r="J974"/>
  <c r="G974"/>
  <c r="F974"/>
  <c r="C974"/>
  <c r="K973"/>
  <c r="J973"/>
  <c r="G973"/>
  <c r="F973"/>
  <c r="C973"/>
  <c r="K972"/>
  <c r="J972"/>
  <c r="G972"/>
  <c r="F972"/>
  <c r="C972"/>
  <c r="K971"/>
  <c r="J971"/>
  <c r="G971"/>
  <c r="F971"/>
  <c r="C971"/>
  <c r="K970"/>
  <c r="J970"/>
  <c r="G970"/>
  <c r="F970"/>
  <c r="C970"/>
  <c r="K969"/>
  <c r="J969"/>
  <c r="G969"/>
  <c r="F969"/>
  <c r="C969"/>
  <c r="K968"/>
  <c r="J968"/>
  <c r="G968"/>
  <c r="F968"/>
  <c r="C968"/>
  <c r="K967"/>
  <c r="J967"/>
  <c r="G967"/>
  <c r="F967"/>
  <c r="C967"/>
  <c r="K966"/>
  <c r="J966"/>
  <c r="G966"/>
  <c r="F966"/>
  <c r="C966"/>
  <c r="K965"/>
  <c r="J965"/>
  <c r="G965"/>
  <c r="F965"/>
  <c r="C965"/>
  <c r="K964"/>
  <c r="J964"/>
  <c r="G964"/>
  <c r="F964"/>
  <c r="C964"/>
  <c r="K963"/>
  <c r="J963"/>
  <c r="G963"/>
  <c r="F963"/>
  <c r="C963"/>
  <c r="K962"/>
  <c r="J962"/>
  <c r="G962"/>
  <c r="F962"/>
  <c r="C962"/>
  <c r="K961"/>
  <c r="J961"/>
  <c r="G961"/>
  <c r="F961"/>
  <c r="C961"/>
  <c r="K960"/>
  <c r="J960"/>
  <c r="G960"/>
  <c r="F960"/>
  <c r="C960"/>
  <c r="K959"/>
  <c r="J959"/>
  <c r="G959"/>
  <c r="F959"/>
  <c r="C959"/>
  <c r="K958"/>
  <c r="J958"/>
  <c r="G958"/>
  <c r="F958"/>
  <c r="C958"/>
  <c r="K957"/>
  <c r="J957"/>
  <c r="G957"/>
  <c r="F957"/>
  <c r="C957"/>
  <c r="K956"/>
  <c r="J956"/>
  <c r="G956"/>
  <c r="F956"/>
  <c r="C956"/>
  <c r="K955"/>
  <c r="J955"/>
  <c r="G955"/>
  <c r="F955"/>
  <c r="C955"/>
  <c r="K954"/>
  <c r="J954"/>
  <c r="G954"/>
  <c r="F954"/>
  <c r="C954"/>
  <c r="K953"/>
  <c r="J953"/>
  <c r="G953"/>
  <c r="F953"/>
  <c r="C953"/>
  <c r="K952"/>
  <c r="J952"/>
  <c r="G952"/>
  <c r="F952"/>
  <c r="C952"/>
  <c r="K951"/>
  <c r="J951"/>
  <c r="G951"/>
  <c r="F951"/>
  <c r="C951"/>
  <c r="K950"/>
  <c r="J950"/>
  <c r="G950"/>
  <c r="F950"/>
  <c r="C950"/>
  <c r="K949"/>
  <c r="J949"/>
  <c r="G949"/>
  <c r="F949"/>
  <c r="C949"/>
  <c r="K948"/>
  <c r="J948"/>
  <c r="G948"/>
  <c r="F948"/>
  <c r="C948"/>
  <c r="K947"/>
  <c r="J947"/>
  <c r="G947"/>
  <c r="F947"/>
  <c r="C947"/>
  <c r="K946"/>
  <c r="J946"/>
  <c r="G946"/>
  <c r="F946"/>
  <c r="C946"/>
  <c r="K945"/>
  <c r="J945"/>
  <c r="G945"/>
  <c r="F945"/>
  <c r="C945"/>
  <c r="K944"/>
  <c r="J944"/>
  <c r="G944"/>
  <c r="F944"/>
  <c r="C944"/>
  <c r="K943"/>
  <c r="J943"/>
  <c r="G943"/>
  <c r="F943"/>
  <c r="C943"/>
  <c r="K942"/>
  <c r="J942"/>
  <c r="G942"/>
  <c r="F942"/>
  <c r="C942"/>
  <c r="K941"/>
  <c r="J941"/>
  <c r="G941"/>
  <c r="F941"/>
  <c r="C941"/>
  <c r="K940"/>
  <c r="J940"/>
  <c r="G940"/>
  <c r="F940"/>
  <c r="C940"/>
  <c r="K939"/>
  <c r="J939"/>
  <c r="G939"/>
  <c r="F939"/>
  <c r="C939"/>
  <c r="K938"/>
  <c r="J938"/>
  <c r="G938"/>
  <c r="F938"/>
  <c r="C938"/>
  <c r="K937"/>
  <c r="J937"/>
  <c r="G937"/>
  <c r="F937"/>
  <c r="C937"/>
  <c r="K936"/>
  <c r="J936"/>
  <c r="G936"/>
  <c r="F936"/>
  <c r="C936"/>
  <c r="K935"/>
  <c r="J935"/>
  <c r="G935"/>
  <c r="F935"/>
  <c r="C935"/>
  <c r="K934"/>
  <c r="J934"/>
  <c r="G934"/>
  <c r="F934"/>
  <c r="C934"/>
  <c r="K933"/>
  <c r="J933"/>
  <c r="G933"/>
  <c r="F933"/>
  <c r="C933"/>
  <c r="K932"/>
  <c r="J932"/>
  <c r="G932"/>
  <c r="F932"/>
  <c r="C932"/>
  <c r="K931"/>
  <c r="J931"/>
  <c r="G931"/>
  <c r="F931"/>
  <c r="C931"/>
  <c r="K930"/>
  <c r="J930"/>
  <c r="G930"/>
  <c r="F930"/>
  <c r="C930"/>
  <c r="K929"/>
  <c r="J929"/>
  <c r="G929"/>
  <c r="F929"/>
  <c r="C929"/>
  <c r="K928"/>
  <c r="J928"/>
  <c r="G928"/>
  <c r="F928"/>
  <c r="C928"/>
  <c r="K927"/>
  <c r="J927"/>
  <c r="G927"/>
  <c r="F927"/>
  <c r="C927"/>
  <c r="K926"/>
  <c r="J926"/>
  <c r="G926"/>
  <c r="F926"/>
  <c r="C926"/>
  <c r="K925"/>
  <c r="J925"/>
  <c r="G925"/>
  <c r="F925"/>
  <c r="C925"/>
  <c r="K924"/>
  <c r="J924"/>
  <c r="G924"/>
  <c r="F924"/>
  <c r="C924"/>
  <c r="K923"/>
  <c r="J923"/>
  <c r="G923"/>
  <c r="F923"/>
  <c r="C923"/>
  <c r="K922"/>
  <c r="J922"/>
  <c r="G922"/>
  <c r="F922"/>
  <c r="C922"/>
  <c r="K921"/>
  <c r="J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J913"/>
  <c r="G913"/>
  <c r="F913"/>
  <c r="C913"/>
  <c r="K912"/>
  <c r="J912"/>
  <c r="G912"/>
  <c r="F912"/>
  <c r="C912"/>
  <c r="K911"/>
  <c r="J911"/>
  <c r="G911"/>
  <c r="F911"/>
  <c r="C911"/>
  <c r="K910"/>
  <c r="J910"/>
  <c r="G910"/>
  <c r="F910"/>
  <c r="C910"/>
  <c r="K909"/>
  <c r="J909"/>
  <c r="G909"/>
  <c r="F909"/>
  <c r="C909"/>
  <c r="K908"/>
  <c r="C908"/>
  <c r="K907"/>
  <c r="J907"/>
  <c r="G907"/>
  <c r="F907"/>
  <c r="C907"/>
  <c r="K906"/>
  <c r="J906"/>
  <c r="G906"/>
  <c r="F906"/>
  <c r="C906"/>
  <c r="K905"/>
  <c r="J905"/>
  <c r="G905"/>
  <c r="F905"/>
  <c r="C905"/>
  <c r="K904"/>
  <c r="J904"/>
  <c r="G904"/>
  <c r="F904"/>
  <c r="C904"/>
  <c r="K903"/>
  <c r="J903"/>
  <c r="G903"/>
  <c r="F903"/>
  <c r="C903"/>
  <c r="K902"/>
  <c r="J902"/>
  <c r="G902"/>
  <c r="F902"/>
  <c r="C902"/>
  <c r="K901"/>
  <c r="J901"/>
  <c r="G901"/>
  <c r="F901"/>
  <c r="C901"/>
  <c r="K900"/>
  <c r="J900"/>
  <c r="G900"/>
  <c r="F900"/>
  <c r="C900"/>
  <c r="K899"/>
  <c r="J899"/>
  <c r="G899"/>
  <c r="F899"/>
  <c r="C899"/>
  <c r="K898"/>
  <c r="J898"/>
  <c r="G898"/>
  <c r="F898"/>
  <c r="C898"/>
  <c r="K897"/>
  <c r="J897"/>
  <c r="G897"/>
  <c r="F897"/>
  <c r="C897"/>
  <c r="K896"/>
  <c r="J896"/>
  <c r="G896"/>
  <c r="F896"/>
  <c r="C896"/>
  <c r="K895"/>
  <c r="J895"/>
  <c r="G895"/>
  <c r="F895"/>
  <c r="C895"/>
  <c r="K894"/>
  <c r="J894"/>
  <c r="G894"/>
  <c r="F894"/>
  <c r="C894"/>
  <c r="K893"/>
  <c r="J893"/>
  <c r="G893"/>
  <c r="F893"/>
  <c r="C893"/>
  <c r="K892"/>
  <c r="J892"/>
  <c r="G892"/>
  <c r="F892"/>
  <c r="C892"/>
  <c r="K891"/>
  <c r="J891"/>
  <c r="G891"/>
  <c r="F891"/>
  <c r="C891"/>
  <c r="K890"/>
  <c r="J890"/>
  <c r="G890"/>
  <c r="F890"/>
  <c r="C890"/>
  <c r="K889"/>
  <c r="J889"/>
  <c r="G889"/>
  <c r="F889"/>
  <c r="C889"/>
  <c r="K888"/>
  <c r="J888"/>
  <c r="G888"/>
  <c r="F888"/>
  <c r="C888"/>
  <c r="K887"/>
  <c r="J887"/>
  <c r="G887"/>
  <c r="F887"/>
  <c r="C887"/>
  <c r="K886"/>
  <c r="J886"/>
  <c r="G886"/>
  <c r="F886"/>
  <c r="C886"/>
  <c r="K885"/>
  <c r="J885"/>
  <c r="G885"/>
  <c r="F885"/>
  <c r="C885"/>
  <c r="K884"/>
  <c r="J884"/>
  <c r="G884"/>
  <c r="F884"/>
  <c r="C884"/>
  <c r="K883"/>
  <c r="J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J879"/>
  <c r="G879"/>
  <c r="F879"/>
  <c r="C879"/>
  <c r="K878"/>
  <c r="J878"/>
  <c r="G878"/>
  <c r="F878"/>
  <c r="C878"/>
  <c r="K877"/>
  <c r="J877"/>
  <c r="G877"/>
  <c r="F877"/>
  <c r="C877"/>
  <c r="K876"/>
  <c r="J876"/>
  <c r="G876"/>
  <c r="F876"/>
  <c r="C876"/>
  <c r="K875"/>
  <c r="J875"/>
  <c r="G875"/>
  <c r="F875"/>
  <c r="C875"/>
  <c r="K874"/>
  <c r="J874"/>
  <c r="G874"/>
  <c r="F874"/>
  <c r="C874"/>
  <c r="K873"/>
  <c r="J873"/>
  <c r="G873"/>
  <c r="F873"/>
  <c r="C873"/>
  <c r="K872"/>
  <c r="J872"/>
  <c r="G872"/>
  <c r="F872"/>
  <c r="C872"/>
  <c r="K871"/>
  <c r="J871"/>
  <c r="G871"/>
  <c r="F871"/>
  <c r="C871"/>
  <c r="K870"/>
  <c r="J870"/>
  <c r="G870"/>
  <c r="F870"/>
  <c r="C870"/>
  <c r="K869"/>
  <c r="J869"/>
  <c r="G869"/>
  <c r="F869"/>
  <c r="C869"/>
  <c r="K868"/>
  <c r="J868"/>
  <c r="G868"/>
  <c r="F868"/>
  <c r="C868"/>
  <c r="K867"/>
  <c r="J867"/>
  <c r="G867"/>
  <c r="F867"/>
  <c r="C867"/>
  <c r="K866"/>
  <c r="J866"/>
  <c r="G866"/>
  <c r="F866"/>
  <c r="C866"/>
  <c r="K865"/>
  <c r="J865"/>
  <c r="G865"/>
  <c r="F865"/>
  <c r="C865"/>
  <c r="K864"/>
  <c r="J864"/>
  <c r="G864"/>
  <c r="F864"/>
  <c r="C864"/>
  <c r="K863"/>
  <c r="J863"/>
  <c r="G863"/>
  <c r="F863"/>
  <c r="C863"/>
  <c r="K862"/>
  <c r="J862"/>
  <c r="G862"/>
  <c r="F862"/>
  <c r="C862"/>
  <c r="K861"/>
  <c r="J861"/>
  <c r="G861"/>
  <c r="F861"/>
  <c r="C861"/>
  <c r="K860"/>
  <c r="J860"/>
  <c r="G860"/>
  <c r="F860"/>
  <c r="C860"/>
  <c r="K859"/>
  <c r="J859"/>
  <c r="G859"/>
  <c r="F859"/>
  <c r="C859"/>
  <c r="K858"/>
  <c r="C858"/>
  <c r="K857"/>
  <c r="C857"/>
  <c r="K856"/>
  <c r="C856"/>
  <c r="K855"/>
  <c r="C855"/>
  <c r="K854"/>
  <c r="C854"/>
  <c r="K853"/>
  <c r="C853"/>
  <c r="K852"/>
  <c r="C852"/>
  <c r="K851"/>
  <c r="C851"/>
  <c r="K850"/>
  <c r="C850"/>
  <c r="K849"/>
  <c r="C849"/>
  <c r="K848"/>
  <c r="J848"/>
  <c r="G848"/>
  <c r="F848"/>
  <c r="C848"/>
  <c r="K847"/>
  <c r="J847"/>
  <c r="G847"/>
  <c r="F847"/>
  <c r="C847"/>
  <c r="K846"/>
  <c r="J846"/>
  <c r="G846"/>
  <c r="F846"/>
  <c r="C846"/>
  <c r="K845"/>
  <c r="J845"/>
  <c r="G845"/>
  <c r="F845"/>
  <c r="C845"/>
  <c r="K844"/>
  <c r="J844"/>
  <c r="G844"/>
  <c r="F844"/>
  <c r="C844"/>
  <c r="K843"/>
  <c r="J843"/>
  <c r="G843"/>
  <c r="F843"/>
  <c r="C843"/>
  <c r="K842"/>
  <c r="J842"/>
  <c r="G842"/>
  <c r="F842"/>
  <c r="C842"/>
  <c r="K841"/>
  <c r="C841"/>
  <c r="K840"/>
  <c r="J840"/>
  <c r="G840"/>
  <c r="F840"/>
  <c r="C840"/>
  <c r="K839"/>
  <c r="J839"/>
  <c r="G839"/>
  <c r="F839"/>
  <c r="C839"/>
  <c r="K838"/>
  <c r="J838"/>
  <c r="G838"/>
  <c r="F838"/>
  <c r="C838"/>
  <c r="K837"/>
  <c r="J837"/>
  <c r="G837"/>
  <c r="F837"/>
  <c r="C837"/>
  <c r="K836"/>
  <c r="J836"/>
  <c r="G836"/>
  <c r="F836"/>
  <c r="C836"/>
  <c r="K835"/>
  <c r="J835"/>
  <c r="G835"/>
  <c r="F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J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J826"/>
  <c r="G826"/>
  <c r="F826"/>
  <c r="C826"/>
  <c r="K825"/>
  <c r="J825"/>
  <c r="G825"/>
  <c r="F825"/>
  <c r="C825"/>
  <c r="K824"/>
  <c r="J824"/>
  <c r="G824"/>
  <c r="F824"/>
  <c r="C824"/>
  <c r="K823"/>
  <c r="J823"/>
  <c r="G823"/>
  <c r="F823"/>
  <c r="C823"/>
  <c r="K822"/>
  <c r="J822"/>
  <c r="G822"/>
  <c r="F822"/>
  <c r="C822"/>
  <c r="K821"/>
  <c r="J821"/>
  <c r="G821"/>
  <c r="F821"/>
  <c r="C821"/>
  <c r="K820"/>
  <c r="J820"/>
  <c r="G820"/>
  <c r="F820"/>
  <c r="C820"/>
  <c r="K819"/>
  <c r="J819"/>
  <c r="G819"/>
  <c r="F819"/>
  <c r="C819"/>
  <c r="K818"/>
  <c r="J818"/>
  <c r="G818"/>
  <c r="F818"/>
  <c r="C818"/>
  <c r="K817"/>
  <c r="J817"/>
  <c r="G817"/>
  <c r="F817"/>
  <c r="C817"/>
  <c r="K816"/>
  <c r="J816"/>
  <c r="G816"/>
  <c r="F816"/>
  <c r="C816"/>
  <c r="K815"/>
  <c r="J815"/>
  <c r="G815"/>
  <c r="F815"/>
  <c r="C815"/>
  <c r="K814"/>
  <c r="J814"/>
  <c r="G814"/>
  <c r="F814"/>
  <c r="C814"/>
  <c r="K813"/>
  <c r="J813"/>
  <c r="G813"/>
  <c r="F813"/>
  <c r="C813"/>
  <c r="K812"/>
  <c r="J812"/>
  <c r="G812"/>
  <c r="F812"/>
  <c r="C812"/>
  <c r="K811"/>
  <c r="J811"/>
  <c r="G811"/>
  <c r="F811"/>
  <c r="C811"/>
  <c r="K810"/>
  <c r="J810"/>
  <c r="G810"/>
  <c r="F810"/>
  <c r="C810"/>
  <c r="K809"/>
  <c r="J809"/>
  <c r="G809"/>
  <c r="F809"/>
  <c r="C809"/>
  <c r="K808"/>
  <c r="J808"/>
  <c r="G808"/>
  <c r="F808"/>
  <c r="C808"/>
  <c r="K807"/>
  <c r="J807"/>
  <c r="G807"/>
  <c r="F807"/>
  <c r="C807"/>
  <c r="K806"/>
  <c r="J806"/>
  <c r="G806"/>
  <c r="F806"/>
  <c r="C806"/>
  <c r="K805"/>
  <c r="J805"/>
  <c r="G805"/>
  <c r="F805"/>
  <c r="C805"/>
  <c r="K804"/>
  <c r="J804"/>
  <c r="G804"/>
  <c r="F804"/>
  <c r="C804"/>
  <c r="K803"/>
  <c r="J803"/>
  <c r="G803"/>
  <c r="F803"/>
  <c r="C803"/>
  <c r="K802"/>
  <c r="J802"/>
  <c r="G802"/>
  <c r="F802"/>
  <c r="C802"/>
  <c r="K801"/>
  <c r="J801"/>
  <c r="G801"/>
  <c r="F801"/>
  <c r="C801"/>
  <c r="K800"/>
  <c r="J800"/>
  <c r="G800"/>
  <c r="F800"/>
  <c r="C800"/>
  <c r="K799"/>
  <c r="J799"/>
  <c r="G799"/>
  <c r="F799"/>
  <c r="C799"/>
  <c r="K798"/>
  <c r="J798"/>
  <c r="G798"/>
  <c r="F798"/>
  <c r="C798"/>
  <c r="K797"/>
  <c r="J797"/>
  <c r="G797"/>
  <c r="F797"/>
  <c r="C797"/>
  <c r="K796"/>
  <c r="J796"/>
  <c r="G796"/>
  <c r="F796"/>
  <c r="C796"/>
  <c r="K795"/>
  <c r="J795"/>
  <c r="G795"/>
  <c r="F795"/>
  <c r="C795"/>
  <c r="K794"/>
  <c r="J794"/>
  <c r="G794"/>
  <c r="F794"/>
  <c r="C794"/>
  <c r="K793"/>
  <c r="J793"/>
  <c r="G793"/>
  <c r="F793"/>
  <c r="C793"/>
  <c r="K792"/>
  <c r="J792"/>
  <c r="G792"/>
  <c r="F792"/>
  <c r="C792"/>
  <c r="K791"/>
  <c r="J791"/>
  <c r="G791"/>
  <c r="F791"/>
  <c r="C791"/>
  <c r="K790"/>
  <c r="J790"/>
  <c r="G790"/>
  <c r="F790"/>
  <c r="C790"/>
  <c r="K789"/>
  <c r="J789"/>
  <c r="G789"/>
  <c r="F789"/>
  <c r="C789"/>
  <c r="K788"/>
  <c r="J788"/>
  <c r="G788"/>
  <c r="F788"/>
  <c r="C788"/>
  <c r="K787"/>
  <c r="J787"/>
  <c r="G787"/>
  <c r="F787"/>
  <c r="C787"/>
  <c r="K786"/>
  <c r="J786"/>
  <c r="G786"/>
  <c r="F786"/>
  <c r="C786"/>
  <c r="K785"/>
  <c r="J785"/>
  <c r="G785"/>
  <c r="F785"/>
  <c r="C785"/>
  <c r="K784"/>
  <c r="J784"/>
  <c r="G784"/>
  <c r="F784"/>
  <c r="C784"/>
  <c r="K783"/>
  <c r="J783"/>
  <c r="G783"/>
  <c r="F783"/>
  <c r="C783"/>
  <c r="K782"/>
  <c r="J782"/>
  <c r="G782"/>
  <c r="F782"/>
  <c r="C782"/>
  <c r="K781"/>
  <c r="J781"/>
  <c r="G781"/>
  <c r="F781"/>
  <c r="C781"/>
  <c r="K780"/>
  <c r="J780"/>
  <c r="G780"/>
  <c r="F780"/>
  <c r="C780"/>
  <c r="K779"/>
  <c r="J779"/>
  <c r="G779"/>
  <c r="F779"/>
  <c r="C779"/>
  <c r="K778"/>
  <c r="J778"/>
  <c r="G778"/>
  <c r="F778"/>
  <c r="C778"/>
  <c r="K777"/>
  <c r="J777"/>
  <c r="G777"/>
  <c r="F777"/>
  <c r="C777"/>
  <c r="K776"/>
  <c r="J776"/>
  <c r="G776"/>
  <c r="F776"/>
  <c r="C776"/>
  <c r="K775"/>
  <c r="J775"/>
  <c r="G775"/>
  <c r="F775"/>
  <c r="C775"/>
  <c r="K774"/>
  <c r="J774"/>
  <c r="G774"/>
  <c r="F774"/>
  <c r="C774"/>
  <c r="K773"/>
  <c r="J773"/>
  <c r="G773"/>
  <c r="F773"/>
  <c r="C773"/>
  <c r="K772"/>
  <c r="J772"/>
  <c r="G772"/>
  <c r="F772"/>
  <c r="C772"/>
  <c r="K771"/>
  <c r="J771"/>
  <c r="G771"/>
  <c r="F771"/>
  <c r="C771"/>
  <c r="K770"/>
  <c r="J770"/>
  <c r="G770"/>
  <c r="F770"/>
  <c r="C770"/>
  <c r="K769"/>
  <c r="J769"/>
  <c r="G769"/>
  <c r="F769"/>
  <c r="C769"/>
  <c r="K768"/>
  <c r="J768"/>
  <c r="G768"/>
  <c r="F768"/>
  <c r="C768"/>
  <c r="K767"/>
  <c r="J767"/>
  <c r="G767"/>
  <c r="F767"/>
  <c r="C767"/>
  <c r="K766"/>
  <c r="J766"/>
  <c r="G766"/>
  <c r="F766"/>
  <c r="C766"/>
  <c r="K765"/>
  <c r="J765"/>
  <c r="G765"/>
  <c r="F765"/>
  <c r="C765"/>
  <c r="K764"/>
  <c r="J764"/>
  <c r="G764"/>
  <c r="F764"/>
  <c r="C764"/>
  <c r="K763"/>
  <c r="J763"/>
  <c r="G763"/>
  <c r="F763"/>
  <c r="C763"/>
  <c r="K762"/>
  <c r="J762"/>
  <c r="G762"/>
  <c r="F762"/>
  <c r="C762"/>
  <c r="K761"/>
  <c r="J761"/>
  <c r="G761"/>
  <c r="F761"/>
  <c r="C761"/>
  <c r="K760"/>
  <c r="J760"/>
  <c r="G760"/>
  <c r="F760"/>
  <c r="C760"/>
  <c r="K759"/>
  <c r="J759"/>
  <c r="G759"/>
  <c r="F759"/>
  <c r="C759"/>
  <c r="K758"/>
  <c r="J758"/>
  <c r="G758"/>
  <c r="F758"/>
  <c r="C758"/>
  <c r="K757"/>
  <c r="J757"/>
  <c r="G757"/>
  <c r="F757"/>
  <c r="C757"/>
  <c r="K756"/>
  <c r="J756"/>
  <c r="G756"/>
  <c r="F756"/>
  <c r="C756"/>
  <c r="K755"/>
  <c r="J755"/>
  <c r="G755"/>
  <c r="F755"/>
  <c r="C755"/>
  <c r="K754"/>
  <c r="J754"/>
  <c r="G754"/>
  <c r="F754"/>
  <c r="C754"/>
  <c r="K753"/>
  <c r="J753"/>
  <c r="G753"/>
  <c r="F753"/>
  <c r="C753"/>
  <c r="K752"/>
  <c r="J752"/>
  <c r="G752"/>
  <c r="F752"/>
  <c r="C752"/>
  <c r="K751"/>
  <c r="J751"/>
  <c r="G751"/>
  <c r="F751"/>
  <c r="C751"/>
  <c r="K750"/>
  <c r="J750"/>
  <c r="G750"/>
  <c r="F750"/>
  <c r="C750"/>
  <c r="K749"/>
  <c r="J749"/>
  <c r="G749"/>
  <c r="F749"/>
  <c r="C749"/>
  <c r="K748"/>
  <c r="J748"/>
  <c r="G748"/>
  <c r="F748"/>
  <c r="C748"/>
  <c r="K747"/>
  <c r="J747"/>
  <c r="G747"/>
  <c r="F747"/>
  <c r="C747"/>
  <c r="K746"/>
  <c r="J746"/>
  <c r="G746"/>
  <c r="F746"/>
  <c r="C746"/>
  <c r="K745"/>
  <c r="J745"/>
  <c r="G745"/>
  <c r="F745"/>
  <c r="C745"/>
  <c r="K744"/>
  <c r="J744"/>
  <c r="G744"/>
  <c r="F744"/>
  <c r="C744"/>
  <c r="K743"/>
  <c r="J743"/>
  <c r="G743"/>
  <c r="F743"/>
  <c r="C743"/>
  <c r="K742"/>
  <c r="J742"/>
  <c r="G742"/>
  <c r="F742"/>
  <c r="C742"/>
  <c r="K741"/>
  <c r="J741"/>
  <c r="G741"/>
  <c r="F741"/>
  <c r="C741"/>
  <c r="K740"/>
  <c r="J740"/>
  <c r="G740"/>
  <c r="F740"/>
  <c r="C740"/>
  <c r="K739"/>
  <c r="J739"/>
  <c r="G739"/>
  <c r="F739"/>
  <c r="C739"/>
  <c r="K738"/>
  <c r="J738"/>
  <c r="G738"/>
  <c r="F738"/>
  <c r="C738"/>
  <c r="K737"/>
  <c r="J737"/>
  <c r="G737"/>
  <c r="F737"/>
  <c r="C737"/>
  <c r="K736"/>
  <c r="J736"/>
  <c r="G736"/>
  <c r="F736"/>
  <c r="C736"/>
  <c r="K735"/>
  <c r="J735"/>
  <c r="G735"/>
  <c r="F735"/>
  <c r="C735"/>
  <c r="K734"/>
  <c r="J734"/>
  <c r="G734"/>
  <c r="F734"/>
  <c r="C734"/>
  <c r="K733"/>
  <c r="J733"/>
  <c r="G733"/>
  <c r="F733"/>
  <c r="C733"/>
  <c r="K732"/>
  <c r="J732"/>
  <c r="G732"/>
  <c r="F732"/>
  <c r="C732"/>
  <c r="K731"/>
  <c r="J731"/>
  <c r="G731"/>
  <c r="F731"/>
  <c r="C731"/>
  <c r="K730"/>
  <c r="J730"/>
  <c r="G730"/>
  <c r="F730"/>
  <c r="C730"/>
  <c r="K729"/>
  <c r="J729"/>
  <c r="G729"/>
  <c r="F729"/>
  <c r="C729"/>
  <c r="K728"/>
  <c r="J728"/>
  <c r="G728"/>
  <c r="F728"/>
  <c r="C728"/>
  <c r="K727"/>
  <c r="J727"/>
  <c r="G727"/>
  <c r="F727"/>
  <c r="C727"/>
  <c r="K726"/>
  <c r="J726"/>
  <c r="G726"/>
  <c r="F726"/>
  <c r="C726"/>
  <c r="K725"/>
  <c r="J725"/>
  <c r="G725"/>
  <c r="F725"/>
  <c r="C725"/>
  <c r="K724"/>
  <c r="J724"/>
  <c r="G724"/>
  <c r="F724"/>
  <c r="C724"/>
  <c r="K723"/>
  <c r="J723"/>
  <c r="G723"/>
  <c r="F723"/>
  <c r="C723"/>
  <c r="K722"/>
  <c r="J722"/>
  <c r="G722"/>
  <c r="F722"/>
  <c r="C722"/>
  <c r="K721"/>
  <c r="J721"/>
  <c r="G721"/>
  <c r="F721"/>
  <c r="C721"/>
  <c r="K720"/>
  <c r="J720"/>
  <c r="G720"/>
  <c r="F720"/>
  <c r="C720"/>
  <c r="K719"/>
  <c r="J719"/>
  <c r="G719"/>
  <c r="F719"/>
  <c r="C719"/>
  <c r="K718"/>
  <c r="J718"/>
  <c r="G718"/>
  <c r="F718"/>
  <c r="C718"/>
  <c r="K717"/>
  <c r="J717"/>
  <c r="G717"/>
  <c r="F717"/>
  <c r="C717"/>
  <c r="K716"/>
  <c r="J716"/>
  <c r="G716"/>
  <c r="F716"/>
  <c r="C716"/>
  <c r="K715"/>
  <c r="J715"/>
  <c r="G715"/>
  <c r="F715"/>
  <c r="C715"/>
  <c r="K714"/>
  <c r="J714"/>
  <c r="G714"/>
  <c r="F714"/>
  <c r="C714"/>
  <c r="K713"/>
  <c r="J713"/>
  <c r="G713"/>
  <c r="F713"/>
  <c r="C713"/>
  <c r="K712"/>
  <c r="J712"/>
  <c r="G712"/>
  <c r="F712"/>
  <c r="C712"/>
  <c r="K711"/>
  <c r="J711"/>
  <c r="G711"/>
  <c r="F711"/>
  <c r="C711"/>
  <c r="K710"/>
  <c r="J710"/>
  <c r="G710"/>
  <c r="F710"/>
  <c r="C710"/>
  <c r="K709"/>
  <c r="J709"/>
  <c r="G709"/>
  <c r="F709"/>
  <c r="C709"/>
  <c r="K708"/>
  <c r="J708"/>
  <c r="G708"/>
  <c r="F708"/>
  <c r="C708"/>
  <c r="K707"/>
  <c r="J707"/>
  <c r="G707"/>
  <c r="F707"/>
  <c r="C707"/>
  <c r="K706"/>
  <c r="J706"/>
  <c r="G706"/>
  <c r="F706"/>
  <c r="C706"/>
  <c r="K705"/>
  <c r="J705"/>
  <c r="G705"/>
  <c r="F705"/>
  <c r="C705"/>
  <c r="K704"/>
  <c r="J704"/>
  <c r="G704"/>
  <c r="F704"/>
  <c r="C704"/>
  <c r="K703"/>
  <c r="J703"/>
  <c r="G703"/>
  <c r="F703"/>
  <c r="C703"/>
  <c r="K702"/>
  <c r="J702"/>
  <c r="G702"/>
  <c r="F702"/>
  <c r="C702"/>
  <c r="K701"/>
  <c r="J701"/>
  <c r="G701"/>
  <c r="F701"/>
  <c r="C701"/>
  <c r="K700"/>
  <c r="J700"/>
  <c r="G700"/>
  <c r="F700"/>
  <c r="C700"/>
  <c r="K699"/>
  <c r="J699"/>
  <c r="G699"/>
  <c r="F699"/>
  <c r="C699"/>
  <c r="K698"/>
  <c r="J698"/>
  <c r="G698"/>
  <c r="F698"/>
  <c r="C698"/>
  <c r="K697"/>
  <c r="J697"/>
  <c r="G697"/>
  <c r="F697"/>
  <c r="C697"/>
  <c r="K696"/>
  <c r="J696"/>
  <c r="G696"/>
  <c r="F696"/>
  <c r="C696"/>
  <c r="K695"/>
  <c r="J695"/>
  <c r="G695"/>
  <c r="F695"/>
  <c r="C695"/>
  <c r="K694"/>
  <c r="J694"/>
  <c r="G694"/>
  <c r="F694"/>
  <c r="C694"/>
  <c r="K693"/>
  <c r="J693"/>
  <c r="G693"/>
  <c r="F693"/>
  <c r="C693"/>
  <c r="K692"/>
  <c r="J692"/>
  <c r="G692"/>
  <c r="F692"/>
  <c r="C692"/>
  <c r="K691"/>
  <c r="J691"/>
  <c r="G691"/>
  <c r="F691"/>
  <c r="C691"/>
  <c r="K690"/>
  <c r="J690"/>
  <c r="G690"/>
  <c r="F690"/>
  <c r="C690"/>
  <c r="K689"/>
  <c r="J689"/>
  <c r="G689"/>
  <c r="F689"/>
  <c r="C689"/>
  <c r="K688"/>
  <c r="J688"/>
  <c r="G688"/>
  <c r="F688"/>
  <c r="C688"/>
  <c r="K687"/>
  <c r="J687"/>
  <c r="G687"/>
  <c r="F687"/>
  <c r="C687"/>
  <c r="K686"/>
  <c r="J686"/>
  <c r="G686"/>
  <c r="F686"/>
  <c r="C686"/>
  <c r="K685"/>
  <c r="J685"/>
  <c r="G685"/>
  <c r="F685"/>
  <c r="C685"/>
  <c r="K684"/>
  <c r="J684"/>
  <c r="G684"/>
  <c r="F684"/>
  <c r="C684"/>
  <c r="K683"/>
  <c r="J683"/>
  <c r="G683"/>
  <c r="F683"/>
  <c r="C683"/>
  <c r="K682"/>
  <c r="J682"/>
  <c r="G682"/>
  <c r="F682"/>
  <c r="C682"/>
  <c r="K681"/>
  <c r="J681"/>
  <c r="G681"/>
  <c r="F681"/>
  <c r="C681"/>
  <c r="K680"/>
  <c r="J680"/>
  <c r="G680"/>
  <c r="F680"/>
  <c r="C680"/>
  <c r="K679"/>
  <c r="J679"/>
  <c r="G679"/>
  <c r="F679"/>
  <c r="C679"/>
  <c r="K678"/>
  <c r="J678"/>
  <c r="G678"/>
  <c r="F678"/>
  <c r="C678"/>
  <c r="K677"/>
  <c r="J677"/>
  <c r="G677"/>
  <c r="F677"/>
  <c r="C677"/>
  <c r="K676"/>
  <c r="J676"/>
  <c r="G676"/>
  <c r="F676"/>
  <c r="C676"/>
  <c r="K675"/>
  <c r="J675"/>
  <c r="G675"/>
  <c r="F675"/>
  <c r="C675"/>
  <c r="K674"/>
  <c r="J674"/>
  <c r="G674"/>
  <c r="F674"/>
  <c r="C674"/>
  <c r="K673"/>
  <c r="J673"/>
  <c r="G673"/>
  <c r="F673"/>
  <c r="C673"/>
  <c r="K672"/>
  <c r="J672"/>
  <c r="G672"/>
  <c r="F672"/>
  <c r="C672"/>
  <c r="K671"/>
  <c r="J671"/>
  <c r="G671"/>
  <c r="F671"/>
  <c r="C671"/>
  <c r="K670"/>
  <c r="J670"/>
  <c r="G670"/>
  <c r="F670"/>
  <c r="C670"/>
  <c r="K669"/>
  <c r="J669"/>
  <c r="G669"/>
  <c r="F669"/>
  <c r="C669"/>
  <c r="K668"/>
  <c r="J668"/>
  <c r="G668"/>
  <c r="F668"/>
  <c r="C668"/>
  <c r="K667"/>
  <c r="J667"/>
  <c r="G667"/>
  <c r="F667"/>
  <c r="C667"/>
  <c r="K666"/>
  <c r="J666"/>
  <c r="G666"/>
  <c r="F666"/>
  <c r="C666"/>
  <c r="K665"/>
  <c r="J665"/>
  <c r="G665"/>
  <c r="F665"/>
  <c r="C665"/>
  <c r="K664"/>
  <c r="J664"/>
  <c r="G664"/>
  <c r="F664"/>
  <c r="C664"/>
  <c r="K663"/>
  <c r="J663"/>
  <c r="G663"/>
  <c r="F663"/>
  <c r="C663"/>
  <c r="K662"/>
  <c r="J662"/>
  <c r="G662"/>
  <c r="F662"/>
  <c r="C662"/>
  <c r="K661"/>
  <c r="J661"/>
  <c r="G661"/>
  <c r="F661"/>
  <c r="C661"/>
  <c r="K660"/>
  <c r="J660"/>
  <c r="G660"/>
  <c r="F660"/>
  <c r="C660"/>
  <c r="K659"/>
  <c r="J659"/>
  <c r="G659"/>
  <c r="F659"/>
  <c r="C659"/>
  <c r="K658"/>
  <c r="J658"/>
  <c r="G658"/>
  <c r="F658"/>
  <c r="C658"/>
  <c r="K657"/>
  <c r="J657"/>
  <c r="G657"/>
  <c r="F657"/>
  <c r="C657"/>
  <c r="K656"/>
  <c r="J656"/>
  <c r="G656"/>
  <c r="F656"/>
  <c r="C656"/>
  <c r="K655"/>
  <c r="J655"/>
  <c r="G655"/>
  <c r="F655"/>
  <c r="C655"/>
  <c r="K654"/>
  <c r="J654"/>
  <c r="G654"/>
  <c r="F654"/>
  <c r="C654"/>
  <c r="K653"/>
  <c r="J653"/>
  <c r="G653"/>
  <c r="F653"/>
  <c r="C653"/>
  <c r="K652"/>
  <c r="J652"/>
  <c r="G652"/>
  <c r="F652"/>
  <c r="C652"/>
  <c r="K651"/>
  <c r="J651"/>
  <c r="G651"/>
  <c r="F651"/>
  <c r="C651"/>
  <c r="K650"/>
  <c r="J650"/>
  <c r="G650"/>
  <c r="F650"/>
  <c r="C650"/>
  <c r="K649"/>
  <c r="J649"/>
  <c r="G649"/>
  <c r="F649"/>
  <c r="C649"/>
  <c r="K648"/>
  <c r="J648"/>
  <c r="G648"/>
  <c r="F648"/>
  <c r="C648"/>
  <c r="K647"/>
  <c r="J647"/>
  <c r="G647"/>
  <c r="F647"/>
  <c r="C647"/>
  <c r="K646"/>
  <c r="J646"/>
  <c r="G646"/>
  <c r="F646"/>
  <c r="C646"/>
  <c r="K645"/>
  <c r="J645"/>
  <c r="G645"/>
  <c r="F645"/>
  <c r="C645"/>
  <c r="K644"/>
  <c r="J644"/>
  <c r="G644"/>
  <c r="F644"/>
  <c r="C644"/>
  <c r="K643"/>
  <c r="J643"/>
  <c r="G643"/>
  <c r="F643"/>
  <c r="C643"/>
  <c r="K642"/>
  <c r="J642"/>
  <c r="G642"/>
  <c r="F642"/>
  <c r="C642"/>
  <c r="K641"/>
  <c r="J641"/>
  <c r="G641"/>
  <c r="F641"/>
  <c r="C641"/>
  <c r="K640"/>
  <c r="J640"/>
  <c r="G640"/>
  <c r="F640"/>
  <c r="C640"/>
  <c r="K639"/>
  <c r="J639"/>
  <c r="G639"/>
  <c r="F639"/>
  <c r="C639"/>
  <c r="K638"/>
  <c r="J638"/>
  <c r="G638"/>
  <c r="F638"/>
  <c r="C638"/>
  <c r="K637"/>
  <c r="J637"/>
  <c r="G637"/>
  <c r="F637"/>
  <c r="C637"/>
  <c r="K636"/>
  <c r="J636"/>
  <c r="G636"/>
  <c r="F636"/>
  <c r="C636"/>
  <c r="K635"/>
  <c r="J635"/>
  <c r="G635"/>
  <c r="F635"/>
  <c r="C635"/>
  <c r="K634"/>
  <c r="J634"/>
  <c r="G634"/>
  <c r="F634"/>
  <c r="C634"/>
  <c r="K633"/>
  <c r="J633"/>
  <c r="G633"/>
  <c r="F633"/>
  <c r="C633"/>
  <c r="K632"/>
  <c r="J632"/>
  <c r="G632"/>
  <c r="F632"/>
  <c r="C632"/>
  <c r="K631"/>
  <c r="J631"/>
  <c r="G631"/>
  <c r="F631"/>
  <c r="C631"/>
  <c r="K630"/>
  <c r="J630"/>
  <c r="G630"/>
  <c r="F630"/>
  <c r="C630"/>
  <c r="K629"/>
  <c r="J629"/>
  <c r="G629"/>
  <c r="F629"/>
  <c r="C629"/>
  <c r="K628"/>
  <c r="J628"/>
  <c r="G628"/>
  <c r="F628"/>
  <c r="C628"/>
  <c r="K627"/>
  <c r="J627"/>
  <c r="G627"/>
  <c r="F627"/>
  <c r="C627"/>
  <c r="K626"/>
  <c r="J626"/>
  <c r="G626"/>
  <c r="F626"/>
  <c r="C626"/>
  <c r="K625"/>
  <c r="J625"/>
  <c r="G625"/>
  <c r="F625"/>
  <c r="C625"/>
  <c r="K624"/>
  <c r="J624"/>
  <c r="G624"/>
  <c r="F624"/>
  <c r="C624"/>
  <c r="K623"/>
  <c r="J623"/>
  <c r="G623"/>
  <c r="F623"/>
  <c r="C623"/>
  <c r="K622"/>
  <c r="J622"/>
  <c r="G622"/>
  <c r="F622"/>
  <c r="C622"/>
  <c r="K621"/>
  <c r="J621"/>
  <c r="G621"/>
  <c r="F621"/>
  <c r="C621"/>
  <c r="K620"/>
  <c r="J620"/>
  <c r="G620"/>
  <c r="F620"/>
  <c r="C620"/>
  <c r="K619"/>
  <c r="J619"/>
  <c r="G619"/>
  <c r="F619"/>
  <c r="C619"/>
  <c r="K618"/>
  <c r="J618"/>
  <c r="G618"/>
  <c r="F618"/>
  <c r="C618"/>
  <c r="K617"/>
  <c r="J617"/>
  <c r="G617"/>
  <c r="F617"/>
  <c r="C617"/>
  <c r="K616"/>
  <c r="J616"/>
  <c r="G616"/>
  <c r="F616"/>
  <c r="C616"/>
  <c r="K615"/>
  <c r="J615"/>
  <c r="G615"/>
  <c r="F615"/>
  <c r="C615"/>
  <c r="K614"/>
  <c r="J614"/>
  <c r="G614"/>
  <c r="F614"/>
  <c r="C614"/>
  <c r="K613"/>
  <c r="J613"/>
  <c r="G613"/>
  <c r="F613"/>
  <c r="C613"/>
  <c r="K612"/>
  <c r="J612"/>
  <c r="G612"/>
  <c r="F612"/>
  <c r="C612"/>
  <c r="K611"/>
  <c r="J611"/>
  <c r="G611"/>
  <c r="F611"/>
  <c r="C611"/>
  <c r="K610"/>
  <c r="J610"/>
  <c r="G610"/>
  <c r="F610"/>
  <c r="C610"/>
  <c r="K609"/>
  <c r="J609"/>
  <c r="G609"/>
  <c r="F609"/>
  <c r="C609"/>
  <c r="K608"/>
  <c r="J608"/>
  <c r="G608"/>
  <c r="F608"/>
  <c r="C608"/>
  <c r="K607"/>
  <c r="J607"/>
  <c r="G607"/>
  <c r="F607"/>
  <c r="C607"/>
  <c r="K606"/>
  <c r="J606"/>
  <c r="G606"/>
  <c r="F606"/>
  <c r="C606"/>
  <c r="K605"/>
  <c r="J605"/>
  <c r="G605"/>
  <c r="F605"/>
  <c r="C605"/>
  <c r="K604"/>
  <c r="J604"/>
  <c r="G604"/>
  <c r="F604"/>
  <c r="C604"/>
  <c r="K603"/>
  <c r="J603"/>
  <c r="G603"/>
  <c r="F603"/>
  <c r="C603"/>
  <c r="K602"/>
  <c r="J602"/>
  <c r="G602"/>
  <c r="F602"/>
  <c r="C602"/>
  <c r="K601"/>
  <c r="J601"/>
  <c r="G601"/>
  <c r="F601"/>
  <c r="C601"/>
  <c r="K600"/>
  <c r="J600"/>
  <c r="G600"/>
  <c r="F600"/>
  <c r="C600"/>
  <c r="K599"/>
  <c r="J599"/>
  <c r="G599"/>
  <c r="F599"/>
  <c r="C599"/>
  <c r="K598"/>
  <c r="J598"/>
  <c r="G598"/>
  <c r="F598"/>
  <c r="C598"/>
  <c r="K597"/>
  <c r="J597"/>
  <c r="G597"/>
  <c r="F597"/>
  <c r="C597"/>
  <c r="K596"/>
  <c r="J596"/>
  <c r="G596"/>
  <c r="F596"/>
  <c r="C596"/>
  <c r="K595"/>
  <c r="J595"/>
  <c r="G595"/>
  <c r="F595"/>
  <c r="C595"/>
  <c r="K594"/>
  <c r="J594"/>
  <c r="G594"/>
  <c r="F594"/>
  <c r="C594"/>
  <c r="K593"/>
  <c r="J593"/>
  <c r="G593"/>
  <c r="F593"/>
  <c r="C593"/>
  <c r="K592"/>
  <c r="J592"/>
  <c r="G592"/>
  <c r="F592"/>
  <c r="C592"/>
  <c r="K591"/>
  <c r="J591"/>
  <c r="G591"/>
  <c r="F591"/>
  <c r="C591"/>
  <c r="K590"/>
  <c r="J590"/>
  <c r="G590"/>
  <c r="F590"/>
  <c r="C590"/>
  <c r="K589"/>
  <c r="J589"/>
  <c r="G589"/>
  <c r="F589"/>
  <c r="C589"/>
  <c r="K588"/>
  <c r="J588"/>
  <c r="G588"/>
  <c r="F588"/>
  <c r="C588"/>
  <c r="K587"/>
  <c r="J587"/>
  <c r="G587"/>
  <c r="F587"/>
  <c r="C587"/>
  <c r="K586"/>
  <c r="J586"/>
  <c r="G586"/>
  <c r="F586"/>
  <c r="C586"/>
  <c r="K585"/>
  <c r="J585"/>
  <c r="G585"/>
  <c r="F585"/>
  <c r="C585"/>
  <c r="K584"/>
  <c r="J584"/>
  <c r="G584"/>
  <c r="F584"/>
  <c r="C584"/>
  <c r="K583"/>
  <c r="J583"/>
  <c r="G583"/>
  <c r="F583"/>
  <c r="C583"/>
  <c r="K582"/>
  <c r="J582"/>
  <c r="G582"/>
  <c r="F582"/>
  <c r="C582"/>
  <c r="K581"/>
  <c r="J581"/>
  <c r="G581"/>
  <c r="F581"/>
  <c r="C581"/>
  <c r="K580"/>
  <c r="J580"/>
  <c r="G580"/>
  <c r="F580"/>
  <c r="C580"/>
  <c r="K579"/>
  <c r="J579"/>
  <c r="G579"/>
  <c r="F579"/>
  <c r="C579"/>
  <c r="K578"/>
  <c r="J578"/>
  <c r="G578"/>
  <c r="F578"/>
  <c r="C578"/>
  <c r="K577"/>
  <c r="J577"/>
  <c r="G577"/>
  <c r="F577"/>
  <c r="C577"/>
  <c r="K576"/>
  <c r="J576"/>
  <c r="G576"/>
  <c r="F576"/>
  <c r="C576"/>
  <c r="K575"/>
  <c r="J575"/>
  <c r="G575"/>
  <c r="F575"/>
  <c r="C575"/>
  <c r="K574"/>
  <c r="J574"/>
  <c r="G574"/>
  <c r="F574"/>
  <c r="C574"/>
  <c r="K573"/>
  <c r="J573"/>
  <c r="G573"/>
  <c r="F573"/>
  <c r="C573"/>
  <c r="K572"/>
  <c r="J572"/>
  <c r="G572"/>
  <c r="F572"/>
  <c r="C572"/>
  <c r="K571"/>
  <c r="J571"/>
  <c r="G571"/>
  <c r="F571"/>
  <c r="C571"/>
  <c r="K570"/>
  <c r="J570"/>
  <c r="G570"/>
  <c r="F570"/>
  <c r="C570"/>
  <c r="K569"/>
  <c r="J569"/>
  <c r="G569"/>
  <c r="F569"/>
  <c r="C569"/>
  <c r="K568"/>
  <c r="J568"/>
  <c r="G568"/>
  <c r="F568"/>
  <c r="C568"/>
  <c r="K567"/>
  <c r="J567"/>
  <c r="G567"/>
  <c r="F567"/>
  <c r="C567"/>
  <c r="K566"/>
  <c r="J566"/>
  <c r="G566"/>
  <c r="F566"/>
  <c r="C566"/>
  <c r="K565"/>
  <c r="J565"/>
  <c r="G565"/>
  <c r="F565"/>
  <c r="C565"/>
  <c r="K564"/>
  <c r="J564"/>
  <c r="G564"/>
  <c r="F564"/>
  <c r="C564"/>
  <c r="K563"/>
  <c r="J563"/>
  <c r="G563"/>
  <c r="F563"/>
  <c r="C563"/>
  <c r="K562"/>
  <c r="C562"/>
  <c r="K561"/>
  <c r="J561"/>
  <c r="G561"/>
  <c r="F561"/>
  <c r="C561"/>
  <c r="K560"/>
  <c r="J560"/>
  <c r="G560"/>
  <c r="F560"/>
  <c r="C560"/>
  <c r="K559"/>
  <c r="J559"/>
  <c r="G559"/>
  <c r="F559"/>
  <c r="C559"/>
  <c r="K558"/>
  <c r="J558"/>
  <c r="G558"/>
  <c r="F558"/>
  <c r="C558"/>
  <c r="K557"/>
  <c r="J557"/>
  <c r="G557"/>
  <c r="F557"/>
  <c r="C557"/>
  <c r="K556"/>
  <c r="J556"/>
  <c r="G556"/>
  <c r="F556"/>
  <c r="C556"/>
  <c r="K555"/>
  <c r="J555"/>
  <c r="G555"/>
  <c r="F555"/>
  <c r="C555"/>
  <c r="K554"/>
  <c r="J554"/>
  <c r="G554"/>
  <c r="F554"/>
  <c r="C554"/>
  <c r="K553"/>
  <c r="J553"/>
  <c r="G553"/>
  <c r="F553"/>
  <c r="C553"/>
  <c r="K552"/>
  <c r="C552"/>
  <c r="K551"/>
  <c r="J551"/>
  <c r="G551"/>
  <c r="F551"/>
  <c r="C551"/>
  <c r="K550"/>
  <c r="J550"/>
  <c r="G550"/>
  <c r="F550"/>
  <c r="C550"/>
  <c r="K549"/>
  <c r="J549"/>
  <c r="G549"/>
  <c r="F549"/>
  <c r="C549"/>
  <c r="K548"/>
  <c r="J548"/>
  <c r="G548"/>
  <c r="F548"/>
  <c r="C548"/>
  <c r="K547"/>
  <c r="J547"/>
  <c r="G547"/>
  <c r="F547"/>
  <c r="C547"/>
  <c r="K546"/>
  <c r="J546"/>
  <c r="G546"/>
  <c r="F546"/>
  <c r="C546"/>
  <c r="K545"/>
  <c r="J545"/>
  <c r="G545"/>
  <c r="F545"/>
  <c r="C545"/>
  <c r="K544"/>
  <c r="J544"/>
  <c r="G544"/>
  <c r="F544"/>
  <c r="C544"/>
  <c r="K543"/>
  <c r="J543"/>
  <c r="G543"/>
  <c r="F543"/>
  <c r="C543"/>
  <c r="K542"/>
  <c r="J542"/>
  <c r="G542"/>
  <c r="F542"/>
  <c r="C542"/>
  <c r="K541"/>
  <c r="J541"/>
  <c r="G541"/>
  <c r="F541"/>
  <c r="C541"/>
  <c r="K540"/>
  <c r="J540"/>
  <c r="G540"/>
  <c r="F540"/>
  <c r="C540"/>
  <c r="K539"/>
  <c r="J539"/>
  <c r="G539"/>
  <c r="F539"/>
  <c r="C539"/>
  <c r="K538"/>
  <c r="J538"/>
  <c r="G538"/>
  <c r="F538"/>
  <c r="C538"/>
  <c r="K537"/>
  <c r="J537"/>
  <c r="G537"/>
  <c r="F537"/>
  <c r="C537"/>
  <c r="K536"/>
  <c r="J536"/>
  <c r="G536"/>
  <c r="F536"/>
  <c r="C536"/>
  <c r="K535"/>
  <c r="J535"/>
  <c r="G535"/>
  <c r="F535"/>
  <c r="C535"/>
  <c r="K534"/>
  <c r="J534"/>
  <c r="G534"/>
  <c r="F534"/>
  <c r="C534"/>
  <c r="K533"/>
  <c r="J533"/>
  <c r="G533"/>
  <c r="F533"/>
  <c r="C533"/>
  <c r="K532"/>
  <c r="J532"/>
  <c r="G532"/>
  <c r="F532"/>
  <c r="C532"/>
  <c r="K531"/>
  <c r="J531"/>
  <c r="G531"/>
  <c r="F531"/>
  <c r="C531"/>
  <c r="K530"/>
  <c r="J530"/>
  <c r="G530"/>
  <c r="F530"/>
  <c r="C530"/>
  <c r="K529"/>
  <c r="J529"/>
  <c r="G529"/>
  <c r="F529"/>
  <c r="C529"/>
  <c r="K528"/>
  <c r="J528"/>
  <c r="G528"/>
  <c r="F528"/>
  <c r="C528"/>
  <c r="K527"/>
  <c r="J527"/>
  <c r="G527"/>
  <c r="F527"/>
  <c r="C527"/>
  <c r="K526"/>
  <c r="J526"/>
  <c r="G526"/>
  <c r="F526"/>
  <c r="C526"/>
  <c r="K525"/>
  <c r="J525"/>
  <c r="G525"/>
  <c r="F525"/>
  <c r="C525"/>
  <c r="K524"/>
  <c r="J524"/>
  <c r="G524"/>
  <c r="F524"/>
  <c r="C524"/>
  <c r="K523"/>
  <c r="J523"/>
  <c r="G523"/>
  <c r="F523"/>
  <c r="C523"/>
  <c r="K522"/>
  <c r="J522"/>
  <c r="G522"/>
  <c r="F522"/>
  <c r="C522"/>
  <c r="K521"/>
  <c r="J521"/>
  <c r="G521"/>
  <c r="F521"/>
  <c r="C521"/>
  <c r="K520"/>
  <c r="J520"/>
  <c r="G520"/>
  <c r="F520"/>
  <c r="C520"/>
  <c r="K519"/>
  <c r="J519"/>
  <c r="G519"/>
  <c r="F519"/>
  <c r="C519"/>
  <c r="K518"/>
  <c r="J518"/>
  <c r="G518"/>
  <c r="F518"/>
  <c r="C518"/>
  <c r="K517"/>
  <c r="J517"/>
  <c r="G517"/>
  <c r="F517"/>
  <c r="C517"/>
  <c r="K516"/>
  <c r="J516"/>
  <c r="G516"/>
  <c r="F516"/>
  <c r="C516"/>
  <c r="K515"/>
  <c r="J515"/>
  <c r="G515"/>
  <c r="F515"/>
  <c r="C515"/>
  <c r="K514"/>
  <c r="J514"/>
  <c r="G514"/>
  <c r="F514"/>
  <c r="C514"/>
  <c r="K513"/>
  <c r="J513"/>
  <c r="G513"/>
  <c r="F513"/>
  <c r="C513"/>
  <c r="K512"/>
  <c r="J512"/>
  <c r="G512"/>
  <c r="F512"/>
  <c r="C512"/>
  <c r="K511"/>
  <c r="J511"/>
  <c r="G511"/>
  <c r="F511"/>
  <c r="C511"/>
  <c r="K510"/>
  <c r="J510"/>
  <c r="G510"/>
  <c r="F510"/>
  <c r="C510"/>
  <c r="K509"/>
  <c r="J509"/>
  <c r="G509"/>
  <c r="F509"/>
  <c r="C509"/>
  <c r="K508"/>
  <c r="J508"/>
  <c r="G508"/>
  <c r="F508"/>
  <c r="C508"/>
  <c r="K507"/>
  <c r="J507"/>
  <c r="G507"/>
  <c r="F507"/>
  <c r="C507"/>
  <c r="K506"/>
  <c r="J506"/>
  <c r="G506"/>
  <c r="F506"/>
  <c r="C506"/>
  <c r="K505"/>
  <c r="J505"/>
  <c r="G505"/>
  <c r="F505"/>
  <c r="C505"/>
  <c r="K504"/>
  <c r="J504"/>
  <c r="G504"/>
  <c r="F504"/>
  <c r="C504"/>
  <c r="K503"/>
  <c r="J503"/>
  <c r="G503"/>
  <c r="F503"/>
  <c r="C503"/>
  <c r="K502"/>
  <c r="J502"/>
  <c r="G502"/>
  <c r="F502"/>
  <c r="C502"/>
  <c r="K501"/>
  <c r="J501"/>
  <c r="G501"/>
  <c r="F501"/>
  <c r="C501"/>
  <c r="K500"/>
  <c r="J500"/>
  <c r="G500"/>
  <c r="F500"/>
  <c r="C500"/>
  <c r="K499"/>
  <c r="J499"/>
  <c r="G499"/>
  <c r="F499"/>
  <c r="C499"/>
  <c r="K498"/>
  <c r="J498"/>
  <c r="G498"/>
  <c r="F498"/>
  <c r="C498"/>
  <c r="K497"/>
  <c r="J497"/>
  <c r="G497"/>
  <c r="F497"/>
  <c r="C497"/>
  <c r="K496"/>
  <c r="J496"/>
  <c r="G496"/>
  <c r="F496"/>
  <c r="C496"/>
  <c r="K495"/>
  <c r="J495"/>
  <c r="G495"/>
  <c r="F495"/>
  <c r="C495"/>
  <c r="K494"/>
  <c r="J494"/>
  <c r="G494"/>
  <c r="F494"/>
  <c r="C494"/>
  <c r="K493"/>
  <c r="J493"/>
  <c r="G493"/>
  <c r="F493"/>
  <c r="C493"/>
  <c r="K492"/>
  <c r="J492"/>
  <c r="G492"/>
  <c r="F492"/>
  <c r="C492"/>
  <c r="K491"/>
  <c r="J491"/>
  <c r="G491"/>
  <c r="F491"/>
  <c r="C491"/>
  <c r="K490"/>
  <c r="J490"/>
  <c r="G490"/>
  <c r="F490"/>
  <c r="C490"/>
  <c r="K489"/>
  <c r="J489"/>
  <c r="G489"/>
  <c r="F489"/>
  <c r="C489"/>
  <c r="K488"/>
  <c r="J488"/>
  <c r="G488"/>
  <c r="F488"/>
  <c r="C488"/>
  <c r="K487"/>
  <c r="J487"/>
  <c r="G487"/>
  <c r="F487"/>
  <c r="C487"/>
  <c r="K486"/>
  <c r="J486"/>
  <c r="G486"/>
  <c r="F486"/>
  <c r="C486"/>
  <c r="K485"/>
  <c r="J485"/>
  <c r="G485"/>
  <c r="F485"/>
  <c r="C485"/>
  <c r="K484"/>
  <c r="J484"/>
  <c r="G484"/>
  <c r="F484"/>
  <c r="C484"/>
  <c r="K483"/>
  <c r="J483"/>
  <c r="G483"/>
  <c r="F483"/>
  <c r="C483"/>
  <c r="K482"/>
  <c r="J482"/>
  <c r="G482"/>
  <c r="F482"/>
  <c r="C482"/>
  <c r="K481"/>
  <c r="J481"/>
  <c r="G481"/>
  <c r="F481"/>
  <c r="C481"/>
  <c r="K480"/>
  <c r="J480"/>
  <c r="G480"/>
  <c r="F480"/>
  <c r="C480"/>
  <c r="K479"/>
  <c r="J479"/>
  <c r="G479"/>
  <c r="F479"/>
  <c r="C479"/>
  <c r="K478"/>
  <c r="J478"/>
  <c r="G478"/>
  <c r="F478"/>
  <c r="C478"/>
  <c r="K477"/>
  <c r="J477"/>
  <c r="G477"/>
  <c r="F477"/>
  <c r="C477"/>
  <c r="K476"/>
  <c r="C476"/>
  <c r="K475"/>
  <c r="J475"/>
  <c r="G475"/>
  <c r="F475"/>
  <c r="C475"/>
  <c r="K474"/>
  <c r="J474"/>
  <c r="G474"/>
  <c r="F474"/>
  <c r="C474"/>
  <c r="K473"/>
  <c r="J473"/>
  <c r="G473"/>
  <c r="F473"/>
  <c r="C473"/>
  <c r="K472"/>
  <c r="J472"/>
  <c r="G472"/>
  <c r="F472"/>
  <c r="C472"/>
  <c r="K471"/>
  <c r="J471"/>
  <c r="G471"/>
  <c r="F471"/>
  <c r="C471"/>
  <c r="K470"/>
  <c r="J470"/>
  <c r="G470"/>
  <c r="F470"/>
  <c r="C470"/>
  <c r="K469"/>
  <c r="J469"/>
  <c r="G469"/>
  <c r="F469"/>
  <c r="C469"/>
  <c r="K468"/>
  <c r="J468"/>
  <c r="G468"/>
  <c r="F468"/>
  <c r="C468"/>
  <c r="K467"/>
  <c r="J467"/>
  <c r="G467"/>
  <c r="F467"/>
  <c r="C467"/>
  <c r="K466"/>
  <c r="J466"/>
  <c r="G466"/>
  <c r="F466"/>
  <c r="C466"/>
  <c r="K465"/>
  <c r="J465"/>
  <c r="G465"/>
  <c r="F465"/>
  <c r="C465"/>
  <c r="K464"/>
  <c r="C464"/>
  <c r="K463"/>
  <c r="J463"/>
  <c r="G463"/>
  <c r="F463"/>
  <c r="C463"/>
  <c r="K462"/>
  <c r="J462"/>
  <c r="G462"/>
  <c r="F462"/>
  <c r="C462"/>
  <c r="K461"/>
  <c r="J461"/>
  <c r="G461"/>
  <c r="F461"/>
  <c r="C461"/>
  <c r="K460"/>
  <c r="J460"/>
  <c r="G460"/>
  <c r="F460"/>
  <c r="C460"/>
  <c r="K459"/>
  <c r="J459"/>
  <c r="G459"/>
  <c r="F459"/>
  <c r="C459"/>
  <c r="K458"/>
  <c r="C458"/>
  <c r="K457"/>
  <c r="C457"/>
  <c r="K456"/>
  <c r="C456"/>
  <c r="K455"/>
  <c r="J455"/>
  <c r="G455"/>
  <c r="F455"/>
  <c r="C455"/>
  <c r="K454"/>
  <c r="J454"/>
  <c r="G454"/>
  <c r="F454"/>
  <c r="C454"/>
  <c r="K453"/>
  <c r="J453"/>
  <c r="G453"/>
  <c r="F453"/>
  <c r="C453"/>
  <c r="K452"/>
  <c r="J452"/>
  <c r="G452"/>
  <c r="F452"/>
  <c r="C452"/>
  <c r="K451"/>
  <c r="J451"/>
  <c r="G451"/>
  <c r="F451"/>
  <c r="C451"/>
  <c r="K450"/>
  <c r="J450"/>
  <c r="G450"/>
  <c r="F450"/>
  <c r="C450"/>
  <c r="K449"/>
  <c r="J449"/>
  <c r="G449"/>
  <c r="F449"/>
  <c r="C449"/>
  <c r="K448"/>
  <c r="J448"/>
  <c r="G448"/>
  <c r="F448"/>
  <c r="C448"/>
  <c r="K447"/>
  <c r="J447"/>
  <c r="G447"/>
  <c r="F447"/>
  <c r="C447"/>
  <c r="K446"/>
  <c r="J446"/>
  <c r="G446"/>
  <c r="F446"/>
  <c r="C446"/>
  <c r="K445"/>
  <c r="J445"/>
  <c r="G445"/>
  <c r="F445"/>
  <c r="C445"/>
  <c r="K444"/>
  <c r="J444"/>
  <c r="G444"/>
  <c r="F444"/>
  <c r="C444"/>
  <c r="K443"/>
  <c r="J443"/>
  <c r="G443"/>
  <c r="F443"/>
  <c r="C443"/>
  <c r="K442"/>
  <c r="J442"/>
  <c r="G442"/>
  <c r="F442"/>
  <c r="C442"/>
  <c r="K441"/>
  <c r="J441"/>
  <c r="G441"/>
  <c r="F441"/>
  <c r="C441"/>
  <c r="K440"/>
  <c r="J440"/>
  <c r="G440"/>
  <c r="F440"/>
  <c r="C440"/>
  <c r="K439"/>
  <c r="J439"/>
  <c r="G439"/>
  <c r="F439"/>
  <c r="C439"/>
  <c r="K438"/>
  <c r="J438"/>
  <c r="G438"/>
  <c r="F438"/>
  <c r="C438"/>
  <c r="K437"/>
  <c r="J437"/>
  <c r="G437"/>
  <c r="F437"/>
  <c r="C437"/>
  <c r="K436"/>
  <c r="J436"/>
  <c r="G436"/>
  <c r="F436"/>
  <c r="C436"/>
  <c r="K435"/>
  <c r="J435"/>
  <c r="G435"/>
  <c r="F435"/>
  <c r="C435"/>
  <c r="K434"/>
  <c r="J434"/>
  <c r="G434"/>
  <c r="F434"/>
  <c r="C434"/>
  <c r="K433"/>
  <c r="J433"/>
  <c r="G433"/>
  <c r="F433"/>
  <c r="C433"/>
  <c r="K432"/>
  <c r="J432"/>
  <c r="G432"/>
  <c r="F432"/>
  <c r="C432"/>
  <c r="K431"/>
  <c r="C431"/>
  <c r="K430"/>
  <c r="J430"/>
  <c r="G430"/>
  <c r="F430"/>
  <c r="C430"/>
  <c r="K429"/>
  <c r="J429"/>
  <c r="G429"/>
  <c r="F429"/>
  <c r="C429"/>
  <c r="K428"/>
  <c r="J428"/>
  <c r="G428"/>
  <c r="F428"/>
  <c r="C428"/>
  <c r="K427"/>
  <c r="J427"/>
  <c r="G427"/>
  <c r="F427"/>
  <c r="C427"/>
  <c r="K426"/>
  <c r="J426"/>
  <c r="G426"/>
  <c r="F426"/>
  <c r="C426"/>
  <c r="K425"/>
  <c r="J425"/>
  <c r="G425"/>
  <c r="F425"/>
  <c r="C425"/>
  <c r="K424"/>
  <c r="J424"/>
  <c r="G424"/>
  <c r="F424"/>
  <c r="C424"/>
  <c r="K423"/>
  <c r="J423"/>
  <c r="G423"/>
  <c r="F423"/>
  <c r="C423"/>
  <c r="K422"/>
  <c r="J422"/>
  <c r="G422"/>
  <c r="F422"/>
  <c r="C422"/>
  <c r="K421"/>
  <c r="J421"/>
  <c r="G421"/>
  <c r="F421"/>
  <c r="C421"/>
  <c r="K420"/>
  <c r="J420"/>
  <c r="G420"/>
  <c r="F420"/>
  <c r="C420"/>
  <c r="K419"/>
  <c r="J419"/>
  <c r="G419"/>
  <c r="F419"/>
  <c r="C419"/>
  <c r="K418"/>
  <c r="J418"/>
  <c r="G418"/>
  <c r="F418"/>
  <c r="C418"/>
  <c r="K417"/>
  <c r="J417"/>
  <c r="G417"/>
  <c r="F417"/>
  <c r="C417"/>
  <c r="K416"/>
  <c r="J416"/>
  <c r="G416"/>
  <c r="F416"/>
  <c r="C416"/>
  <c r="K415"/>
  <c r="J415"/>
  <c r="G415"/>
  <c r="F415"/>
  <c r="C415"/>
  <c r="K414"/>
  <c r="J414"/>
  <c r="G414"/>
  <c r="F414"/>
  <c r="C414"/>
  <c r="K413"/>
  <c r="J413"/>
  <c r="G413"/>
  <c r="F413"/>
  <c r="C413"/>
  <c r="K412"/>
  <c r="J412"/>
  <c r="G412"/>
  <c r="F412"/>
  <c r="C412"/>
  <c r="K411"/>
  <c r="J411"/>
  <c r="G411"/>
  <c r="F411"/>
  <c r="C411"/>
  <c r="K410"/>
  <c r="J410"/>
  <c r="G410"/>
  <c r="F410"/>
  <c r="C410"/>
  <c r="K409"/>
  <c r="J409"/>
  <c r="G409"/>
  <c r="F409"/>
  <c r="C409"/>
  <c r="K408"/>
  <c r="J408"/>
  <c r="G408"/>
  <c r="F408"/>
  <c r="C408"/>
  <c r="K407"/>
  <c r="J407"/>
  <c r="G407"/>
  <c r="F407"/>
  <c r="C407"/>
  <c r="K406"/>
  <c r="J406"/>
  <c r="G406"/>
  <c r="F406"/>
  <c r="C406"/>
  <c r="K405"/>
  <c r="J405"/>
  <c r="G405"/>
  <c r="F405"/>
  <c r="C405"/>
  <c r="K404"/>
  <c r="J404"/>
  <c r="G404"/>
  <c r="F404"/>
  <c r="C404"/>
  <c r="K403"/>
  <c r="J403"/>
  <c r="G403"/>
  <c r="F403"/>
  <c r="C403"/>
  <c r="K402"/>
  <c r="J402"/>
  <c r="G402"/>
  <c r="F402"/>
  <c r="C402"/>
  <c r="K401"/>
  <c r="J401"/>
  <c r="G401"/>
  <c r="F401"/>
  <c r="C401"/>
  <c r="K400"/>
  <c r="J400"/>
  <c r="G400"/>
  <c r="F400"/>
  <c r="C400"/>
  <c r="K399"/>
  <c r="J399"/>
  <c r="G399"/>
  <c r="F399"/>
  <c r="C399"/>
  <c r="K398"/>
  <c r="J398"/>
  <c r="G398"/>
  <c r="F398"/>
  <c r="C398"/>
  <c r="K397"/>
  <c r="J397"/>
  <c r="G397"/>
  <c r="F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J391"/>
  <c r="G391"/>
  <c r="F391"/>
  <c r="C391"/>
  <c r="K390"/>
  <c r="J390"/>
  <c r="G390"/>
  <c r="F390"/>
  <c r="C390"/>
  <c r="K389"/>
  <c r="J389"/>
  <c r="G389"/>
  <c r="F389"/>
  <c r="C389"/>
  <c r="K388"/>
  <c r="J388"/>
  <c r="G388"/>
  <c r="F388"/>
  <c r="C388"/>
  <c r="K387"/>
  <c r="J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J383"/>
  <c r="G383"/>
  <c r="F383"/>
  <c r="C383"/>
  <c r="K382"/>
  <c r="C382"/>
  <c r="K381"/>
  <c r="J381"/>
  <c r="G381"/>
  <c r="F381"/>
  <c r="C381"/>
  <c r="K380"/>
  <c r="J380"/>
  <c r="G380"/>
  <c r="F380"/>
  <c r="C380"/>
  <c r="K379"/>
  <c r="J379"/>
  <c r="G379"/>
  <c r="F379"/>
  <c r="C379"/>
  <c r="K378"/>
  <c r="J378"/>
  <c r="G378"/>
  <c r="F378"/>
  <c r="C378"/>
  <c r="K377"/>
  <c r="J377"/>
  <c r="G377"/>
  <c r="F377"/>
  <c r="C377"/>
  <c r="K376"/>
  <c r="J376"/>
  <c r="G376"/>
  <c r="F376"/>
  <c r="C376"/>
  <c r="K375"/>
  <c r="J375"/>
  <c r="G375"/>
  <c r="F375"/>
  <c r="C375"/>
  <c r="K374"/>
  <c r="J374"/>
  <c r="G374"/>
  <c r="F374"/>
  <c r="C374"/>
  <c r="K373"/>
  <c r="C373"/>
  <c r="K372"/>
  <c r="J372"/>
  <c r="G372"/>
  <c r="F372"/>
  <c r="C372"/>
  <c r="K371"/>
  <c r="J371"/>
  <c r="G371"/>
  <c r="F371"/>
  <c r="C371"/>
  <c r="K370"/>
  <c r="C370"/>
  <c r="K369"/>
  <c r="J369"/>
  <c r="G369"/>
  <c r="F369"/>
  <c r="C369"/>
  <c r="K368"/>
  <c r="J368"/>
  <c r="G368"/>
  <c r="F368"/>
  <c r="C368"/>
  <c r="K367"/>
  <c r="C367"/>
  <c r="K366"/>
  <c r="J366"/>
  <c r="G366"/>
  <c r="F366"/>
  <c r="C366"/>
  <c r="K365"/>
  <c r="J365"/>
  <c r="G365"/>
  <c r="F365"/>
  <c r="C365"/>
  <c r="K364"/>
  <c r="J364"/>
  <c r="G364"/>
  <c r="F364"/>
  <c r="C364"/>
  <c r="K363"/>
  <c r="J363"/>
  <c r="G363"/>
  <c r="F363"/>
  <c r="C363"/>
  <c r="K362"/>
  <c r="J362"/>
  <c r="G362"/>
  <c r="F362"/>
  <c r="C362"/>
  <c r="K361"/>
  <c r="J361"/>
  <c r="G361"/>
  <c r="F361"/>
  <c r="C361"/>
  <c r="K360"/>
  <c r="J360"/>
  <c r="G360"/>
  <c r="F360"/>
  <c r="C360"/>
  <c r="K359"/>
  <c r="J359"/>
  <c r="G359"/>
  <c r="F359"/>
  <c r="C359"/>
  <c r="K358"/>
  <c r="J358"/>
  <c r="G358"/>
  <c r="F358"/>
  <c r="C358"/>
  <c r="K357"/>
  <c r="J357"/>
  <c r="G357"/>
  <c r="F357"/>
  <c r="C357"/>
  <c r="K356"/>
  <c r="J356"/>
  <c r="G356"/>
  <c r="F356"/>
  <c r="C356"/>
  <c r="K355"/>
  <c r="J355"/>
  <c r="G355"/>
  <c r="F355"/>
  <c r="C355"/>
  <c r="K354"/>
  <c r="J354"/>
  <c r="G354"/>
  <c r="F354"/>
  <c r="C354"/>
  <c r="K353"/>
  <c r="J353"/>
  <c r="G353"/>
  <c r="F353"/>
  <c r="C353"/>
  <c r="K352"/>
  <c r="J352"/>
  <c r="G352"/>
  <c r="F352"/>
  <c r="C352"/>
  <c r="K351"/>
  <c r="J351"/>
  <c r="G351"/>
  <c r="F351"/>
  <c r="C351"/>
  <c r="K350"/>
  <c r="J350"/>
  <c r="G350"/>
  <c r="F350"/>
  <c r="C350"/>
  <c r="K349"/>
  <c r="J349"/>
  <c r="G349"/>
  <c r="F349"/>
  <c r="C349"/>
  <c r="K348"/>
  <c r="J348"/>
  <c r="G348"/>
  <c r="F348"/>
  <c r="C348"/>
  <c r="K347"/>
  <c r="J347"/>
  <c r="G347"/>
  <c r="F347"/>
  <c r="C347"/>
  <c r="K346"/>
  <c r="J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J339"/>
  <c r="G339"/>
  <c r="F339"/>
  <c r="C339"/>
  <c r="K338"/>
  <c r="J338"/>
  <c r="G338"/>
  <c r="F338"/>
  <c r="C338"/>
  <c r="K337"/>
  <c r="J337"/>
  <c r="G337"/>
  <c r="F337"/>
  <c r="C337"/>
  <c r="K336"/>
  <c r="J336"/>
  <c r="G336"/>
  <c r="F336"/>
  <c r="C336"/>
  <c r="K335"/>
  <c r="J335"/>
  <c r="G335"/>
  <c r="F335"/>
  <c r="C335"/>
  <c r="K334"/>
  <c r="J334"/>
  <c r="G334"/>
  <c r="F334"/>
  <c r="C334"/>
  <c r="K333"/>
  <c r="J333"/>
  <c r="G333"/>
  <c r="F333"/>
  <c r="C333"/>
  <c r="K332"/>
  <c r="J332"/>
  <c r="G332"/>
  <c r="F332"/>
  <c r="C332"/>
  <c r="K331"/>
  <c r="J331"/>
  <c r="G331"/>
  <c r="F331"/>
  <c r="C331"/>
  <c r="K330"/>
  <c r="J330"/>
  <c r="G330"/>
  <c r="F330"/>
  <c r="C330"/>
  <c r="K329"/>
  <c r="J329"/>
  <c r="G329"/>
  <c r="F329"/>
  <c r="C329"/>
  <c r="K328"/>
  <c r="J328"/>
  <c r="G328"/>
  <c r="F328"/>
  <c r="C328"/>
  <c r="K327"/>
  <c r="J327"/>
  <c r="G327"/>
  <c r="F327"/>
  <c r="C327"/>
  <c r="K326"/>
  <c r="J326"/>
  <c r="G326"/>
  <c r="F326"/>
  <c r="C326"/>
  <c r="K325"/>
  <c r="J325"/>
  <c r="G325"/>
  <c r="F325"/>
  <c r="C325"/>
  <c r="K324"/>
  <c r="J324"/>
  <c r="G324"/>
  <c r="F324"/>
  <c r="C324"/>
  <c r="K323"/>
  <c r="J323"/>
  <c r="G323"/>
  <c r="F323"/>
  <c r="C323"/>
  <c r="K322"/>
  <c r="J322"/>
  <c r="G322"/>
  <c r="F322"/>
  <c r="C322"/>
  <c r="K321"/>
  <c r="J321"/>
  <c r="G321"/>
  <c r="F321"/>
  <c r="C321"/>
  <c r="K320"/>
  <c r="J320"/>
  <c r="G320"/>
  <c r="F320"/>
  <c r="C320"/>
  <c r="K319"/>
  <c r="C319"/>
  <c r="K318"/>
  <c r="J318"/>
  <c r="G318"/>
  <c r="F318"/>
  <c r="C318"/>
  <c r="K317"/>
  <c r="J317"/>
  <c r="G317"/>
  <c r="F317"/>
  <c r="C317"/>
  <c r="K316"/>
  <c r="J316"/>
  <c r="G316"/>
  <c r="F316"/>
  <c r="C316"/>
  <c r="K315"/>
  <c r="J315"/>
  <c r="G315"/>
  <c r="F315"/>
  <c r="C315"/>
  <c r="K314"/>
  <c r="J314"/>
  <c r="G314"/>
  <c r="F314"/>
  <c r="C314"/>
  <c r="K313"/>
  <c r="J313"/>
  <c r="G313"/>
  <c r="F313"/>
  <c r="C313"/>
  <c r="K312"/>
  <c r="J312"/>
  <c r="G312"/>
  <c r="F312"/>
  <c r="C312"/>
  <c r="K311"/>
  <c r="J311"/>
  <c r="G311"/>
  <c r="F311"/>
  <c r="C311"/>
  <c r="K310"/>
  <c r="J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J303"/>
  <c r="G303"/>
  <c r="F303"/>
  <c r="C303"/>
  <c r="K302"/>
  <c r="J302"/>
  <c r="G302"/>
  <c r="F302"/>
  <c r="C302"/>
  <c r="K301"/>
  <c r="J301"/>
  <c r="G301"/>
  <c r="F301"/>
  <c r="C301"/>
  <c r="K300"/>
  <c r="J300"/>
  <c r="G300"/>
  <c r="F300"/>
  <c r="C300"/>
  <c r="K299"/>
  <c r="J299"/>
  <c r="G299"/>
  <c r="F299"/>
  <c r="C299"/>
  <c r="K298"/>
  <c r="J298"/>
  <c r="G298"/>
  <c r="F298"/>
  <c r="C298"/>
  <c r="K297"/>
  <c r="J297"/>
  <c r="G297"/>
  <c r="F297"/>
  <c r="C297"/>
  <c r="K296"/>
  <c r="J296"/>
  <c r="G296"/>
  <c r="F296"/>
  <c r="C296"/>
  <c r="K295"/>
  <c r="J295"/>
  <c r="G295"/>
  <c r="F295"/>
  <c r="C295"/>
  <c r="K294"/>
  <c r="J294"/>
  <c r="G294"/>
  <c r="F294"/>
  <c r="C294"/>
  <c r="K293"/>
  <c r="J293"/>
  <c r="G293"/>
  <c r="F293"/>
  <c r="C293"/>
  <c r="K292"/>
  <c r="J292"/>
  <c r="G292"/>
  <c r="F292"/>
  <c r="C292"/>
  <c r="K291"/>
  <c r="J291"/>
  <c r="G291"/>
  <c r="F291"/>
  <c r="C291"/>
  <c r="K290"/>
  <c r="J290"/>
  <c r="G290"/>
  <c r="F290"/>
  <c r="C290"/>
  <c r="K289"/>
  <c r="J289"/>
  <c r="G289"/>
  <c r="F289"/>
  <c r="C289"/>
  <c r="K288"/>
  <c r="J288"/>
  <c r="G288"/>
  <c r="F288"/>
  <c r="C288"/>
  <c r="K287"/>
  <c r="J287"/>
  <c r="G287"/>
  <c r="F287"/>
  <c r="C287"/>
  <c r="K286"/>
  <c r="J286"/>
  <c r="G286"/>
  <c r="F286"/>
  <c r="C286"/>
  <c r="K285"/>
  <c r="J285"/>
  <c r="G285"/>
  <c r="F285"/>
  <c r="C285"/>
  <c r="K284"/>
  <c r="J284"/>
  <c r="G284"/>
  <c r="F284"/>
  <c r="C284"/>
  <c r="K283"/>
  <c r="J283"/>
  <c r="G283"/>
  <c r="F283"/>
  <c r="C283"/>
  <c r="K282"/>
  <c r="J282"/>
  <c r="G282"/>
  <c r="F282"/>
  <c r="C282"/>
  <c r="K281"/>
  <c r="J281"/>
  <c r="G281"/>
  <c r="F281"/>
  <c r="C281"/>
  <c r="K280"/>
  <c r="J280"/>
  <c r="G280"/>
  <c r="F280"/>
  <c r="C280"/>
  <c r="K279"/>
  <c r="J279"/>
  <c r="G279"/>
  <c r="F279"/>
  <c r="C279"/>
  <c r="K278"/>
  <c r="J278"/>
  <c r="G278"/>
  <c r="F278"/>
  <c r="C278"/>
  <c r="K277"/>
  <c r="J277"/>
  <c r="G277"/>
  <c r="F277"/>
  <c r="C277"/>
  <c r="K276"/>
  <c r="J276"/>
  <c r="G276"/>
  <c r="F276"/>
  <c r="C276"/>
  <c r="K275"/>
  <c r="J275"/>
  <c r="G275"/>
  <c r="F275"/>
  <c r="C275"/>
  <c r="K274"/>
  <c r="J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J269"/>
  <c r="G269"/>
  <c r="F269"/>
  <c r="C269"/>
  <c r="K268"/>
  <c r="J268"/>
  <c r="G268"/>
  <c r="F268"/>
  <c r="C268"/>
  <c r="K267"/>
  <c r="J267"/>
  <c r="G267"/>
  <c r="F267"/>
  <c r="C267"/>
  <c r="K266"/>
  <c r="J266"/>
  <c r="G266"/>
  <c r="F266"/>
  <c r="C266"/>
  <c r="K265"/>
  <c r="J265"/>
  <c r="G265"/>
  <c r="F265"/>
  <c r="C265"/>
  <c r="K264"/>
  <c r="J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J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J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J238"/>
  <c r="G238"/>
  <c r="F238"/>
  <c r="C238"/>
  <c r="K237"/>
  <c r="J237"/>
  <c r="G237"/>
  <c r="F237"/>
  <c r="C237"/>
  <c r="K236"/>
  <c r="J236"/>
  <c r="G236"/>
  <c r="F236"/>
  <c r="C236"/>
  <c r="K235"/>
  <c r="J235"/>
  <c r="G235"/>
  <c r="F235"/>
  <c r="C235"/>
  <c r="K234"/>
  <c r="J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J228"/>
  <c r="G228"/>
  <c r="F228"/>
  <c r="C228"/>
  <c r="K227"/>
  <c r="J227"/>
  <c r="G227"/>
  <c r="F227"/>
  <c r="C227"/>
  <c r="K226"/>
  <c r="J226"/>
  <c r="G226"/>
  <c r="F226"/>
  <c r="C226"/>
  <c r="K225"/>
  <c r="J225"/>
  <c r="G225"/>
  <c r="F225"/>
  <c r="C225"/>
  <c r="K224"/>
  <c r="J224"/>
  <c r="G224"/>
  <c r="F224"/>
  <c r="C224"/>
  <c r="K223"/>
  <c r="J223"/>
  <c r="G223"/>
  <c r="F223"/>
  <c r="C223"/>
  <c r="K222"/>
  <c r="J222"/>
  <c r="G222"/>
  <c r="F222"/>
  <c r="C222"/>
  <c r="K221"/>
  <c r="J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J206"/>
  <c r="G206"/>
  <c r="F206"/>
  <c r="C206"/>
  <c r="K205"/>
  <c r="J205"/>
  <c r="G205"/>
  <c r="F205"/>
  <c r="C205"/>
  <c r="K204"/>
  <c r="J204"/>
  <c r="G204"/>
  <c r="F204"/>
  <c r="C204"/>
  <c r="K203"/>
  <c r="J203"/>
  <c r="G203"/>
  <c r="F203"/>
  <c r="C203"/>
  <c r="K202"/>
  <c r="J202"/>
  <c r="G202"/>
  <c r="F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J197"/>
  <c r="G197"/>
  <c r="F197"/>
  <c r="C197"/>
  <c r="K196"/>
  <c r="J196"/>
  <c r="G196"/>
  <c r="F196"/>
  <c r="C196"/>
  <c r="K195"/>
  <c r="J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J191"/>
  <c r="G191"/>
  <c r="F191"/>
  <c r="C191"/>
  <c r="K190"/>
  <c r="J190"/>
  <c r="G190"/>
  <c r="F190"/>
  <c r="C190"/>
  <c r="K189"/>
  <c r="J189"/>
  <c r="G189"/>
  <c r="F189"/>
  <c r="C189"/>
  <c r="K188"/>
  <c r="J188"/>
  <c r="G188"/>
  <c r="F188"/>
  <c r="C188"/>
  <c r="K187"/>
  <c r="J187"/>
  <c r="G187"/>
  <c r="F187"/>
  <c r="C187"/>
  <c r="K186"/>
  <c r="J186"/>
  <c r="G186"/>
  <c r="F186"/>
  <c r="C186"/>
  <c r="K185"/>
  <c r="J185"/>
  <c r="G185"/>
  <c r="F185"/>
  <c r="C185"/>
  <c r="K184"/>
  <c r="J184"/>
  <c r="G184"/>
  <c r="F184"/>
  <c r="C184"/>
  <c r="K183"/>
  <c r="J183"/>
  <c r="G183"/>
  <c r="F183"/>
  <c r="C183"/>
  <c r="K182"/>
  <c r="J182"/>
  <c r="G182"/>
  <c r="F182"/>
  <c r="C182"/>
  <c r="K181"/>
  <c r="J181"/>
  <c r="G181"/>
  <c r="F181"/>
  <c r="C181"/>
  <c r="K180"/>
  <c r="J180"/>
  <c r="G180"/>
  <c r="F180"/>
  <c r="C180"/>
  <c r="K179"/>
  <c r="J179"/>
  <c r="G179"/>
  <c r="F179"/>
  <c r="C179"/>
  <c r="K178"/>
  <c r="J178"/>
  <c r="G178"/>
  <c r="F178"/>
  <c r="C178"/>
  <c r="K177"/>
  <c r="J177"/>
  <c r="G177"/>
  <c r="F177"/>
  <c r="C177"/>
  <c r="K176"/>
  <c r="J176"/>
  <c r="G176"/>
  <c r="F176"/>
  <c r="C176"/>
  <c r="K175"/>
  <c r="J175"/>
  <c r="G175"/>
  <c r="F175"/>
  <c r="C175"/>
  <c r="K174"/>
  <c r="J174"/>
  <c r="G174"/>
  <c r="F174"/>
  <c r="C174"/>
  <c r="K173"/>
  <c r="J173"/>
  <c r="G173"/>
  <c r="F173"/>
  <c r="C173"/>
  <c r="K172"/>
  <c r="J172"/>
  <c r="G172"/>
  <c r="F172"/>
  <c r="C172"/>
  <c r="K171"/>
  <c r="J171"/>
  <c r="G171"/>
  <c r="F171"/>
  <c r="C171"/>
  <c r="K170"/>
  <c r="J170"/>
  <c r="G170"/>
  <c r="F170"/>
  <c r="C170"/>
  <c r="K169"/>
  <c r="J169"/>
  <c r="G169"/>
  <c r="F169"/>
  <c r="C169"/>
  <c r="K168"/>
  <c r="J168"/>
  <c r="G168"/>
  <c r="F168"/>
  <c r="C168"/>
  <c r="K167"/>
  <c r="J167"/>
  <c r="G167"/>
  <c r="F167"/>
  <c r="C167"/>
  <c r="K166"/>
  <c r="J166"/>
  <c r="G166"/>
  <c r="F166"/>
  <c r="C166"/>
  <c r="K165"/>
  <c r="J165"/>
  <c r="G165"/>
  <c r="F165"/>
  <c r="C165"/>
  <c r="K164"/>
  <c r="J164"/>
  <c r="G164"/>
  <c r="F164"/>
  <c r="C164"/>
  <c r="K163"/>
  <c r="J163"/>
  <c r="G163"/>
  <c r="F163"/>
  <c r="C163"/>
  <c r="K162"/>
  <c r="J162"/>
  <c r="G162"/>
  <c r="F162"/>
  <c r="C162"/>
  <c r="K161"/>
  <c r="J161"/>
  <c r="G161"/>
  <c r="F161"/>
  <c r="C161"/>
  <c r="K160"/>
  <c r="J160"/>
  <c r="G160"/>
  <c r="F160"/>
  <c r="C160"/>
  <c r="K159"/>
  <c r="J159"/>
  <c r="G159"/>
  <c r="F159"/>
  <c r="C159"/>
  <c r="K158"/>
  <c r="J158"/>
  <c r="G158"/>
  <c r="F158"/>
  <c r="C158"/>
  <c r="K157"/>
  <c r="J157"/>
  <c r="G157"/>
  <c r="F157"/>
  <c r="C157"/>
  <c r="K156"/>
  <c r="J156"/>
  <c r="G156"/>
  <c r="F156"/>
  <c r="C156"/>
  <c r="K155"/>
  <c r="J155"/>
  <c r="G155"/>
  <c r="F155"/>
  <c r="C155"/>
  <c r="K154"/>
  <c r="J154"/>
  <c r="G154"/>
  <c r="F154"/>
  <c r="C154"/>
  <c r="K153"/>
  <c r="J153"/>
  <c r="G153"/>
  <c r="F153"/>
  <c r="C153"/>
  <c r="K152"/>
  <c r="J152"/>
  <c r="G152"/>
  <c r="F152"/>
  <c r="C152"/>
  <c r="K151"/>
  <c r="J151"/>
  <c r="G151"/>
  <c r="F151"/>
  <c r="C151"/>
  <c r="K150"/>
  <c r="J150"/>
  <c r="G150"/>
  <c r="F150"/>
  <c r="C150"/>
  <c r="K149"/>
  <c r="J149"/>
  <c r="G149"/>
  <c r="F149"/>
  <c r="C149"/>
  <c r="K148"/>
  <c r="J148"/>
  <c r="G148"/>
  <c r="F148"/>
  <c r="C148"/>
  <c r="K147"/>
  <c r="J147"/>
  <c r="G147"/>
  <c r="F147"/>
  <c r="C147"/>
  <c r="K146"/>
  <c r="J146"/>
  <c r="G146"/>
  <c r="F146"/>
  <c r="C146"/>
  <c r="K145"/>
  <c r="J145"/>
  <c r="G145"/>
  <c r="F145"/>
  <c r="C145"/>
  <c r="K144"/>
  <c r="J144"/>
  <c r="G144"/>
  <c r="F144"/>
  <c r="C144"/>
  <c r="K143"/>
  <c r="J143"/>
  <c r="G143"/>
  <c r="F143"/>
  <c r="C143"/>
  <c r="K142"/>
  <c r="J142"/>
  <c r="G142"/>
  <c r="F142"/>
  <c r="C142"/>
  <c r="K141"/>
  <c r="J141"/>
  <c r="G141"/>
  <c r="F141"/>
  <c r="C141"/>
  <c r="K140"/>
  <c r="J140"/>
  <c r="G140"/>
  <c r="F140"/>
  <c r="C140"/>
  <c r="K139"/>
  <c r="J139"/>
  <c r="G139"/>
  <c r="F139"/>
  <c r="C139"/>
  <c r="K138"/>
  <c r="J138"/>
  <c r="G138"/>
  <c r="F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J131"/>
  <c r="G131"/>
  <c r="F131"/>
  <c r="C131"/>
  <c r="K130"/>
  <c r="J130"/>
  <c r="G130"/>
  <c r="F130"/>
  <c r="C130"/>
  <c r="K129"/>
  <c r="J129"/>
  <c r="G129"/>
  <c r="F129"/>
  <c r="C129"/>
  <c r="K128"/>
  <c r="J128"/>
  <c r="G128"/>
  <c r="F128"/>
  <c r="C128"/>
  <c r="K127"/>
  <c r="J127"/>
  <c r="G127"/>
  <c r="F127"/>
  <c r="C127"/>
  <c r="K126"/>
  <c r="J126"/>
  <c r="G126"/>
  <c r="F126"/>
  <c r="C126"/>
  <c r="K125"/>
  <c r="J125"/>
  <c r="G125"/>
  <c r="F125"/>
  <c r="C125"/>
  <c r="K124"/>
  <c r="J124"/>
  <c r="G124"/>
  <c r="F124"/>
  <c r="C124"/>
  <c r="K123"/>
  <c r="J123"/>
  <c r="G123"/>
  <c r="F123"/>
  <c r="C123"/>
  <c r="K122"/>
  <c r="J122"/>
  <c r="G122"/>
  <c r="F122"/>
  <c r="C122"/>
  <c r="K121"/>
  <c r="J121"/>
  <c r="G121"/>
  <c r="F121"/>
  <c r="C121"/>
  <c r="K120"/>
  <c r="J120"/>
  <c r="G120"/>
  <c r="F120"/>
  <c r="C120"/>
  <c r="K119"/>
  <c r="J119"/>
  <c r="G119"/>
  <c r="F119"/>
  <c r="C119"/>
  <c r="K118"/>
  <c r="J118"/>
  <c r="G118"/>
  <c r="F118"/>
  <c r="C118"/>
  <c r="K117"/>
  <c r="J117"/>
  <c r="G117"/>
  <c r="F117"/>
  <c r="C117"/>
  <c r="K116"/>
  <c r="J116"/>
  <c r="G116"/>
  <c r="F116"/>
  <c r="C116"/>
  <c r="K115"/>
  <c r="J115"/>
  <c r="G115"/>
  <c r="F115"/>
  <c r="C115"/>
  <c r="K114"/>
  <c r="J114"/>
  <c r="G114"/>
  <c r="F114"/>
  <c r="C114"/>
  <c r="K113"/>
  <c r="J113"/>
  <c r="G113"/>
  <c r="F113"/>
  <c r="C113"/>
  <c r="K112"/>
  <c r="J112"/>
  <c r="G112"/>
  <c r="F112"/>
  <c r="C112"/>
  <c r="K111"/>
  <c r="J111"/>
  <c r="G111"/>
  <c r="F111"/>
  <c r="C111"/>
  <c r="K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K105"/>
  <c r="J105"/>
  <c r="G105"/>
  <c r="F105"/>
  <c r="C105"/>
  <c r="K104"/>
  <c r="J104"/>
  <c r="G104"/>
  <c r="F104"/>
  <c r="C104"/>
  <c r="K103"/>
  <c r="J103"/>
  <c r="G103"/>
  <c r="F103"/>
  <c r="C103"/>
  <c r="K102"/>
  <c r="J102"/>
  <c r="G102"/>
  <c r="F102"/>
  <c r="C102"/>
  <c r="K101"/>
  <c r="C101"/>
  <c r="K100"/>
  <c r="J100"/>
  <c r="G100"/>
  <c r="F100"/>
  <c r="C100"/>
  <c r="K99"/>
  <c r="J99"/>
  <c r="G99"/>
  <c r="F99"/>
  <c r="C99"/>
  <c r="K98"/>
  <c r="J98"/>
  <c r="G98"/>
  <c r="F98"/>
  <c r="C98"/>
  <c r="K97"/>
  <c r="J97"/>
  <c r="G97"/>
  <c r="F97"/>
  <c r="C97"/>
  <c r="K96"/>
  <c r="J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J91"/>
  <c r="G91"/>
  <c r="F91"/>
  <c r="C91"/>
  <c r="K90"/>
  <c r="J90"/>
  <c r="G90"/>
  <c r="F90"/>
  <c r="C90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J85"/>
  <c r="G85"/>
  <c r="F85"/>
  <c r="C85"/>
  <c r="K84"/>
  <c r="J84"/>
  <c r="G84"/>
  <c r="F84"/>
  <c r="C84"/>
  <c r="K83"/>
  <c r="J83"/>
  <c r="G83"/>
  <c r="F83"/>
  <c r="C83"/>
  <c r="K82"/>
  <c r="J82"/>
  <c r="G82"/>
  <c r="F82"/>
  <c r="C82"/>
  <c r="K81"/>
  <c r="J81"/>
  <c r="G81"/>
  <c r="F81"/>
  <c r="C81"/>
  <c r="K80"/>
  <c r="J80"/>
  <c r="G80"/>
  <c r="F80"/>
  <c r="C80"/>
  <c r="K79"/>
  <c r="J79"/>
  <c r="G79"/>
  <c r="F79"/>
  <c r="C79"/>
  <c r="K78"/>
  <c r="J78"/>
  <c r="G78"/>
  <c r="F78"/>
  <c r="C78"/>
  <c r="K77"/>
  <c r="J77"/>
  <c r="G77"/>
  <c r="F77"/>
  <c r="C77"/>
  <c r="K76"/>
  <c r="J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J69"/>
  <c r="G69"/>
  <c r="F69"/>
  <c r="C69"/>
  <c r="K68"/>
  <c r="J68"/>
  <c r="G68"/>
  <c r="F68"/>
  <c r="C68"/>
  <c r="K67"/>
  <c r="J67"/>
  <c r="G67"/>
  <c r="F67"/>
  <c r="C67"/>
  <c r="K66"/>
  <c r="J66"/>
  <c r="G66"/>
  <c r="F66"/>
  <c r="C66"/>
  <c r="K65"/>
  <c r="J65"/>
  <c r="G65"/>
  <c r="F65"/>
  <c r="C65"/>
  <c r="K64"/>
  <c r="J64"/>
  <c r="G64"/>
  <c r="F64"/>
  <c r="C64"/>
  <c r="K63"/>
  <c r="J63"/>
  <c r="G63"/>
  <c r="F63"/>
  <c r="C63"/>
  <c r="K62"/>
  <c r="J62"/>
  <c r="G62"/>
  <c r="F62"/>
  <c r="C62"/>
  <c r="K61"/>
  <c r="J61"/>
  <c r="G61"/>
  <c r="F61"/>
  <c r="C61"/>
  <c r="K60"/>
  <c r="J60"/>
  <c r="G60"/>
  <c r="F60"/>
  <c r="C60"/>
  <c r="K59"/>
  <c r="J59"/>
  <c r="G59"/>
  <c r="F59"/>
  <c r="C59"/>
  <c r="K58"/>
  <c r="J58"/>
  <c r="G58"/>
  <c r="F58"/>
  <c r="C58"/>
  <c r="K57"/>
  <c r="J57"/>
  <c r="G57"/>
  <c r="F57"/>
  <c r="C57"/>
  <c r="K56"/>
  <c r="J56"/>
  <c r="G56"/>
  <c r="F56"/>
  <c r="C56"/>
  <c r="K55"/>
  <c r="J55"/>
  <c r="G55"/>
  <c r="F55"/>
  <c r="C55"/>
  <c r="K54"/>
  <c r="J54"/>
  <c r="G54"/>
  <c r="F54"/>
  <c r="C54"/>
  <c r="K53"/>
  <c r="J53"/>
  <c r="G53"/>
  <c r="F53"/>
  <c r="C53"/>
  <c r="K52"/>
  <c r="J52"/>
  <c r="G52"/>
  <c r="F52"/>
  <c r="C52"/>
  <c r="K51"/>
  <c r="J51"/>
  <c r="G51"/>
  <c r="F51"/>
  <c r="C51"/>
  <c r="K50"/>
  <c r="J50"/>
  <c r="G50"/>
  <c r="F50"/>
  <c r="C50"/>
  <c r="K49"/>
  <c r="J49"/>
  <c r="G49"/>
  <c r="F49"/>
  <c r="C49"/>
  <c r="K48"/>
  <c r="J48"/>
  <c r="G48"/>
  <c r="F48"/>
  <c r="C48"/>
  <c r="K47"/>
  <c r="J47"/>
  <c r="G47"/>
  <c r="F47"/>
  <c r="C47"/>
  <c r="K46"/>
  <c r="J46"/>
  <c r="G46"/>
  <c r="F46"/>
  <c r="C46"/>
  <c r="K45"/>
  <c r="J45"/>
  <c r="G45"/>
  <c r="F45"/>
  <c r="C45"/>
  <c r="K44"/>
  <c r="J44"/>
  <c r="G44"/>
  <c r="F44"/>
  <c r="C44"/>
  <c r="K43"/>
  <c r="J43"/>
  <c r="G43"/>
  <c r="F43"/>
  <c r="C43"/>
  <c r="K42"/>
  <c r="J42"/>
  <c r="G42"/>
  <c r="F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J30"/>
  <c r="G30"/>
  <c r="F30"/>
  <c r="C30"/>
  <c r="K29"/>
  <c r="J29"/>
  <c r="G29"/>
  <c r="F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J24"/>
  <c r="G24"/>
  <c r="F24"/>
  <c r="C24"/>
  <c r="K23"/>
  <c r="J23"/>
  <c r="G23"/>
  <c r="F23"/>
  <c r="C23"/>
  <c r="K22"/>
  <c r="J22"/>
  <c r="G22"/>
  <c r="F22"/>
  <c r="C22"/>
  <c r="K21"/>
  <c r="J21"/>
  <c r="G21"/>
  <c r="F21"/>
  <c r="C21"/>
  <c r="K20"/>
  <c r="J20"/>
  <c r="G20"/>
  <c r="F20"/>
  <c r="C20"/>
  <c r="K19"/>
  <c r="J19"/>
  <c r="G19"/>
  <c r="F19"/>
  <c r="C19"/>
  <c r="K18"/>
  <c r="J18"/>
  <c r="G18"/>
  <c r="F18"/>
  <c r="C18"/>
  <c r="K17"/>
  <c r="J17"/>
  <c r="G17"/>
  <c r="F17"/>
  <c r="C17"/>
  <c r="K16"/>
  <c r="J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J12"/>
  <c r="G12"/>
  <c r="F12"/>
  <c r="C12"/>
  <c r="K11"/>
  <c r="J11"/>
  <c r="G11"/>
  <c r="F11"/>
  <c r="C11"/>
  <c r="K10"/>
  <c r="J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</calcChain>
</file>

<file path=xl/sharedStrings.xml><?xml version="1.0" encoding="utf-8"?>
<sst xmlns="http://schemas.openxmlformats.org/spreadsheetml/2006/main" count="16334" uniqueCount="1693">
  <si>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</si>
  <si>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</si>
  <si>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</si>
  <si>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</si>
  <si>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C17924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</si>
  <si>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</si>
  <si>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</si>
  <si>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</si>
  <si>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</si>
  <si>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</si>
  <si>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</si>
  <si>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</si>
  <si>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</si>
  <si>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</si>
  <si>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</si>
  <si>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</si>
  <si>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</si>
  <si>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</si>
  <si>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</si>
  <si>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</si>
  <si>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MAHLE BEHR SOUTH AFRCA (PTY) LTD        </t>
  </si>
  <si>
    <t>JNB</t>
  </si>
  <si>
    <t>NEW GERMANY</t>
  </si>
  <si>
    <t xml:space="preserve">TECHNICRETE ISG                         </t>
  </si>
  <si>
    <t>OLIFANTSFONTEIN</t>
  </si>
  <si>
    <t xml:space="preserve">EBERSPACHER SOUTH AFRICA (PTY) LTD      </t>
  </si>
  <si>
    <t>DEAL PARTY</t>
  </si>
  <si>
    <t xml:space="preserve">ADCOCK INGRSM CRITICAL CARE PTY LTD     </t>
  </si>
  <si>
    <t>AEROTON</t>
  </si>
  <si>
    <t xml:space="preserve">SUNNY MACHINES MANUFACTURING PTY LTD    </t>
  </si>
  <si>
    <t>WITFIELD</t>
  </si>
  <si>
    <t xml:space="preserve">M &amp; I PROJECTS                          </t>
  </si>
  <si>
    <t>SPARTAN</t>
  </si>
  <si>
    <t xml:space="preserve">BEARING MAN GROUP                       </t>
  </si>
  <si>
    <t>DROSTE PARK</t>
  </si>
  <si>
    <t xml:space="preserve">PG BISON A DIV OF KAP DIVERSIFIED       </t>
  </si>
  <si>
    <t>BOKSBURG</t>
  </si>
  <si>
    <t xml:space="preserve">STRATEGY ELECTRICAL                     </t>
  </si>
  <si>
    <t>ISANDO</t>
  </si>
  <si>
    <t xml:space="preserve">HYDROMATIC                              </t>
  </si>
  <si>
    <t>PAARDENEILAND</t>
  </si>
  <si>
    <t xml:space="preserve">PG BISON PTY LTD UGIE BOARD PLANT       </t>
  </si>
  <si>
    <t>UGIE</t>
  </si>
  <si>
    <t xml:space="preserve">HARVARD PROJECTS                        </t>
  </si>
  <si>
    <t>MARAISBURG</t>
  </si>
  <si>
    <t xml:space="preserve">QUALITECHS                              </t>
  </si>
  <si>
    <t>STEELEDALE</t>
  </si>
  <si>
    <t xml:space="preserve">PFG BUILDING GLASS                      </t>
  </si>
  <si>
    <t>NEW ERA</t>
  </si>
  <si>
    <t xml:space="preserve">BAGTECH INTERNATIONAL PTY LTD           </t>
  </si>
  <si>
    <t>MAYDON WHARF</t>
  </si>
  <si>
    <t xml:space="preserve">SHATTERPRUFE TRADING AS A               </t>
  </si>
  <si>
    <t>STRUANDALE</t>
  </si>
  <si>
    <t xml:space="preserve">ASPEN NUTRITIONALS                      </t>
  </si>
  <si>
    <t>CLAYVILLE</t>
  </si>
  <si>
    <t xml:space="preserve">ROMATEX HOME TEXTILES PTY LTD           </t>
  </si>
  <si>
    <t>MOBENI</t>
  </si>
  <si>
    <t xml:space="preserve">RAINBOW FARMS PTY LTD P2                </t>
  </si>
  <si>
    <t>HAMMARSDALE</t>
  </si>
  <si>
    <t xml:space="preserve">CTP WEB PRINTERS JOHANNESBURG           </t>
  </si>
  <si>
    <t xml:space="preserve">BADER SA PTY LTD                        </t>
  </si>
  <si>
    <t>GARANKUWA</t>
  </si>
  <si>
    <t xml:space="preserve">HYFLO SOUTHERN AFRICA (PTY) LTD         </t>
  </si>
  <si>
    <t xml:space="preserve">MAVTECH                                 </t>
  </si>
  <si>
    <t>ROOIHUISKRAAL</t>
  </si>
  <si>
    <t xml:space="preserve">BEVCAN                                  </t>
  </si>
  <si>
    <t>NUFFIELD</t>
  </si>
  <si>
    <t xml:space="preserve">MSG SYSTEMS                             </t>
  </si>
  <si>
    <t>PORT ELIZABETH</t>
  </si>
  <si>
    <t xml:space="preserve">CSM ENGINEERING CC                      </t>
  </si>
  <si>
    <t>CENTURION</t>
  </si>
  <si>
    <t xml:space="preserve">TENNECO RIDE CONTROL SA                 </t>
  </si>
  <si>
    <t xml:space="preserve">RICCLA 1715 T/A PCISA                   </t>
  </si>
  <si>
    <t>SPRINGFIELD</t>
  </si>
  <si>
    <t xml:space="preserve">ALBANY BAKERY RANDFONTEIN               </t>
  </si>
  <si>
    <t>RANDFONTEIN</t>
  </si>
  <si>
    <t xml:space="preserve">PREMIER FMCG (PTY) LTD                  </t>
  </si>
  <si>
    <t>KROONSTAD</t>
  </si>
  <si>
    <t xml:space="preserve">HACKMACK ENTERPRISES                    </t>
  </si>
  <si>
    <t>ARCADIA</t>
  </si>
  <si>
    <t xml:space="preserve">UNILIVER SA PTY LTD                     </t>
  </si>
  <si>
    <t xml:space="preserve">EAST RAND PLASTIC (PTY)L T D            </t>
  </si>
  <si>
    <t>VULCANIA</t>
  </si>
  <si>
    <t xml:space="preserve">THE SAB BREWERIES LTD                   </t>
  </si>
  <si>
    <t>ALRODE</t>
  </si>
  <si>
    <t xml:space="preserve">T M ENGINEERING                         </t>
  </si>
  <si>
    <t>RANDBURG</t>
  </si>
  <si>
    <t xml:space="preserve">PMD PACKAGING SYSTEMS                   </t>
  </si>
  <si>
    <t>MULDERSDRIF</t>
  </si>
  <si>
    <t xml:space="preserve">DISTELL                                 </t>
  </si>
  <si>
    <t>WADEVILLE</t>
  </si>
  <si>
    <t xml:space="preserve">TIGER BRANDS SNACKS , TREANTS BEVERAGES </t>
  </si>
  <si>
    <t>ROODEKOP</t>
  </si>
  <si>
    <t xml:space="preserve">THE HYDRAULIC CENTRE CC                 </t>
  </si>
  <si>
    <t>ROBERTVILLE</t>
  </si>
  <si>
    <t xml:space="preserve">BREWBEV                                 </t>
  </si>
  <si>
    <t xml:space="preserve">NEOPAK PTY LTD                          </t>
  </si>
  <si>
    <t xml:space="preserve">DORMAS                                  </t>
  </si>
  <si>
    <t>BOOYSENS RESERVE</t>
  </si>
  <si>
    <t xml:space="preserve">AEL MINING SERVICES LIMITED             </t>
  </si>
  <si>
    <t>MODDERFONTEIN</t>
  </si>
  <si>
    <t xml:space="preserve">PETER MILLER &amp; DAD                      </t>
  </si>
  <si>
    <t>MOREHILL</t>
  </si>
  <si>
    <t xml:space="preserve">NATIONAL METROLOGY INSTITUTE OF SA T/A  </t>
  </si>
  <si>
    <t>BRUMMERIA</t>
  </si>
  <si>
    <t xml:space="preserve">VIPRO STORE                             </t>
  </si>
  <si>
    <t>PRETORIA</t>
  </si>
  <si>
    <t xml:space="preserve">LAFARGE INDUSTRIES SA                   </t>
  </si>
  <si>
    <t xml:space="preserve">DIVFOOD A DIV OF NAMPAK PRODUCTS LTD    </t>
  </si>
  <si>
    <t>VANDERBIJLPARK</t>
  </si>
  <si>
    <t xml:space="preserve">FOXOLUTION SYSTEMS ENG CC               </t>
  </si>
  <si>
    <t>SUNNYDALE</t>
  </si>
  <si>
    <t xml:space="preserve">SOUTHERN PULP MACHINERY                 </t>
  </si>
  <si>
    <t>SOMERSET WEST</t>
  </si>
  <si>
    <t xml:space="preserve">MARTIN &amp; MARTIN (PTY) LTD               </t>
  </si>
  <si>
    <t>NDABENI</t>
  </si>
  <si>
    <t xml:space="preserve">GAS AT SITE PTY LTD                     </t>
  </si>
  <si>
    <t>KUILS RIVER</t>
  </si>
  <si>
    <t xml:space="preserve">AMS BEARING CC                          </t>
  </si>
  <si>
    <t>JACOBS</t>
  </si>
  <si>
    <t xml:space="preserve">BREEDEVALLEY HAYDRAULICS CC T/A         </t>
  </si>
  <si>
    <t>WORCESTER</t>
  </si>
  <si>
    <t xml:space="preserve">DE BEERS CONSOLIDATED MINES             </t>
  </si>
  <si>
    <t xml:space="preserve">PIONEER FOOD T/A BOKOMO FOOD CLAYVILLE  </t>
  </si>
  <si>
    <t xml:space="preserve">DYKON ENGINEERING (PTY) LTD             </t>
  </si>
  <si>
    <t>HUGUENOT</t>
  </si>
  <si>
    <t xml:space="preserve">KDP HYDRAULIC SERVICES &amp; ENG CC         </t>
  </si>
  <si>
    <t xml:space="preserve">BIO CAPSULE PHARMACEUTICALS             </t>
  </si>
  <si>
    <t>DIEP RIVER</t>
  </si>
  <si>
    <t xml:space="preserve">H.G MOLENAAR (PTY) LTD                  </t>
  </si>
  <si>
    <t>PAARL</t>
  </si>
  <si>
    <t xml:space="preserve">MCCAIN FOOD SOUTH AFRICA PTY LTD        </t>
  </si>
  <si>
    <t>DELMAS EXT 1</t>
  </si>
  <si>
    <t xml:space="preserve">Rand Refinery                           </t>
  </si>
  <si>
    <t>Germiston</t>
  </si>
  <si>
    <t xml:space="preserve">FIDELITY ELECTRONIC SOLUTION            </t>
  </si>
  <si>
    <t>WALTLOO</t>
  </si>
  <si>
    <t xml:space="preserve">MPACT BRITS PLASTICC CONTAINERS         </t>
  </si>
  <si>
    <t>BRITS</t>
  </si>
  <si>
    <t xml:space="preserve">SHATTERPRUFE TRADING                    </t>
  </si>
  <si>
    <t xml:space="preserve">CAPE GATE                               </t>
  </si>
  <si>
    <t xml:space="preserve">BRITISH AMERICAN TOBACCO SA (PTY) LTD   </t>
  </si>
  <si>
    <t>HEIDELBERG</t>
  </si>
  <si>
    <t xml:space="preserve">RCL FOODS CONSUMER PTY                  </t>
  </si>
  <si>
    <t xml:space="preserve">CHANLOU TRADING CC                      </t>
  </si>
  <si>
    <t>RAYTON</t>
  </si>
  <si>
    <t xml:space="preserve">ACEPAK PACKAGING SYSTEMS                </t>
  </si>
  <si>
    <t>MONTAGUE GARDENS</t>
  </si>
  <si>
    <t xml:space="preserve">FAIR CAPE DAIRIES (PTY) LTD             </t>
  </si>
  <si>
    <t>KILLARNEY GARDENS</t>
  </si>
  <si>
    <t xml:space="preserve">CTP PRINTERS CPT                        </t>
  </si>
  <si>
    <t>PAROW</t>
  </si>
  <si>
    <t xml:space="preserve">FLUID CONTROL SERVICES CC               </t>
  </si>
  <si>
    <t>GLENANDA</t>
  </si>
  <si>
    <t xml:space="preserve">FILMATIC PACKAGING SYSTEM (PTY) LTD     </t>
  </si>
  <si>
    <t xml:space="preserve">G.R.W ENGINEERING (PTY) LTD             </t>
  </si>
  <si>
    <t xml:space="preserve">SENMIN ITERNATIONAL PTY LTD             </t>
  </si>
  <si>
    <t>SASOLBURG</t>
  </si>
  <si>
    <t xml:space="preserve">ALL ENGINEERING SERVICES CC             </t>
  </si>
  <si>
    <t>MUIZENBERG</t>
  </si>
  <si>
    <t xml:space="preserve">ATLANTIS FOUNDRY                        </t>
  </si>
  <si>
    <t>ATLANTIS</t>
  </si>
  <si>
    <t xml:space="preserve">SANMIK AGENCIES CC                      </t>
  </si>
  <si>
    <t>GEORGE INDUSTRIA</t>
  </si>
  <si>
    <t xml:space="preserve">CIM SYSTEMS                             </t>
  </si>
  <si>
    <t xml:space="preserve">VOLKSWAGEN OF SA                        </t>
  </si>
  <si>
    <t>UITENHAGE</t>
  </si>
  <si>
    <t xml:space="preserve">ILLOVO SUGAR LTD-ESTON MILL             </t>
  </si>
  <si>
    <t>MOUNT EDGECOMBE</t>
  </si>
  <si>
    <t xml:space="preserve">ISIPINGO READINGMIX                     </t>
  </si>
  <si>
    <t>ISIPINGO</t>
  </si>
  <si>
    <t xml:space="preserve">BULK TECHNIK CC                         </t>
  </si>
  <si>
    <t>NORTHCLIFF</t>
  </si>
  <si>
    <t xml:space="preserve">KRONES SA PTY LTD                       </t>
  </si>
  <si>
    <t>NORTH RIDING</t>
  </si>
  <si>
    <t xml:space="preserve">COMPRESSED AIR EQUIPMENT                </t>
  </si>
  <si>
    <t xml:space="preserve">BMW PLANT                               </t>
  </si>
  <si>
    <t>ROSSLYN</t>
  </si>
  <si>
    <t xml:space="preserve">HULAMIN OPERATIONTS PTY LTD             </t>
  </si>
  <si>
    <t>PIETERMARITZBURG</t>
  </si>
  <si>
    <t xml:space="preserve">FILTEC AUTOMATION PTY LTD               </t>
  </si>
  <si>
    <t xml:space="preserve">CLIFFORD WELDING SYSTEMS PTY LTD        </t>
  </si>
  <si>
    <t xml:space="preserve">UTILITY SYSTEM                          </t>
  </si>
  <si>
    <t>DURBAN</t>
  </si>
  <si>
    <t xml:space="preserve">JENDAMARK AUTOMATION PTY LTD            </t>
  </si>
  <si>
    <t>NORTH END</t>
  </si>
  <si>
    <t xml:space="preserve">HYDROMATIC ENTERPRISES PTY LTD          </t>
  </si>
  <si>
    <t>MARBURG</t>
  </si>
  <si>
    <t xml:space="preserve">WOOL TESTING BUREAU SA                  </t>
  </si>
  <si>
    <t>SUMMERSTRAND</t>
  </si>
  <si>
    <t xml:space="preserve">CONTINENTAL TYRE SA                     </t>
  </si>
  <si>
    <t xml:space="preserve">FAIRFIELD DAIRY PTY LTD                 </t>
  </si>
  <si>
    <t>HOWICK</t>
  </si>
  <si>
    <t xml:space="preserve">KANSAI PLASCON (PTY) LTD                </t>
  </si>
  <si>
    <t xml:space="preserve">RHEEM SA PTY LTD                        </t>
  </si>
  <si>
    <t xml:space="preserve">CAXTON WORKS                            </t>
  </si>
  <si>
    <t>INDUSTRIA</t>
  </si>
  <si>
    <t xml:space="preserve">B.T. ENTERPRISES                        </t>
  </si>
  <si>
    <t>ORMONDE</t>
  </si>
  <si>
    <t xml:space="preserve">TECHNIKON LABORATORIES (PTY)LTD         </t>
  </si>
  <si>
    <t>FLORIDA</t>
  </si>
  <si>
    <t xml:space="preserve">NEXTUBE PTY LTD                         </t>
  </si>
  <si>
    <t>KYA SAND</t>
  </si>
  <si>
    <t xml:space="preserve">RHEEM S.A PTY LTD                       </t>
  </si>
  <si>
    <t xml:space="preserve">JOHNSON MATTHEY PTY LTD                 </t>
  </si>
  <si>
    <t>GERMISTON SOUTH</t>
  </si>
  <si>
    <t xml:space="preserve">SMITHS PLASTICS PTY LTD                 </t>
  </si>
  <si>
    <t xml:space="preserve">GENERAL PNEUMATICS NATAL PTY LTD        </t>
  </si>
  <si>
    <t xml:space="preserve">INNOVATIVE MINING PRODUCTS (PTY)LTD     </t>
  </si>
  <si>
    <t xml:space="preserve">BIC SA PTY LTD                          </t>
  </si>
  <si>
    <t xml:space="preserve">AUTO INDUSTRIAL MACHINING               </t>
  </si>
  <si>
    <t>TIGER BRANDS SNACKS &amp; TREATS &amp; BEVERAGES</t>
  </si>
  <si>
    <t xml:space="preserve">AFRISAM SA                              </t>
  </si>
  <si>
    <t>ROODEPOORT</t>
  </si>
  <si>
    <t xml:space="preserve">METIER MIXED CONCRETE                   </t>
  </si>
  <si>
    <t>PHOENIX</t>
  </si>
  <si>
    <t xml:space="preserve">THE HYDRAULIC CONNECTION                </t>
  </si>
  <si>
    <t>EDENVALE</t>
  </si>
  <si>
    <t xml:space="preserve">MONDI LIMITED                           </t>
  </si>
  <si>
    <t>MEREBANK</t>
  </si>
  <si>
    <t xml:space="preserve">CONSOL GLASS                            </t>
  </si>
  <si>
    <t xml:space="preserve">PAARL MEDIA (PTY) LTD                   </t>
  </si>
  <si>
    <t>MILNERTON</t>
  </si>
  <si>
    <t xml:space="preserve">NEOPAK                                  </t>
  </si>
  <si>
    <t>EPPING INDUSTRIAL</t>
  </si>
  <si>
    <t xml:space="preserve">CONSOL GLASS (PTY) LTD                  </t>
  </si>
  <si>
    <t>BELLVILLE SOUTH</t>
  </si>
  <si>
    <t xml:space="preserve">PBA ENGINEERING                         </t>
  </si>
  <si>
    <t>PAROW INDUSTRIA</t>
  </si>
  <si>
    <t xml:space="preserve">NIORO PLASTICS                          </t>
  </si>
  <si>
    <t>BLACKHEATH</t>
  </si>
  <si>
    <t xml:space="preserve">JFE ELECTRONIC ENGINEERING              </t>
  </si>
  <si>
    <t>BEACONVALE</t>
  </si>
  <si>
    <t xml:space="preserve">NESTLE SOUTH AFRICA (PTY) LTD           </t>
  </si>
  <si>
    <t>EAST LONDON</t>
  </si>
  <si>
    <t xml:space="preserve">HANDI-PAK                               </t>
  </si>
  <si>
    <t>STRAND</t>
  </si>
  <si>
    <t xml:space="preserve">MERCEDES BENZ SOUTH AFRICA LIMITED      </t>
  </si>
  <si>
    <t>GATELY TSP</t>
  </si>
  <si>
    <t xml:space="preserve">FLEXICON AFRICA PTY LTD                 </t>
  </si>
  <si>
    <t>NEAVE TSP</t>
  </si>
  <si>
    <t xml:space="preserve">AUTOMATION WORKS CAPE PTY LTD           </t>
  </si>
  <si>
    <t>SWELLENDAM</t>
  </si>
  <si>
    <t xml:space="preserve">OPEN DOOR TRADERS CC                    </t>
  </si>
  <si>
    <t>WOODSTOCK</t>
  </si>
  <si>
    <t xml:space="preserve">Liqui Box                               </t>
  </si>
  <si>
    <t>AIRPORT INDUSTRIA</t>
  </si>
  <si>
    <t xml:space="preserve">PNR WAREHOUSE                           </t>
  </si>
  <si>
    <t>RANDVAAL</t>
  </si>
  <si>
    <t xml:space="preserve">VOLKSWAGEN OF SA (VC 3055)              </t>
  </si>
  <si>
    <t xml:space="preserve">UNIVERSAL MEASURENMENT AND CONTROL      </t>
  </si>
  <si>
    <t xml:space="preserve">CLOVER SA (PTY) LTD                     </t>
  </si>
  <si>
    <t>PERSEVERANCE</t>
  </si>
  <si>
    <t xml:space="preserve">CRICKLEY DAIRY CC                       </t>
  </si>
  <si>
    <t>QUEENSTOWN</t>
  </si>
  <si>
    <t xml:space="preserve">S4 AUTOMATION (PTY) LTD                 </t>
  </si>
  <si>
    <t>SYDENHAM</t>
  </si>
  <si>
    <t xml:space="preserve">HULETT HYDRO EXTRUSIONS                 </t>
  </si>
  <si>
    <t xml:space="preserve">SPROCKET &amp; CHAINS CC                    </t>
  </si>
  <si>
    <t>JET PARK</t>
  </si>
  <si>
    <t xml:space="preserve">COMPTECH ELECTRONICS                    </t>
  </si>
  <si>
    <t>NEWTON PARK</t>
  </si>
  <si>
    <t xml:space="preserve">FRESENIUS KABI MANUFACTURING            </t>
  </si>
  <si>
    <t>KORSTEN</t>
  </si>
  <si>
    <t xml:space="preserve">FORD MOTOR CO. SA MANUFACTURING         </t>
  </si>
  <si>
    <t xml:space="preserve">PROCON MACHINERY (PTY) LTD              </t>
  </si>
  <si>
    <t xml:space="preserve">ABI BOTTLING PTY LTD                    </t>
  </si>
  <si>
    <t>DEVLAND</t>
  </si>
  <si>
    <t xml:space="preserve">EXCEL TOOLING                           </t>
  </si>
  <si>
    <t xml:space="preserve">DISTELL (PTY) LTD                       </t>
  </si>
  <si>
    <t xml:space="preserve">SCHAEFFLER SOUTH AFRICA                 </t>
  </si>
  <si>
    <t>ESTADEAL</t>
  </si>
  <si>
    <t xml:space="preserve">BENTELER AUTOMOTIVE SA (PTY) LTD        </t>
  </si>
  <si>
    <t xml:space="preserve">BASF SA PTY LTD                         </t>
  </si>
  <si>
    <t xml:space="preserve">C &amp; M HYDRAULIC SERVICES                </t>
  </si>
  <si>
    <t xml:space="preserve">SISHENI IRON ORE COMPANY                </t>
  </si>
  <si>
    <t>POSTMASBURG</t>
  </si>
  <si>
    <t xml:space="preserve">FIRST NATIONAL BATTERY                  </t>
  </si>
  <si>
    <t xml:space="preserve">YANFENG SA AUTOMOTIVE                   </t>
  </si>
  <si>
    <t xml:space="preserve">TI GROUP AUTOMOTIVE SYSTEMS (PTY) LTD   </t>
  </si>
  <si>
    <t xml:space="preserve">PIONEER FOOD (PTY) LTD                  </t>
  </si>
  <si>
    <t>ALIWAL NORTH</t>
  </si>
  <si>
    <t xml:space="preserve">BORBET SA (PTY) LTD                     </t>
  </si>
  <si>
    <t xml:space="preserve">LINDE + WIEMANN (PTY) LTD               </t>
  </si>
  <si>
    <t xml:space="preserve">ETVAAL MEUBELVERVAARDIGERS              </t>
  </si>
  <si>
    <t>BRONKHORSTSPRUIT</t>
  </si>
  <si>
    <t xml:space="preserve">LION MATCH PRODUCTS                     </t>
  </si>
  <si>
    <t xml:space="preserve">MA AUTOMOTIVE TOOL &amp; DIE                </t>
  </si>
  <si>
    <t xml:space="preserve">THE SOUTH AFRICAN BREWERIES LTD         </t>
  </si>
  <si>
    <t xml:space="preserve">NATIONAL BRANDS BIS / SNK DIV           </t>
  </si>
  <si>
    <t>HERCULES</t>
  </si>
  <si>
    <t xml:space="preserve">CW8 BRICKS                              </t>
  </si>
  <si>
    <t xml:space="preserve">DUPLEIX LIQUID METERS PTY LTD           </t>
  </si>
  <si>
    <t xml:space="preserve">ESKORT MEAT                             </t>
  </si>
  <si>
    <t xml:space="preserve">RAPID INDUSTRIAL SUPPLIES PTY LTD       </t>
  </si>
  <si>
    <t xml:space="preserve">EGLI PRECISION ENGINEERING PTY LTD      </t>
  </si>
  <si>
    <t xml:space="preserve">PIONEER FOODS GROCERIES (PTY) LTD       </t>
  </si>
  <si>
    <t xml:space="preserve">DE BEERS GROUP SERVICES                 </t>
  </si>
  <si>
    <t xml:space="preserve">PARMALAT SA (PTY) LTD                   </t>
  </si>
  <si>
    <t xml:space="preserve">ENTYCE BEVERAGES                        </t>
  </si>
  <si>
    <t>PROSPECTON</t>
  </si>
  <si>
    <t xml:space="preserve">NR EXTREME ENGINEERING &amp; PIPING         </t>
  </si>
  <si>
    <t>CONGELLA</t>
  </si>
  <si>
    <t xml:space="preserve">FELTEX AUTOMOTIVE DIVISION              </t>
  </si>
  <si>
    <t xml:space="preserve">TIGER BRANDS(CHOCOLATE UNIT)            </t>
  </si>
  <si>
    <t xml:space="preserve">ACCUTECH WEIGHING SERVICES              </t>
  </si>
  <si>
    <t xml:space="preserve">MASSAMATIC PTY LTD                      </t>
  </si>
  <si>
    <t>PAROW EAST</t>
  </si>
  <si>
    <t xml:space="preserve">TRANSNET ENGINEERING                    </t>
  </si>
  <si>
    <t>SALT RIVER</t>
  </si>
  <si>
    <t xml:space="preserve">AC PNEUMATICS                           </t>
  </si>
  <si>
    <t>WETTON</t>
  </si>
  <si>
    <t xml:space="preserve">DCD PROTECTED MOBILITY                  </t>
  </si>
  <si>
    <t>BOKSBURG EAST</t>
  </si>
  <si>
    <t xml:space="preserve">COCA COLA CANNERS OF SA                 </t>
  </si>
  <si>
    <t xml:space="preserve">HENDLER &amp; HART                          </t>
  </si>
  <si>
    <t xml:space="preserve">CQT &amp; CONTROLS                          </t>
  </si>
  <si>
    <t xml:space="preserve">NICRO INDUSTRIAL                        </t>
  </si>
  <si>
    <t>STORMMILL</t>
  </si>
  <si>
    <t xml:space="preserve">MARCOM PLASTICS CC                      </t>
  </si>
  <si>
    <t xml:space="preserve">PFERD SA PTY LTD                        </t>
  </si>
  <si>
    <t xml:space="preserve">AIRBUS DS OPTRONICS PTY LTD             </t>
  </si>
  <si>
    <t xml:space="preserve">MASTER PNEUMATIC AFRICA                 </t>
  </si>
  <si>
    <t xml:space="preserve">RCL FOODCORP (PTY) LTD                  </t>
  </si>
  <si>
    <t xml:space="preserve">TECHQUIP DEVELOPMENTS CC                </t>
  </si>
  <si>
    <t>ROSSBURGH</t>
  </si>
  <si>
    <t xml:space="preserve">NATIONAL PACKAGING SYSTEMS              </t>
  </si>
  <si>
    <t>WESTMEAD</t>
  </si>
  <si>
    <t xml:space="preserve">SUPERIOR PACKAGING INDUSTRIES (PTY) LTD </t>
  </si>
  <si>
    <t xml:space="preserve">MEXAN PRODUCTS                          </t>
  </si>
  <si>
    <t>PINETOWN</t>
  </si>
  <si>
    <t xml:space="preserve">MAGNET ELECTRICAL                       </t>
  </si>
  <si>
    <t>RIVERHORSE VALLEI IND PARK</t>
  </si>
  <si>
    <t xml:space="preserve">LADYSMITH TRADING CO.                   </t>
  </si>
  <si>
    <t>LADYSMITH</t>
  </si>
  <si>
    <t xml:space="preserve">FELTEX FEHRER                           </t>
  </si>
  <si>
    <t xml:space="preserve">FESTO CPT                               </t>
  </si>
  <si>
    <t>YSTERPLAAT</t>
  </si>
  <si>
    <t xml:space="preserve">GRW ENGINERING                          </t>
  </si>
  <si>
    <t xml:space="preserve">DIGN ENGINEERING (PTY) LTD              </t>
  </si>
  <si>
    <t>UMBOGINTWINI</t>
  </si>
  <si>
    <t xml:space="preserve">AMKA PRODUCTS                           </t>
  </si>
  <si>
    <t>SUNDERLAND RIDGE</t>
  </si>
  <si>
    <t xml:space="preserve">RCL FOODS CONSUMER (PTY) LTD            </t>
  </si>
  <si>
    <t xml:space="preserve">ROLLMECH PTY LTD                        </t>
  </si>
  <si>
    <t xml:space="preserve">TIGER BRANDS                            </t>
  </si>
  <si>
    <t>OTTAWA</t>
  </si>
  <si>
    <t xml:space="preserve">RAMSAY ENGINEERING PTY LTD              </t>
  </si>
  <si>
    <t>WOODLANDS</t>
  </si>
  <si>
    <t xml:space="preserve">RAINBOW FARMS PTY LTD P1                </t>
  </si>
  <si>
    <t xml:space="preserve">WEST END CLAY BRICKS (PTY) LTD          </t>
  </si>
  <si>
    <t>WESTONARIA</t>
  </si>
  <si>
    <t>IMP TECHNICAL SERVICES MANAGEMENT PTY LT</t>
  </si>
  <si>
    <t xml:space="preserve">BOSAL AFRIKA                            </t>
  </si>
  <si>
    <t xml:space="preserve">WESTPACK CONTRACT PACKERS CC            </t>
  </si>
  <si>
    <t xml:space="preserve">PNEUMATIC AID                           </t>
  </si>
  <si>
    <t xml:space="preserve">TROPICAL PLASTICS &amp; PACKAGING (PTY) LTD </t>
  </si>
  <si>
    <t xml:space="preserve">CROSSLEY HOLDINGS                       </t>
  </si>
  <si>
    <t>REUNION</t>
  </si>
  <si>
    <t xml:space="preserve">SMT INDUSTRIAL CC                       </t>
  </si>
  <si>
    <t>MONTANA</t>
  </si>
  <si>
    <t xml:space="preserve">PROMAX                                  </t>
  </si>
  <si>
    <t xml:space="preserve">FESTO               </t>
  </si>
  <si>
    <t xml:space="preserve">SKYNET SOUTH AFRICA (PTY)L.T.D          </t>
  </si>
  <si>
    <t>ELANDSFONTEIN</t>
  </si>
  <si>
    <t xml:space="preserve">FEDERAL MOGUL VALVES (PTY) LTD          </t>
  </si>
  <si>
    <t xml:space="preserve">POLYOAK PACKAGING (PTY) LTD             </t>
  </si>
  <si>
    <t xml:space="preserve">HYDROMATIC PTY LTD                      </t>
  </si>
  <si>
    <t>MALMESBURY</t>
  </si>
  <si>
    <t xml:space="preserve">UNILEVER SOUTH AFRICA (PTY) LTD         </t>
  </si>
  <si>
    <t xml:space="preserve">MUDI APPLIEDTECHNOLOGY                  </t>
  </si>
  <si>
    <t xml:space="preserve">DALE SPIRAL SYSTEMS &amp; BAKERY AUTOMATION </t>
  </si>
  <si>
    <t xml:space="preserve">CO-EX PLASTIC (PTY)L.T.D                </t>
  </si>
  <si>
    <t xml:space="preserve">BLANES INSTRUMENTS                      </t>
  </si>
  <si>
    <t>RYNFIELD</t>
  </si>
  <si>
    <t xml:space="preserve">TIGER CONSUMER BRANDS LTD               </t>
  </si>
  <si>
    <t xml:space="preserve">FORD MOTORING CO OF SA                  </t>
  </si>
  <si>
    <t>SILVERTON</t>
  </si>
  <si>
    <t xml:space="preserve">UNILIVER SA                             </t>
  </si>
  <si>
    <t xml:space="preserve">COREL INSTRUMENTATION &amp; CONTRO          </t>
  </si>
  <si>
    <t>VAALPARK</t>
  </si>
  <si>
    <t xml:space="preserve">LEDA ENGINEERING SERVICES CC            </t>
  </si>
  <si>
    <t xml:space="preserve">INDECON CC                              </t>
  </si>
  <si>
    <t>FIRGROVE</t>
  </si>
  <si>
    <t xml:space="preserve">ACT LOGISTICS                           </t>
  </si>
  <si>
    <t xml:space="preserve">BEARING &amp; ACCESSORIES CC                </t>
  </si>
  <si>
    <t xml:space="preserve">MACSTEEL FLUID CONTROL                  </t>
  </si>
  <si>
    <t>DURBAN NORTH</t>
  </si>
  <si>
    <t xml:space="preserve">HONEYDEW DAIRIES PTY LTD                </t>
  </si>
  <si>
    <t>NOTTINGHAM ROAD</t>
  </si>
  <si>
    <t xml:space="preserve">ACAP HYDRO PNEUMATIC SUPPLY CC          </t>
  </si>
  <si>
    <t xml:space="preserve">G.U.D. HOLDINGS (PTY) LTD               </t>
  </si>
  <si>
    <t xml:space="preserve">MYKAS PLASTICS CC                       </t>
  </si>
  <si>
    <t>LENASIA</t>
  </si>
  <si>
    <t xml:space="preserve">UV + IR ENGINEERING PTY LTD             </t>
  </si>
  <si>
    <t xml:space="preserve">PIONEER FOODS                           </t>
  </si>
  <si>
    <t xml:space="preserve">DIGN ENGINEERING PTY LTD                </t>
  </si>
  <si>
    <t xml:space="preserve">HYFLO SA PTY LTD                        </t>
  </si>
  <si>
    <t>VREDENBURG</t>
  </si>
  <si>
    <t xml:space="preserve">MACHMAN PTY LTD                         </t>
  </si>
  <si>
    <t>CAPE TOWN</t>
  </si>
  <si>
    <t xml:space="preserve">RIDGE DISTRIBUTORS CC                   </t>
  </si>
  <si>
    <t>STIKLAND</t>
  </si>
  <si>
    <t xml:space="preserve">VICTORY ELECTRICAL CC                   </t>
  </si>
  <si>
    <t xml:space="preserve">UNIVERSITY OF STELLENBOSCH CREDITORS    </t>
  </si>
  <si>
    <t>STELLENBOSCH</t>
  </si>
  <si>
    <t xml:space="preserve">RCL FOODS CONSUMER                      </t>
  </si>
  <si>
    <t>WESTVILLE</t>
  </si>
  <si>
    <t xml:space="preserve">EBERSPACHER ROSSLYN                     </t>
  </si>
  <si>
    <t xml:space="preserve">FOODCORP PTY LTD MILLING                </t>
  </si>
  <si>
    <t>PRETORIA WEST</t>
  </si>
  <si>
    <t xml:space="preserve">WEST END CEMENT BRICKS (PTY) LTD        </t>
  </si>
  <si>
    <t>CHAMDOR</t>
  </si>
  <si>
    <t xml:space="preserve">COLVIC MARKETING &amp; ENGENEERING PTY      </t>
  </si>
  <si>
    <t>MEADOWDALE</t>
  </si>
  <si>
    <t xml:space="preserve">PATERSON HUGHES ENGINEERING             </t>
  </si>
  <si>
    <t xml:space="preserve">ALBANY BAKERIES                         </t>
  </si>
  <si>
    <t xml:space="preserve">UVIRCO TECHNOLOGIES                     </t>
  </si>
  <si>
    <t>PERSEQUOR PARK</t>
  </si>
  <si>
    <t xml:space="preserve">BMW ROSSLYN                             </t>
  </si>
  <si>
    <t xml:space="preserve">ALBANY BAKERIES A DIVISION OF TIGER-    </t>
  </si>
  <si>
    <t>ALBANY BAKERY A DIVISION OF TIGER BRANDS</t>
  </si>
  <si>
    <t xml:space="preserve">BEIER ENVIROTEC                         </t>
  </si>
  <si>
    <t xml:space="preserve">ESKORT LTD                              </t>
  </si>
  <si>
    <t>ESTCOURT</t>
  </si>
  <si>
    <t xml:space="preserve">FESTO DUR OFFICE                        </t>
  </si>
  <si>
    <t>SPRINGFIELD PARK</t>
  </si>
  <si>
    <t xml:space="preserve">BRASTECH CC                             </t>
  </si>
  <si>
    <t xml:space="preserve">PAARL COLDESET PTY LTD                  </t>
  </si>
  <si>
    <t xml:space="preserve">DIGN ENGINEERING                        </t>
  </si>
  <si>
    <t>LORRAINE</t>
  </si>
  <si>
    <t xml:space="preserve">ANDERSON ENGINEERING &amp;                  </t>
  </si>
  <si>
    <t xml:space="preserve">MOLAN PINO SOUTH AFRICA (PTY) LTD       </t>
  </si>
  <si>
    <t>SUNNYRIDGE</t>
  </si>
  <si>
    <t xml:space="preserve">MISSION PIONT TRADING 41 (PTY) L.T.D    </t>
  </si>
  <si>
    <t>HERIOTDALE</t>
  </si>
  <si>
    <t xml:space="preserve">DKT &amp; PARTNERS                          </t>
  </si>
  <si>
    <t xml:space="preserve">WASSERTEC OZONE SYSTEMS                 </t>
  </si>
  <si>
    <t xml:space="preserve">Ctp Flexibles                           </t>
  </si>
  <si>
    <t xml:space="preserve">ENVIRON SKIN CARE (PTY) LTD             </t>
  </si>
  <si>
    <t xml:space="preserve">STAR BAKKER                             </t>
  </si>
  <si>
    <t xml:space="preserve">GOODYEAR SOUTH AFRICA PTY LTD           </t>
  </si>
  <si>
    <t xml:space="preserve">PREMIER FOODS (PTY) LTD                 </t>
  </si>
  <si>
    <t>VEREENIGING</t>
  </si>
  <si>
    <t xml:space="preserve">DANONE SA PTY LTD                       </t>
  </si>
  <si>
    <t xml:space="preserve">DADO MANUFACTURING                      </t>
  </si>
  <si>
    <t xml:space="preserve">T M ENGENEERING                         </t>
  </si>
  <si>
    <t xml:space="preserve">REEF CONSTRUCTION MACHINERY             </t>
  </si>
  <si>
    <t xml:space="preserve">SUPPLYRITE CC                           </t>
  </si>
  <si>
    <t>GOSFORTH PARK</t>
  </si>
  <si>
    <t xml:space="preserve">PAIL PAC                                </t>
  </si>
  <si>
    <t xml:space="preserve">ELEMENT SIX PRODUCTION                  </t>
  </si>
  <si>
    <t xml:space="preserve">AUTOMATION WORKS GAUTENG (PTY)LTD       </t>
  </si>
  <si>
    <t>POMONA</t>
  </si>
  <si>
    <t xml:space="preserve">FAMOUS BRANDS MANAGEMENT                </t>
  </si>
  <si>
    <t>MIDRAND</t>
  </si>
  <si>
    <t xml:space="preserve">IMP AUTOMATED LABORATORY SERVICE        </t>
  </si>
  <si>
    <t xml:space="preserve">APPLIED COATING TECHNOLOGIES SA         </t>
  </si>
  <si>
    <t xml:space="preserve">KOOGAN PLASTICS                         </t>
  </si>
  <si>
    <t xml:space="preserve">KINETIC TECHNOLOGIES (PTY) L.T.D        </t>
  </si>
  <si>
    <t xml:space="preserve">CAVALETTO 98                            </t>
  </si>
  <si>
    <t>UMBILO</t>
  </si>
  <si>
    <t xml:space="preserve">GRIPPER &amp; CO (PTY) LTD                  </t>
  </si>
  <si>
    <t>OBSERVATORY</t>
  </si>
  <si>
    <t xml:space="preserve">BSN MEDICAL (PTY) LTD                   </t>
  </si>
  <si>
    <t xml:space="preserve">DURASET                                 </t>
  </si>
  <si>
    <t xml:space="preserve">UNILEVER SA PTY LTD                     </t>
  </si>
  <si>
    <t>MAYDON WARF</t>
  </si>
  <si>
    <t xml:space="preserve">TRUDA SNACKS                            </t>
  </si>
  <si>
    <t>MKONDENI</t>
  </si>
  <si>
    <t xml:space="preserve">CHALK AIR CC                            </t>
  </si>
  <si>
    <t xml:space="preserve">PLASTIC OMNIUM AUTO INERGY SA           </t>
  </si>
  <si>
    <t xml:space="preserve">DISTELL BERGKELDER                      </t>
  </si>
  <si>
    <t xml:space="preserve">CHEMLINK SA (PTY) LTD                   </t>
  </si>
  <si>
    <t>DALESIDE</t>
  </si>
  <si>
    <t xml:space="preserve">CONTROL SYSTEM TECHNOLOGY CC            </t>
  </si>
  <si>
    <t>HENNOPSPARK</t>
  </si>
  <si>
    <t xml:space="preserve">RG BROSE AUTOMOTIVE COMPONENTS          </t>
  </si>
  <si>
    <t xml:space="preserve">MERCEDES - BENZ S.A LIMITED             </t>
  </si>
  <si>
    <t xml:space="preserve">PAMODZI UNIQUE ENGINEERING              </t>
  </si>
  <si>
    <t>LILIANTON</t>
  </si>
  <si>
    <t xml:space="preserve">ADCOCK INGRAM HEALTHCARE (PTY)LTD       </t>
  </si>
  <si>
    <t xml:space="preserve">AFRICAN HERITAGE CONTRACT PACKERS CC    </t>
  </si>
  <si>
    <t xml:space="preserve">ASH RESOURCES                           </t>
  </si>
  <si>
    <t>LONGMEADOW EXT 8</t>
  </si>
  <si>
    <t xml:space="preserve">ADCOCK INGRAM HEALTHCARE                </t>
  </si>
  <si>
    <t xml:space="preserve">ISOWAL SA PTY LTD                       </t>
  </si>
  <si>
    <t xml:space="preserve">CULINARY A DIV OF TIGER CONSUMER BRANDS </t>
  </si>
  <si>
    <t xml:space="preserve">POWER TEAM SA (PTY) L.T.D               </t>
  </si>
  <si>
    <t xml:space="preserve">BEARINGS DISTRIBUTORS WESKUS            </t>
  </si>
  <si>
    <t xml:space="preserve">COCHRANE STEEL                          </t>
  </si>
  <si>
    <t xml:space="preserve">NEDBANK (NEDFLEET)                      </t>
  </si>
  <si>
    <t xml:space="preserve">ALTEC UEC SA PTY LTD                    </t>
  </si>
  <si>
    <t xml:space="preserve">BULKMATIC SOLIDS MACH                   </t>
  </si>
  <si>
    <t xml:space="preserve">INDLOVU INSTRUMENTATION SUPPLIES        </t>
  </si>
  <si>
    <t>WESTRIDGE</t>
  </si>
  <si>
    <t xml:space="preserve">SASTECH PTY LTD                         </t>
  </si>
  <si>
    <t xml:space="preserve">PAARL PNEUMATICS CC                     </t>
  </si>
  <si>
    <t xml:space="preserve">MAXION WHEELS SA                        </t>
  </si>
  <si>
    <t xml:space="preserve">TORGA OPTICAL LENS MANUFACTURING        </t>
  </si>
  <si>
    <t>MAITLAND</t>
  </si>
  <si>
    <t xml:space="preserve">RHODES FOOD GROUP                       </t>
  </si>
  <si>
    <t xml:space="preserve">SAPPI SA LTD                            </t>
  </si>
  <si>
    <t>UMKOMAAS</t>
  </si>
  <si>
    <t xml:space="preserve">S.A. MINT                               </t>
  </si>
  <si>
    <t>KOSMOSDAL</t>
  </si>
  <si>
    <t xml:space="preserve">SEA TECHNOLOGY SERV                     </t>
  </si>
  <si>
    <t xml:space="preserve">THE SIMBA GROUP PTY LTD                 </t>
  </si>
  <si>
    <t xml:space="preserve">FRONERI SOUTH AFRICA (PTY)LTD           </t>
  </si>
  <si>
    <t xml:space="preserve">SASOL DYNO NOBEL PTY LTD                </t>
  </si>
  <si>
    <t>EKANDUSTRIA</t>
  </si>
  <si>
    <t xml:space="preserve">TRANSVAAL HYDRAULICS                    </t>
  </si>
  <si>
    <t xml:space="preserve">SASOL CHEMICALS SA                      </t>
  </si>
  <si>
    <t xml:space="preserve">BRIDGESTONE FIRESTONE SA PTY LTD        </t>
  </si>
  <si>
    <t>KOEDOESPOORT</t>
  </si>
  <si>
    <t xml:space="preserve">AFRICAN RAIL &amp; TRACTION SERI            </t>
  </si>
  <si>
    <t xml:space="preserve">APPLE CONTROLS CC T/ A APPLECON         </t>
  </si>
  <si>
    <t>WATERGLEN</t>
  </si>
  <si>
    <t xml:space="preserve">ZIPCORD INDUSTRIES                      </t>
  </si>
  <si>
    <t xml:space="preserve">COINTECH                                </t>
  </si>
  <si>
    <t>WILLOW PARK MANOR</t>
  </si>
  <si>
    <t xml:space="preserve">ABI BOTTLING                            </t>
  </si>
  <si>
    <t xml:space="preserve">CSIR CENTRAL PROCUREMENT OFFICE         </t>
  </si>
  <si>
    <t xml:space="preserve">FUTURE PACKAGING &amp; MACHINERY PTY LTD    </t>
  </si>
  <si>
    <t>HONEYDEW</t>
  </si>
  <si>
    <t xml:space="preserve">PIONEER FOODS (PTY) LTD                 </t>
  </si>
  <si>
    <t xml:space="preserve">FAILSAFE FIRE PROJECTS                  </t>
  </si>
  <si>
    <t xml:space="preserve">ILLOVO SUGAR LTD                        </t>
  </si>
  <si>
    <t xml:space="preserve">WEST WEIGH SYSTEMS                      </t>
  </si>
  <si>
    <t xml:space="preserve">COPPER TUBING AFRICA                    </t>
  </si>
  <si>
    <t>CLEVELAND</t>
  </si>
  <si>
    <t xml:space="preserve">AVENG TRIDENT SPECIALITY STEEL          </t>
  </si>
  <si>
    <t xml:space="preserve">FUCHS ELECTRONICS                       </t>
  </si>
  <si>
    <t xml:space="preserve">UNILEVER ANDERBOLT HOMECARE LIQUIDS     </t>
  </si>
  <si>
    <t>ANDERBOLT</t>
  </si>
  <si>
    <t xml:space="preserve">CLURE PROJECTS CC                       </t>
  </si>
  <si>
    <t xml:space="preserve">MECHATRONICS                            </t>
  </si>
  <si>
    <t xml:space="preserve">SECANT FABRICATION                      </t>
  </si>
  <si>
    <t xml:space="preserve">DIRECTECH                               </t>
  </si>
  <si>
    <t xml:space="preserve">S P METAL FORGING (BOKSBURG) PTY LTD    </t>
  </si>
  <si>
    <t>BOKSBURG NORTH</t>
  </si>
  <si>
    <t xml:space="preserve">PARMALAT SA                             </t>
  </si>
  <si>
    <t>KYALAMI</t>
  </si>
  <si>
    <t xml:space="preserve">TOYOTA SA MOTORS                        </t>
  </si>
  <si>
    <t xml:space="preserve">PACIFIC FLUID COMPONENTS CC             </t>
  </si>
  <si>
    <t>QUEENSBURGH</t>
  </si>
  <si>
    <t xml:space="preserve">BUILD IT HARRISMITH                     </t>
  </si>
  <si>
    <t>HARRISMITH</t>
  </si>
  <si>
    <t xml:space="preserve">HALL LONGMORE HOLDINGS PTY LTD          </t>
  </si>
  <si>
    <t xml:space="preserve">DISTELL LIMITED                         </t>
  </si>
  <si>
    <t xml:space="preserve">T.R.W OCCUPANT RESTRIANT SYST           </t>
  </si>
  <si>
    <t xml:space="preserve">DK COURIERS                             </t>
  </si>
  <si>
    <t xml:space="preserve">JOHN BEANTECHNOLOGIES PTY LTD           </t>
  </si>
  <si>
    <t>BRACKENFELL</t>
  </si>
  <si>
    <t xml:space="preserve">PREFORMED LINE PRODUCTS SA              </t>
  </si>
  <si>
    <t xml:space="preserve">GLEDHOW SUGAR CO. PTY LTD               </t>
  </si>
  <si>
    <t xml:space="preserve">SETEKI PREPRESS STUDIO                  </t>
  </si>
  <si>
    <t xml:space="preserve">SWARTLAND BOUDIENSTE PTY LTD            </t>
  </si>
  <si>
    <t>KLEINBOS</t>
  </si>
  <si>
    <t xml:space="preserve">AUTO X PTY LTD                          </t>
  </si>
  <si>
    <t xml:space="preserve">PREMIER FMCG PTY LTD                    </t>
  </si>
  <si>
    <t>MTHATHA</t>
  </si>
  <si>
    <t xml:space="preserve">WOODLANDS DAIRY PTY LTD                 </t>
  </si>
  <si>
    <t>HUMANSDORP</t>
  </si>
  <si>
    <t xml:space="preserve">WHIRLPOOL S.A                           </t>
  </si>
  <si>
    <t>ISITHEBE</t>
  </si>
  <si>
    <t xml:space="preserve">AVK ELECTRICAL &amp; INDUSTRIAL             </t>
  </si>
  <si>
    <t>CHLOORKOP</t>
  </si>
  <si>
    <t xml:space="preserve">CONSUMER A DIV OF TIGER BRANDS          </t>
  </si>
  <si>
    <t>SIDWELL</t>
  </si>
  <si>
    <t xml:space="preserve">BANDAG SOUHT AFRICA PTY LTD             </t>
  </si>
  <si>
    <t>ALRODE EXT 2</t>
  </si>
  <si>
    <t xml:space="preserve">NESTLE SA                               </t>
  </si>
  <si>
    <t xml:space="preserve">MARLEY SA (PTY)L.T.D                    </t>
  </si>
  <si>
    <t xml:space="preserve">CHEMPULS CC                             </t>
  </si>
  <si>
    <t xml:space="preserve">TRANSNET                                </t>
  </si>
  <si>
    <t xml:space="preserve">Keens Electrical Rustenburg             </t>
  </si>
  <si>
    <t>RUSTENBURG</t>
  </si>
  <si>
    <t xml:space="preserve">UMKOMAAS LIGNIN                         </t>
  </si>
  <si>
    <t xml:space="preserve">SAPPI SA                                </t>
  </si>
  <si>
    <t>STANGER</t>
  </si>
  <si>
    <t xml:space="preserve">TOPLINE TOOLING (PTY) LTD               </t>
  </si>
  <si>
    <t xml:space="preserve">KOBOT TECHNICAL SERVICES CC             </t>
  </si>
  <si>
    <t xml:space="preserve">CLOVER SA                               </t>
  </si>
  <si>
    <t xml:space="preserve">WILMAR CONTINENTAL EDIBLE OILS          </t>
  </si>
  <si>
    <t xml:space="preserve">PRETORIA METAL PRESSINGS                </t>
  </si>
  <si>
    <t>LOTUS GARDENS</t>
  </si>
  <si>
    <t xml:space="preserve">PROSEP CHEMICALS                        </t>
  </si>
  <si>
    <t>BARTLETTS</t>
  </si>
  <si>
    <t xml:space="preserve">NATIONAL BRAND                          </t>
  </si>
  <si>
    <t xml:space="preserve">TECHNOVAA PACKAGING                     </t>
  </si>
  <si>
    <t xml:space="preserve">ILLOVO SUGAR                            </t>
  </si>
  <si>
    <t xml:space="preserve">RICH PRODUCTS CORP OF SA                </t>
  </si>
  <si>
    <t>OPHIRTON</t>
  </si>
  <si>
    <t xml:space="preserve">HULAMIN OPERATIONS PTY LTD              </t>
  </si>
  <si>
    <t xml:space="preserve">MAGNACORP 397 CC/TA CONCEPT             </t>
  </si>
  <si>
    <t xml:space="preserve">ELECTRO PNEUMATICS                      </t>
  </si>
  <si>
    <t xml:space="preserve">GAYATRI PAPER MILLS PTY LTD             </t>
  </si>
  <si>
    <t xml:space="preserve">UMOYA AUTOMATION CC                     </t>
  </si>
  <si>
    <t>ALBERTON NORTH</t>
  </si>
  <si>
    <t xml:space="preserve">KHP HYDRAULICS &amp; PNEUMATICS (PTY) LTD   </t>
  </si>
  <si>
    <t>DUNCANVILLE</t>
  </si>
  <si>
    <t xml:space="preserve">RCL FOODS CONSUMER (PTY)LTD             </t>
  </si>
  <si>
    <t xml:space="preserve">FLUID SYSTEMS                           </t>
  </si>
  <si>
    <t xml:space="preserve">A.P.L. CARTONS (PTY) LTD                </t>
  </si>
  <si>
    <t xml:space="preserve">ARCH WATER PRODUCTS SA                  </t>
  </si>
  <si>
    <t xml:space="preserve">EVOLVE PRODUCTION SUPPORT PTY LTD       </t>
  </si>
  <si>
    <t>WILLOWTON</t>
  </si>
  <si>
    <t xml:space="preserve">AVION PNEUMATICS &amp; HYDRAULICS           </t>
  </si>
  <si>
    <t>ROBERTSHAM</t>
  </si>
  <si>
    <t xml:space="preserve">BANTEX SA                               </t>
  </si>
  <si>
    <t xml:space="preserve">KELLOGGS CO OF SA PTY LTD               </t>
  </si>
  <si>
    <t xml:space="preserve">CROWN CHICKENS PTY LTD                  </t>
  </si>
  <si>
    <t>ANDEON</t>
  </si>
  <si>
    <t xml:space="preserve">GRANROTH                                </t>
  </si>
  <si>
    <t xml:space="preserve">RISHABA TRADING CC                      </t>
  </si>
  <si>
    <t xml:space="preserve">BARNES REINFORCING INDUSTRIES           </t>
  </si>
  <si>
    <t xml:space="preserve">DURR SOUTH AFRICA                       </t>
  </si>
  <si>
    <t>FRAMESBY</t>
  </si>
  <si>
    <t xml:space="preserve">VEES AUTOMATIVE PIPES &amp; FITTINGS        </t>
  </si>
  <si>
    <t>JOHANNESBURG</t>
  </si>
  <si>
    <t xml:space="preserve">BELGOTEX FLOORCOVERINGS PTY LTD         </t>
  </si>
  <si>
    <t xml:space="preserve">CLYDE BERGEMAN AFRICA (PTY)LTD          </t>
  </si>
  <si>
    <t xml:space="preserve">ARMCO SUPERLITE (PTY) LTD               </t>
  </si>
  <si>
    <t xml:space="preserve">W.LEE - ULTRAPLAST PTY LTD              </t>
  </si>
  <si>
    <t xml:space="preserve">SMITHS MANUFACTURING PTY LTD            </t>
  </si>
  <si>
    <t xml:space="preserve">REPROPLAST                              </t>
  </si>
  <si>
    <t>NORTHDENE</t>
  </si>
  <si>
    <t>BENONI</t>
  </si>
  <si>
    <t xml:space="preserve">POLAR AIR                               </t>
  </si>
  <si>
    <t>WYNBERG</t>
  </si>
  <si>
    <t xml:space="preserve">TRANSPACO CORES &amp; TUBES (PTY) LTD       </t>
  </si>
  <si>
    <t xml:space="preserve">SPICER AXLE (PTY) LTD                   </t>
  </si>
  <si>
    <t xml:space="preserve">SMA ENGINEERING S.A. (PTY) LTD          </t>
  </si>
  <si>
    <t>WOODBROOK</t>
  </si>
  <si>
    <t xml:space="preserve">NCP CHLORCHEM PTY LTD                   </t>
  </si>
  <si>
    <t xml:space="preserve">SENIOR FLEXONICS (SA) (PTY) LTD         </t>
  </si>
  <si>
    <t>THORNTON</t>
  </si>
  <si>
    <t xml:space="preserve">BLENDCOR (PTY) LTD                      </t>
  </si>
  <si>
    <t>FYNNLAND</t>
  </si>
  <si>
    <t xml:space="preserve">SMITHS MANUFACTURING                    </t>
  </si>
  <si>
    <t xml:space="preserve">PAILPAC PTY LTD                         </t>
  </si>
  <si>
    <t xml:space="preserve">NESTLE SOUTH AFRICA PTY LTD             </t>
  </si>
  <si>
    <t xml:space="preserve">BRIDGESTONE FIRESTONE                   </t>
  </si>
  <si>
    <t xml:space="preserve">GRAVMAX                                 </t>
  </si>
  <si>
    <t>DE KROON</t>
  </si>
  <si>
    <t xml:space="preserve">GOSSAMER STRUCTURES CC                  </t>
  </si>
  <si>
    <t xml:space="preserve">MAINSTREET 1310                         </t>
  </si>
  <si>
    <t xml:space="preserve">MARLEY SA PTY LTD                       </t>
  </si>
  <si>
    <t xml:space="preserve">PROVAL ACTUATION SA (PTY)LTD            </t>
  </si>
  <si>
    <t xml:space="preserve">UNILEVER S.A (PTY)LTD                   </t>
  </si>
  <si>
    <t xml:space="preserve">REPMA ENGINEERING PTY LTD               </t>
  </si>
  <si>
    <t>INDUSTRIA NORTH</t>
  </si>
  <si>
    <t xml:space="preserve">LEAR ELECTRICAL                         </t>
  </si>
  <si>
    <t>MARKMAN TSP</t>
  </si>
  <si>
    <t xml:space="preserve">GPU MECHANICAL SERVICES (PTY) LTD       </t>
  </si>
  <si>
    <t>SELBY</t>
  </si>
  <si>
    <t xml:space="preserve">VIDEX WIRE PRODUCTS PTY LTD             </t>
  </si>
  <si>
    <t xml:space="preserve">ATELIER SA PTY LTD                      </t>
  </si>
  <si>
    <t xml:space="preserve">PRECISION METAL PRODUCTS                </t>
  </si>
  <si>
    <t xml:space="preserve">DUTTON PLASTICS ENGINEERING             </t>
  </si>
  <si>
    <t xml:space="preserve">VACUFORM 2000 (PTY)LTD                  </t>
  </si>
  <si>
    <t>KROMBERG &amp; SCHUBERT CABLE &amp; WIRE PTY LTD</t>
  </si>
  <si>
    <t xml:space="preserve">EAST COAST INSTRUMENTATION SALES        </t>
  </si>
  <si>
    <t xml:space="preserve">BOWLER PLASTICS (PTY) LTD               </t>
  </si>
  <si>
    <t>OTTERY</t>
  </si>
  <si>
    <t xml:space="preserve">AVION EAST RAND PTY LTD                 </t>
  </si>
  <si>
    <t xml:space="preserve">PPC CEMENT SA (PTY) LTD                 </t>
  </si>
  <si>
    <t>DWAALBOOM</t>
  </si>
  <si>
    <t xml:space="preserve">PRIDE MILLING CO PTY LTD                </t>
  </si>
  <si>
    <t>VORSTERSKROON</t>
  </si>
  <si>
    <t xml:space="preserve">ELUMATEC SA                             </t>
  </si>
  <si>
    <t xml:space="preserve">TRU GAGE MACHINES                       </t>
  </si>
  <si>
    <t>KNIGHTS</t>
  </si>
  <si>
    <t xml:space="preserve">THE SIMBA GROUP LTD                     </t>
  </si>
  <si>
    <t xml:space="preserve">BLUE RIBBON BAKERY CPT                  </t>
  </si>
  <si>
    <t xml:space="preserve">IDWALA CARBONATES                       </t>
  </si>
  <si>
    <t>NEWLANDS</t>
  </si>
  <si>
    <t xml:space="preserve">SOUTH AFRICAN BANK NOTE CO.             </t>
  </si>
  <si>
    <t>PRETORIA NORTH</t>
  </si>
  <si>
    <t xml:space="preserve">PRODUCTIVE SYSTEMS CC                   </t>
  </si>
  <si>
    <t xml:space="preserve">SAMANCOR LTD                            </t>
  </si>
  <si>
    <t>MEYERTON</t>
  </si>
  <si>
    <t xml:space="preserve">BELSIZE PRINTING WORKS PTY LTD          </t>
  </si>
  <si>
    <t>APEX INDUSTRIAL</t>
  </si>
  <si>
    <t xml:space="preserve">SCANMIN AFRICA                          </t>
  </si>
  <si>
    <t xml:space="preserve">C &amp; C PLASTIC CC                        </t>
  </si>
  <si>
    <t xml:space="preserve">DURBAN CHEMICAL                         </t>
  </si>
  <si>
    <t xml:space="preserve">ABI DIV OF SAB LTD                      </t>
  </si>
  <si>
    <t>PHOENIX INDUSTRIAL AREA</t>
  </si>
  <si>
    <t xml:space="preserve">COMMUTER TRANSPORT ENGINEERING DUR      </t>
  </si>
  <si>
    <t>MASONS MILL</t>
  </si>
  <si>
    <t xml:space="preserve">FORD OF SOUTHERN AFRICA AX9WA           </t>
  </si>
  <si>
    <t xml:space="preserve">PLANTATION SHUTTERS PTY LTD             </t>
  </si>
  <si>
    <t xml:space="preserve">FOXTEC-IKHWEZI PTY LTD                  </t>
  </si>
  <si>
    <t>WEST BANK</t>
  </si>
  <si>
    <t xml:space="preserve">ERGO MINING                             </t>
  </si>
  <si>
    <t>BRAKPAN</t>
  </si>
  <si>
    <t xml:space="preserve">BOYSEN EXHAUST TECHNOLOGY RSA (PTY) LTD </t>
  </si>
  <si>
    <t xml:space="preserve">VOLTEX (PTY) LTD                        </t>
  </si>
  <si>
    <t>DENVER</t>
  </si>
  <si>
    <t xml:space="preserve">AWESOME SNACKS                          </t>
  </si>
  <si>
    <t>WILBERT</t>
  </si>
  <si>
    <t xml:space="preserve">BUHLER PTY LTD                          </t>
  </si>
  <si>
    <t>HONEY DEW</t>
  </si>
  <si>
    <t xml:space="preserve">FORMEX ENGINEERING                      </t>
  </si>
  <si>
    <t xml:space="preserve">ANALOG &amp; DIGITAL POWER ELECTRONICS      </t>
  </si>
  <si>
    <t xml:space="preserve">ROBOTIC HANDLING SYSTEMS CC             </t>
  </si>
  <si>
    <t xml:space="preserve">HYDRABERG HYDRAULICS CC                 </t>
  </si>
  <si>
    <t xml:space="preserve">KIMBERLEY-CLARK S.A                     </t>
  </si>
  <si>
    <t xml:space="preserve">TELLUMAT PTY LTD                        </t>
  </si>
  <si>
    <t>RETREAT</t>
  </si>
  <si>
    <t xml:space="preserve">AUTOMATION WORKS CAPE                   </t>
  </si>
  <si>
    <t xml:space="preserve">CAPE OIL &amp; MARGARINE (PTY) LTD          </t>
  </si>
  <si>
    <t xml:space="preserve">FESTO PLZ                               </t>
  </si>
  <si>
    <t xml:space="preserve">RETECON SERVICES                        </t>
  </si>
  <si>
    <t xml:space="preserve">DRYTECH INTERNATIONAL PTY LTD           </t>
  </si>
  <si>
    <t xml:space="preserve">JADEC STEEL PROJECT CC                  </t>
  </si>
  <si>
    <t xml:space="preserve">METIX SMS GROUP                         </t>
  </si>
  <si>
    <t>MORNINGSIDE</t>
  </si>
  <si>
    <t xml:space="preserve">SINOVILLE FENCING                       </t>
  </si>
  <si>
    <t xml:space="preserve">THERMAL FUSION CC                       </t>
  </si>
  <si>
    <t xml:space="preserve">GP CONTROL VALVES &amp; ENG CC              </t>
  </si>
  <si>
    <t xml:space="preserve">MAIN STREET 1310(PTY) L.T.D             </t>
  </si>
  <si>
    <t>KLIPRIVIER</t>
  </si>
  <si>
    <t xml:space="preserve">MPACT OPERATIONS PTY LTD                </t>
  </si>
  <si>
    <t>EPPINDUST</t>
  </si>
  <si>
    <t xml:space="preserve">AFRISAM SOUHT AFRICA PTY LTD            </t>
  </si>
  <si>
    <t>ULCO</t>
  </si>
  <si>
    <t xml:space="preserve">KARAN BEEF (PTY) LTD                    </t>
  </si>
  <si>
    <t>BALFOUR</t>
  </si>
  <si>
    <t xml:space="preserve">IMANA FOODS SA (PTY) LTD                </t>
  </si>
  <si>
    <t xml:space="preserve">Slk Bolt And Nuts                       </t>
  </si>
  <si>
    <t xml:space="preserve">BEARING MAN GOUP (PTY)LTD               </t>
  </si>
  <si>
    <t xml:space="preserve">SPIRAX SARCO SA                         </t>
  </si>
  <si>
    <t xml:space="preserve">TFM INDUSTRIES PTY LTD                  </t>
  </si>
  <si>
    <t xml:space="preserve">EASTCAPE MIDLANDS TVET COLLEGE          </t>
  </si>
  <si>
    <t xml:space="preserve">PAK 2000 (PTY) LTD                      </t>
  </si>
  <si>
    <t xml:space="preserve">ALASTOR INVESTMENTS PTY LTD             </t>
  </si>
  <si>
    <t>VERULAM</t>
  </si>
  <si>
    <t xml:space="preserve">BEIR SAFETY FOOTWEAR A DIVISION OF      </t>
  </si>
  <si>
    <t xml:space="preserve">TMD FRICTION SA PTY LTD                 </t>
  </si>
  <si>
    <t>MERRIVALE</t>
  </si>
  <si>
    <t xml:space="preserve">GEDORE TOOLS (PTY) LTD                  </t>
  </si>
  <si>
    <t xml:space="preserve">ROBOTIC INNOVATIONS PTY                 </t>
  </si>
  <si>
    <t>IRENE</t>
  </si>
  <si>
    <t xml:space="preserve">NORMANDIEN FARMS                        </t>
  </si>
  <si>
    <t>THORNVILLE</t>
  </si>
  <si>
    <t xml:space="preserve">BIDVEST AFCON (PTY)LTD                  </t>
  </si>
  <si>
    <t>CITY DEEP EXT 12</t>
  </si>
  <si>
    <t xml:space="preserve">RCL FOOD CONSUMER PTY LTD               </t>
  </si>
  <si>
    <t>BOLTONIA</t>
  </si>
  <si>
    <t xml:space="preserve">HYDRAQUIP                               </t>
  </si>
  <si>
    <t>DAL JOSAFAT</t>
  </si>
  <si>
    <t xml:space="preserve">FAURECIA EMISSIONS CONTROL TECHNOLOGY   </t>
  </si>
  <si>
    <t xml:space="preserve">COCA COLA PENINSULA BEVERAGES           </t>
  </si>
  <si>
    <t xml:space="preserve">FUEL INDUSTRY SERVICES PTY LTD          </t>
  </si>
  <si>
    <t xml:space="preserve">SILVER CONTROL SYSTEMS CC               </t>
  </si>
  <si>
    <t>BLOUBERG SANDS</t>
  </si>
  <si>
    <t xml:space="preserve">CORNING PRODUCTS                        </t>
  </si>
  <si>
    <t xml:space="preserve">WILDEKLAWER (PTY) LTD                   </t>
  </si>
  <si>
    <t>BARKLY-WES</t>
  </si>
  <si>
    <t xml:space="preserve">MAPEI SA                                </t>
  </si>
  <si>
    <t xml:space="preserve">PAARL MEDIA                             </t>
  </si>
  <si>
    <t>LINBRO PARK</t>
  </si>
  <si>
    <t xml:space="preserve">WOODLANDS RESOURCE RECOVERY PLANT       </t>
  </si>
  <si>
    <t xml:space="preserve">EUREKA CONSTUCTION                      </t>
  </si>
  <si>
    <t>HENNENMAN</t>
  </si>
  <si>
    <t xml:space="preserve">SUMATRA TRADING (PTY) LTD               </t>
  </si>
  <si>
    <t xml:space="preserve">SIBUYILE INDUSTRIAL SUPPLIES (PTY) LTD  </t>
  </si>
  <si>
    <t xml:space="preserve">ARCELOR MITTAL SA LTD                   </t>
  </si>
  <si>
    <t xml:space="preserve">TI GROUP AUTOMOTIVE SYSTEM              </t>
  </si>
  <si>
    <t xml:space="preserve">REGRADE MASTERS                         </t>
  </si>
  <si>
    <t xml:space="preserve">EVEREADY (PTY) LTD                      </t>
  </si>
  <si>
    <t xml:space="preserve">Saint-Gobain Construction Products      </t>
  </si>
  <si>
    <t>GERMISTON</t>
  </si>
  <si>
    <t xml:space="preserve">ATLAS COPCO SECOROC                     </t>
  </si>
  <si>
    <t xml:space="preserve">AFRILOG SA                              </t>
  </si>
  <si>
    <t xml:space="preserve">BM FOOD MANUFACTURERS                   </t>
  </si>
  <si>
    <t xml:space="preserve">SEECOR BLOW MOULDERS                    </t>
  </si>
  <si>
    <t>VIKING VILLAGE</t>
  </si>
  <si>
    <t xml:space="preserve">TF DESIGN (PTY) LTD                     </t>
  </si>
  <si>
    <t xml:space="preserve">TONGAAT HULLETTS GROUP LTD              </t>
  </si>
  <si>
    <t xml:space="preserve">HP HOSE &amp; FITTING SPECIALIST CC         </t>
  </si>
  <si>
    <t>CANELANDS</t>
  </si>
  <si>
    <t xml:space="preserve">R.A. DISTRIBUTORS CC                    </t>
  </si>
  <si>
    <t>RACEVIEW</t>
  </si>
  <si>
    <t>ECHAR CONSTRACTION EQUIPMENT MANUFACTURE</t>
  </si>
  <si>
    <t xml:space="preserve">ORION ENGINEERED CARDONS PTY LTD        </t>
  </si>
  <si>
    <t xml:space="preserve">NATIONAL CERAMIC INDUSTRIES Sa          </t>
  </si>
  <si>
    <t xml:space="preserve">UNIVERSAL CLIPS                         </t>
  </si>
  <si>
    <t xml:space="preserve">FESTO PZB                               </t>
  </si>
  <si>
    <t>CLARENDON</t>
  </si>
  <si>
    <t xml:space="preserve">ORANJEVIS JOINT VENTURE                 </t>
  </si>
  <si>
    <t>ST HELENA BAY</t>
  </si>
  <si>
    <t xml:space="preserve">GELVENOR CONSOLIDATED FABRICS PTY LTD   </t>
  </si>
  <si>
    <t>AKASIA</t>
  </si>
  <si>
    <t xml:space="preserve">PSA TECHNOLOGY GROUP                    </t>
  </si>
  <si>
    <t>SUNNYROCK</t>
  </si>
  <si>
    <t xml:space="preserve">TONGAAT HULETT STARCH PTY LTD           </t>
  </si>
  <si>
    <t>BENROSE</t>
  </si>
  <si>
    <t xml:space="preserve">CINMARK ONE                             </t>
  </si>
  <si>
    <t xml:space="preserve">MONIER ROOFING PTY LTD                  </t>
  </si>
  <si>
    <t>AVOCA</t>
  </si>
  <si>
    <t xml:space="preserve">FESTIVE A DIV OF ASTRAL OPERATIONS LTD  </t>
  </si>
  <si>
    <t xml:space="preserve">CLOVER WATERS PTY LTD                   </t>
  </si>
  <si>
    <t xml:space="preserve">ACK SOLUTIONS PTY LTD                   </t>
  </si>
  <si>
    <t xml:space="preserve">FRIMAX FOODS (PTY) LTD                  </t>
  </si>
  <si>
    <t xml:space="preserve">MITTAL STEEL SOUTH AFRICA LIMITED       </t>
  </si>
  <si>
    <t>HAMMANSKRAAL</t>
  </si>
  <si>
    <t xml:space="preserve">RESCUE TECHNOLOGY CC                    </t>
  </si>
  <si>
    <t xml:space="preserve">MLS INDUSTRIAL SUPPLIERS PTY LTD        </t>
  </si>
  <si>
    <t xml:space="preserve">INHLE BEVERAGES (PTY)LTD                </t>
  </si>
  <si>
    <t xml:space="preserve">CONSOLIDATED WIRE INDUSTRIES (PTY) LTD  </t>
  </si>
  <si>
    <t xml:space="preserve">FREDDY HIRCH &amp; CO                       </t>
  </si>
  <si>
    <t xml:space="preserve">VAN NIEKERK PACKAGING SUPPORT           </t>
  </si>
  <si>
    <t xml:space="preserve">ILLOVO SUGAR LTD-SEZELA                 </t>
  </si>
  <si>
    <t>DALTON</t>
  </si>
  <si>
    <t xml:space="preserve">CLOVER S.A (PTY) LTD                    </t>
  </si>
  <si>
    <t>FRANKFORT</t>
  </si>
  <si>
    <t xml:space="preserve">BERMAR HYDRAULICS                       </t>
  </si>
  <si>
    <t xml:space="preserve">EVRIGARD PTY LTD                        </t>
  </si>
  <si>
    <t xml:space="preserve">NATIONAL BRANDS LTD BECKETTS            </t>
  </si>
  <si>
    <t xml:space="preserve">BOXMORE PLASTICS                        </t>
  </si>
  <si>
    <t xml:space="preserve">DNH MANUFACTURING (PTY) LTD             </t>
  </si>
  <si>
    <t xml:space="preserve">EVERITE BUILDING DIVISION               </t>
  </si>
  <si>
    <t xml:space="preserve">TECHNO CHEM BK                          </t>
  </si>
  <si>
    <t xml:space="preserve">DALEIN AGRI PLAN PTY LTD                </t>
  </si>
  <si>
    <t>CULLINAN</t>
  </si>
  <si>
    <t xml:space="preserve">CONTROL SYSTEMS                         </t>
  </si>
  <si>
    <t xml:space="preserve">VERTEX AUTOMATION PTY LTD               </t>
  </si>
  <si>
    <t>WEAVIND PARK</t>
  </si>
  <si>
    <t xml:space="preserve">UNILAM PRESSINGS                        </t>
  </si>
  <si>
    <t xml:space="preserve">IMFUYO PROJECTS (PTY)LTD                </t>
  </si>
  <si>
    <t>APEX EXT 3</t>
  </si>
  <si>
    <t xml:space="preserve">PREMIER FMCG (PTY)LTD                   </t>
  </si>
  <si>
    <t xml:space="preserve">TETRA PARK SA (PTY) LTD                 </t>
  </si>
  <si>
    <t xml:space="preserve">BLISS CHEMICALS PTY LTD                 </t>
  </si>
  <si>
    <t xml:space="preserve">MELAMINE CORNER                         </t>
  </si>
  <si>
    <t>GRAAFF-REINET</t>
  </si>
  <si>
    <t xml:space="preserve">PCS GLOBAL (PTY) LTD                    </t>
  </si>
  <si>
    <t xml:space="preserve">MEGA - PAK                              </t>
  </si>
  <si>
    <t xml:space="preserve">TECHNIMAC (PTY)LTD                      </t>
  </si>
  <si>
    <t>KEW</t>
  </si>
  <si>
    <t xml:space="preserve">VEOLIA WATER SOLUTIONS                  </t>
  </si>
  <si>
    <t xml:space="preserve">KEMPTON PARK WATER PRODUCTS             </t>
  </si>
  <si>
    <t xml:space="preserve">CONCORD FOOD &amp; DRUG DISTRIBUTORS        </t>
  </si>
  <si>
    <t>TROYEVILLE</t>
  </si>
  <si>
    <t xml:space="preserve">HANSENS ENGENNERING                     </t>
  </si>
  <si>
    <t xml:space="preserve">PRESSURE DIE CASTINGS PTY LTD           </t>
  </si>
  <si>
    <t xml:space="preserve">ZENTIVA SA PTY LTD                      </t>
  </si>
  <si>
    <t xml:space="preserve">ROBIN COSS AVIATION CC                  </t>
  </si>
  <si>
    <t>CAPE TOWN AIRPORT</t>
  </si>
  <si>
    <t xml:space="preserve">DIYA VALVES INTERNATIONALS CC           </t>
  </si>
  <si>
    <t xml:space="preserve">TRUDA SNACKS CAPE CC                    </t>
  </si>
  <si>
    <t xml:space="preserve">FAURECIA EXHAUST SYSTEMS (PTY) LTD      </t>
  </si>
  <si>
    <t xml:space="preserve">ED EXPORTS SERVICES                     </t>
  </si>
  <si>
    <t xml:space="preserve">PFISTERER PTY LTD                       </t>
  </si>
  <si>
    <t xml:space="preserve">CEREBOS LTD                             </t>
  </si>
  <si>
    <t>COEGA</t>
  </si>
  <si>
    <t xml:space="preserve">ALPHAPAX PACKAGING CC                   </t>
  </si>
  <si>
    <t xml:space="preserve">SPRING MEADOW DAIRY FARM (PTY)LTD       </t>
  </si>
  <si>
    <t xml:space="preserve">TUGWELL TOOLING &amp; DESING                </t>
  </si>
  <si>
    <t xml:space="preserve">VR LASER SERVICE PTY LTD                </t>
  </si>
  <si>
    <t xml:space="preserve">POLYOAK PACKAGING (PTY)L.T.D            </t>
  </si>
  <si>
    <t xml:space="preserve">FILKRAFT ( PTY) LTD                     </t>
  </si>
  <si>
    <t xml:space="preserve">CIRCUIT BREAKER INDUSTRIES PTY LTD      </t>
  </si>
  <si>
    <t xml:space="preserve">Bosal Afrika Pty                        </t>
  </si>
  <si>
    <t xml:space="preserve">EAST BALT SA                            </t>
  </si>
  <si>
    <t xml:space="preserve">DYNAMIC SYSTEMS                         </t>
  </si>
  <si>
    <t>GLENASHLEY</t>
  </si>
  <si>
    <t xml:space="preserve">PREMIER FMCG PTY LTD LA FEMME           </t>
  </si>
  <si>
    <t xml:space="preserve">KLT AUTOMATION &amp; TUBLAR PRODUCT PTY LTD </t>
  </si>
  <si>
    <t xml:space="preserve">MARCE FIRE FIGHTING TECHNOLOGY          </t>
  </si>
  <si>
    <t>LYTTELTON</t>
  </si>
  <si>
    <t xml:space="preserve">GRW ENGINEERING PTY LTD                 </t>
  </si>
  <si>
    <t>BELLVILLE</t>
  </si>
  <si>
    <t xml:space="preserve">PRODUCUT ( PTY) LTD                     </t>
  </si>
  <si>
    <t xml:space="preserve">SEDIBENG COLLEGE FOR FET                </t>
  </si>
  <si>
    <t xml:space="preserve">AUTOLIV SA                              </t>
  </si>
  <si>
    <t xml:space="preserve">AUTOMA MULTI STYRENE                    </t>
  </si>
  <si>
    <t xml:space="preserve">BRASITECH CC                            </t>
  </si>
  <si>
    <t>BEREA</t>
  </si>
  <si>
    <t xml:space="preserve">BLISS CHEMICALS                         </t>
  </si>
  <si>
    <t xml:space="preserve">NUKOR (PTY) LTD                         </t>
  </si>
  <si>
    <t>FAIRVIEW</t>
  </si>
  <si>
    <t xml:space="preserve">PAIL PAC PTY LTD                        </t>
  </si>
  <si>
    <t>GILLITTS</t>
  </si>
  <si>
    <t xml:space="preserve">B M S C ENGINEERING CC                  </t>
  </si>
  <si>
    <t>DURBANVILLE</t>
  </si>
  <si>
    <t xml:space="preserve">PREMIER FOODS LTD                       </t>
  </si>
  <si>
    <t xml:space="preserve">ALDOR AFRICA                            </t>
  </si>
  <si>
    <t xml:space="preserve">HULLET HYDRO EXTRUSIONS (PTY)LTD        </t>
  </si>
  <si>
    <t xml:space="preserve">PIONEER FOODS (PTY)LTD                  </t>
  </si>
  <si>
    <t xml:space="preserve">BALLENA TRADING 31 PTY LTD              </t>
  </si>
  <si>
    <t xml:space="preserve">PHARMACARE LTD T/A ASPEN                </t>
  </si>
  <si>
    <t>HOLLAND PARK</t>
  </si>
  <si>
    <t xml:space="preserve">IDWALA LIME                             </t>
  </si>
  <si>
    <t>DANIELSKUIL</t>
  </si>
  <si>
    <t xml:space="preserve">ABYX CHEMICAL MANUFACTURING (PTY) LTD   </t>
  </si>
  <si>
    <t xml:space="preserve">AFGRI POULTRY                           </t>
  </si>
  <si>
    <t xml:space="preserve">LOADTECH LOAD CELLS                     </t>
  </si>
  <si>
    <t xml:space="preserve">M.CURRIN ENTERPRISES CC                 </t>
  </si>
  <si>
    <t>EDGEMEAD</t>
  </si>
  <si>
    <t xml:space="preserve">MONIER ROOFING (PTY) LTD                </t>
  </si>
  <si>
    <t xml:space="preserve">BLOCKHOUSE SHUTTERS PTY LTD             </t>
  </si>
  <si>
    <t xml:space="preserve">BMG GEORGE 0122                         </t>
  </si>
  <si>
    <t>GEORGE</t>
  </si>
  <si>
    <t xml:space="preserve">CULINARY, A DIVISION OF                 </t>
  </si>
  <si>
    <t xml:space="preserve">COBRA WATERTECH (PTY)LTD                </t>
  </si>
  <si>
    <t xml:space="preserve">NATIONAL GENERAL                        </t>
  </si>
  <si>
    <t>BEDFORDVIEW</t>
  </si>
  <si>
    <t xml:space="preserve">CONSUPAQ (PTY) LTD                      </t>
  </si>
  <si>
    <t xml:space="preserve">MILESTONE BEVERAGES (PTY)LTD            </t>
  </si>
  <si>
    <t xml:space="preserve">ISLAND VIEW STORAGE                     </t>
  </si>
  <si>
    <t>ISLAND VIEW</t>
  </si>
  <si>
    <t xml:space="preserve">DELPHIUS TECHNOLOGIES Cc                </t>
  </si>
  <si>
    <t xml:space="preserve">DENEL VEHICLE SYSTEMS                   </t>
  </si>
  <si>
    <t xml:space="preserve">KELLOGGS CO OF SA                       </t>
  </si>
  <si>
    <t xml:space="preserve">OVER ARFICA INDUSTRIAL SUPPLIES         </t>
  </si>
  <si>
    <t xml:space="preserve">SMEI PROJECT (PTY)LTD                   </t>
  </si>
  <si>
    <t xml:space="preserve">NAMPAK LIQUID PACKAGING                 </t>
  </si>
  <si>
    <t xml:space="preserve">REHAU POLYMER (PTY) LTD                 </t>
  </si>
  <si>
    <t>FORT JACKSON</t>
  </si>
  <si>
    <t xml:space="preserve">FOODSERV SOLUTIONS                      </t>
  </si>
  <si>
    <t xml:space="preserve">PIONEER FOODS PTY LTD                   </t>
  </si>
  <si>
    <t xml:space="preserve">HYDRAULIC 2000                          </t>
  </si>
  <si>
    <t>KLERKSDORP</t>
  </si>
  <si>
    <t>CAPITAL PARK</t>
  </si>
  <si>
    <t xml:space="preserve">DIESEL ELECTRICAL INDUSTRIES            </t>
  </si>
  <si>
    <t>GEDULD</t>
  </si>
  <si>
    <t xml:space="preserve">ERECH ROOS                              </t>
  </si>
  <si>
    <t xml:space="preserve">T E M TOOLING CC                        </t>
  </si>
  <si>
    <t xml:space="preserve">ALBANY BAKERY                           </t>
  </si>
  <si>
    <t xml:space="preserve">BRADCHER INDUSTRIAL WHOLESALER          </t>
  </si>
  <si>
    <t xml:space="preserve">BEARINGS SPROCKETS &amp; HOSE               </t>
  </si>
  <si>
    <t xml:space="preserve">PAILPRINT PTY LTD                       </t>
  </si>
  <si>
    <t xml:space="preserve">MAIN STREET 1310 PTY LTD                </t>
  </si>
  <si>
    <t xml:space="preserve">DANTECH AFRICA                          </t>
  </si>
  <si>
    <t xml:space="preserve">PEARLSTOCK T/A FINEWOODS PTY LTD        </t>
  </si>
  <si>
    <t>PHILIPPI</t>
  </si>
  <si>
    <t xml:space="preserve">PLASTECH MOULDERS                       </t>
  </si>
  <si>
    <t>WILSONIA</t>
  </si>
  <si>
    <t xml:space="preserve">HUTZ LIGHTING T/A HUTZ MEDICAL          </t>
  </si>
  <si>
    <t xml:space="preserve">MW WHEELS SA (PTY) LTD                  </t>
  </si>
  <si>
    <t>RG BROSE AUTOMOTIVE COMPONENTS (PTY) LTD</t>
  </si>
  <si>
    <t xml:space="preserve">ILLOVO SUGAR LTD - SEZELA               </t>
  </si>
  <si>
    <t xml:space="preserve">FAIR PLASTICS PACKAGING                 </t>
  </si>
  <si>
    <t>ROCKTREES ELECTRIC &amp; INDUSTRIAL SUPPLIES</t>
  </si>
  <si>
    <t>NIGEL</t>
  </si>
  <si>
    <t xml:space="preserve">LN AUTOMATION                           </t>
  </si>
  <si>
    <t>WALMER</t>
  </si>
  <si>
    <t xml:space="preserve">ABERDER CABLES                          </t>
  </si>
  <si>
    <t xml:space="preserve">PILOT FURNITURE MANUFACTURERS           </t>
  </si>
  <si>
    <t>BABELEGI</t>
  </si>
  <si>
    <t xml:space="preserve">DURMALAR (PTY) LTD                      </t>
  </si>
  <si>
    <t xml:space="preserve">CHEMETRIX (PTY) LIMITED                 </t>
  </si>
  <si>
    <t xml:space="preserve">AT TECHNICAL SERVICES &amp; SUPPLIES        </t>
  </si>
  <si>
    <t xml:space="preserve">PREMIER FMCG                            </t>
  </si>
  <si>
    <t xml:space="preserve">L'OREAL MANUFACTURING PTY LTD           </t>
  </si>
  <si>
    <t>RANDJIES PARK</t>
  </si>
  <si>
    <t xml:space="preserve">MIKE S ACCESSORIES SA                   </t>
  </si>
  <si>
    <t xml:space="preserve">FLOMECH CC                              </t>
  </si>
  <si>
    <t>GLEN ANIL</t>
  </si>
  <si>
    <t xml:space="preserve">CPC STSTEMS CC                          </t>
  </si>
  <si>
    <t>DOORNBULT</t>
  </si>
  <si>
    <t xml:space="preserve">ANGLO NEW VAAL COLLIERY                 </t>
  </si>
  <si>
    <t xml:space="preserve">M.STEYN DESIGN &amp; ENGINEERING (PTY)      </t>
  </si>
  <si>
    <t xml:space="preserve">PIONEER FOODS GROCERIES PTY             </t>
  </si>
  <si>
    <t xml:space="preserve">SABENZA MANUFECTURING SYSTEM            </t>
  </si>
  <si>
    <t xml:space="preserve">SEA TECHNOLOGY SERVICE                  </t>
  </si>
  <si>
    <t xml:space="preserve">GRUNDFOS                                </t>
  </si>
  <si>
    <t>MEADOWBROOK</t>
  </si>
  <si>
    <t xml:space="preserve">TECHNICRETE                             </t>
  </si>
  <si>
    <t>CARLETONVILLE</t>
  </si>
  <si>
    <t xml:space="preserve">MAINTENANCE ENGINERING SERVICES         </t>
  </si>
  <si>
    <t>DURBAN-NOORD</t>
  </si>
  <si>
    <t xml:space="preserve">GIRLOCK S.A (PTY)LTD                    </t>
  </si>
  <si>
    <t xml:space="preserve">PIONEER PLASTICS                        </t>
  </si>
  <si>
    <t xml:space="preserve">FILMATIC PACKAGING SYSTEM (PTY)LTD      </t>
  </si>
  <si>
    <t>MOKOPANE</t>
  </si>
  <si>
    <t xml:space="preserve">NGK CERAMICS SOUTH AFRICA (PTY) LTD     </t>
  </si>
  <si>
    <t xml:space="preserve">MECHANICAL CONCEPTS CC                  </t>
  </si>
  <si>
    <t xml:space="preserve">SINGISI FOREST                          </t>
  </si>
  <si>
    <t xml:space="preserve">TAURUS PAPER PRODUCTS (PTY)LTD          </t>
  </si>
  <si>
    <t xml:space="preserve">TECHMACH PTY LTD                        </t>
  </si>
  <si>
    <t xml:space="preserve">TS ENGINEERING                          </t>
  </si>
  <si>
    <t xml:space="preserve">D.N AGENCIES                            </t>
  </si>
  <si>
    <t xml:space="preserve">RHEINMETALL LAINGSDALE (PTY) LTD        </t>
  </si>
  <si>
    <t xml:space="preserve">MMS TECHNOLOGY PTY LTD                  </t>
  </si>
  <si>
    <t>LYTTELTON MANOR</t>
  </si>
  <si>
    <t xml:space="preserve">PRIMA INDUSTRIAL HOLDINGS               </t>
  </si>
  <si>
    <t xml:space="preserve">VEBME                                   </t>
  </si>
  <si>
    <t xml:space="preserve">PIONEER FOOD PTY LTD                    </t>
  </si>
  <si>
    <t xml:space="preserve">MEGA-PAK                                </t>
  </si>
  <si>
    <t xml:space="preserve">THUTHUKA PACKAGING                      </t>
  </si>
  <si>
    <t xml:space="preserve">DEPARTMENT OF TRANSPORT &amp; SUPPLY CHAIN  </t>
  </si>
  <si>
    <t>AUCKLAND PARK</t>
  </si>
  <si>
    <t xml:space="preserve">IDWALA INDUSTRIAL HOLDINGS LTD          </t>
  </si>
  <si>
    <t xml:space="preserve">TECHNO MED CC                           </t>
  </si>
  <si>
    <t xml:space="preserve">BEL-ESSEX ENGINEERING                   </t>
  </si>
  <si>
    <t xml:space="preserve">RYMCO PTY LTD ACHOR YEAST               </t>
  </si>
  <si>
    <t xml:space="preserve">RHEEM SOUTH AFRICA LTD                  </t>
  </si>
  <si>
    <t xml:space="preserve">QUALIPAK (PTY) LTD                      </t>
  </si>
  <si>
    <t xml:space="preserve">WICTRA HOLDINGS PTY                     </t>
  </si>
  <si>
    <t>DUNSWART</t>
  </si>
  <si>
    <t xml:space="preserve">RAPPA RESOURCES                         </t>
  </si>
  <si>
    <t xml:space="preserve">JEPTPARK                                </t>
  </si>
  <si>
    <t>BLUFF</t>
  </si>
  <si>
    <t>ENTERPRISE FOOD AN DIV OF TIGER CONSUMER</t>
  </si>
  <si>
    <t xml:space="preserve">PREMIUM IDEAS SA (PTY)L.T.D             </t>
  </si>
  <si>
    <t xml:space="preserve">FISHWICK PRINTERS                       </t>
  </si>
  <si>
    <t xml:space="preserve">PFK ELECTRONICS PTY LTD                 </t>
  </si>
  <si>
    <t xml:space="preserve">PBA EQUIPMENT PTY LTD                   </t>
  </si>
  <si>
    <t xml:space="preserve">ILLOVO SUGAR LTD DALTON                 </t>
  </si>
  <si>
    <t xml:space="preserve">AFRIPACK CONSUMER FLEXIBLES PTY LTD     </t>
  </si>
  <si>
    <t xml:space="preserve">KSD TVET COLLEGE                        </t>
  </si>
  <si>
    <t>GLEN MARAIS</t>
  </si>
  <si>
    <t xml:space="preserve">SUNTEX PTY LTD                          </t>
  </si>
  <si>
    <t>BUTTERWORTH EXT 7</t>
  </si>
  <si>
    <t xml:space="preserve">ARANDA TEXTILE MILLS (PTY) LTD          </t>
  </si>
  <si>
    <t xml:space="preserve">TSWANE MOTLHAGASE DISTRUBUTORS          </t>
  </si>
  <si>
    <t xml:space="preserve">UNIPLATE GROUP (PTY)LTD                 </t>
  </si>
  <si>
    <t xml:space="preserve">PROPANELS PTY LTD                       </t>
  </si>
  <si>
    <t xml:space="preserve">PROGETTO INTERNATIONAL                  </t>
  </si>
  <si>
    <t>EAST END</t>
  </si>
  <si>
    <t xml:space="preserve">ZF LEMFOERDER SA                        </t>
  </si>
  <si>
    <t xml:space="preserve">RUMAX MINING CC                         </t>
  </si>
  <si>
    <t xml:space="preserve">VIP PLASTICS                            </t>
  </si>
  <si>
    <t xml:space="preserve">CHARIOTEER TRADER 30 CC                 </t>
  </si>
  <si>
    <t xml:space="preserve">HENRED FRUEHAUF TRAILERS                </t>
  </si>
  <si>
    <t xml:space="preserve">KANSAI PLASCON KRUGERSDORP              </t>
  </si>
  <si>
    <t>FACTORIA</t>
  </si>
  <si>
    <t xml:space="preserve">DEVCOTECH ELECTRICAL ENG                </t>
  </si>
  <si>
    <t xml:space="preserve">CIP INDUSTRIAL                          </t>
  </si>
  <si>
    <t xml:space="preserve">SAFRIPOL (PTY) LTD                      </t>
  </si>
  <si>
    <t xml:space="preserve">COROBRICK (PTY) LTD                     </t>
  </si>
  <si>
    <t xml:space="preserve">RICE &amp; PASTA A DIV OF                   </t>
  </si>
  <si>
    <t xml:space="preserve">TIGER CONSUMER BRANDS                   </t>
  </si>
  <si>
    <t xml:space="preserve">BANDINI CHEESE PTY LTD                  </t>
  </si>
  <si>
    <t>DOORNKOP</t>
  </si>
  <si>
    <t xml:space="preserve">PABAR (PTY)L.T.D                        </t>
  </si>
  <si>
    <t xml:space="preserve">FRESENIUS KABI SA (PTY) L.T.D           </t>
  </si>
  <si>
    <t xml:space="preserve">BURHOSE (DIV OF ARWA PTY LTD)           </t>
  </si>
  <si>
    <t xml:space="preserve">PNEUMATIC TANKER EQUIPMENT CC           </t>
  </si>
  <si>
    <t xml:space="preserve">CTP LTD T/A PACKAGING                   </t>
  </si>
  <si>
    <t xml:space="preserve">NAMPAK GLASS                            </t>
  </si>
  <si>
    <t xml:space="preserve">MONDELEZ PE FACTORY INC                 </t>
  </si>
  <si>
    <t xml:space="preserve">TONGAAT HULETTS GROUP LIMITED           </t>
  </si>
  <si>
    <t>RED HILL</t>
  </si>
  <si>
    <t xml:space="preserve">PARMALAT (PTY) LTD                      </t>
  </si>
  <si>
    <t xml:space="preserve">BEVCAN A DIV OF NAMPAK PRODUCT LTD      </t>
  </si>
  <si>
    <t xml:space="preserve">FAURENTIA INTERIOR SYSTEMS              </t>
  </si>
  <si>
    <t xml:space="preserve">SUCO ENGINEERING                        </t>
  </si>
  <si>
    <t xml:space="preserve">HIGH FORCE HYDRAULIC PNEUMATIC &amp;        </t>
  </si>
  <si>
    <t xml:space="preserve">POLYOAK PACKAGING PTY LTD               </t>
  </si>
  <si>
    <t xml:space="preserve">ITHUBA VALVES &amp; INDUSTRIAL SUPPLIES     </t>
  </si>
  <si>
    <t xml:space="preserve">AUTOPAC MACHINERY CORPORATION           </t>
  </si>
  <si>
    <t>KAYA SAND</t>
  </si>
  <si>
    <t>JORDAN &amp; CO A DIV BOLTON FOOTWEAR PTY LT</t>
  </si>
  <si>
    <t>ELSIES RIVER</t>
  </si>
  <si>
    <t xml:space="preserve">SHATTERPRUFE TRADING SA                 </t>
  </si>
  <si>
    <t xml:space="preserve">GUALA CLOSURES S.A                      </t>
  </si>
  <si>
    <t xml:space="preserve">ZUIKERBOSCH STATION RAND WATER          </t>
  </si>
  <si>
    <t xml:space="preserve">IMSOFER MANUFACTURING (PTY) LTD         </t>
  </si>
  <si>
    <t xml:space="preserve">BME PACKAGING CC                        </t>
  </si>
  <si>
    <t xml:space="preserve">HSM AMANZI                              </t>
  </si>
  <si>
    <t xml:space="preserve">SA SUGAR ASSOCIATION                    </t>
  </si>
  <si>
    <t xml:space="preserve">GRAPETEK PTY LTD                        </t>
  </si>
  <si>
    <t xml:space="preserve">SCHULLPAK CC                            </t>
  </si>
  <si>
    <t>TABLE VIEW</t>
  </si>
  <si>
    <t xml:space="preserve">SPERO SENSORS &amp; INSTRUMENTS PTY LTD     </t>
  </si>
  <si>
    <t xml:space="preserve">POPS MINING SUPPLIES &amp; SERVICES         </t>
  </si>
  <si>
    <t>PORT NOLLOTH</t>
  </si>
  <si>
    <t xml:space="preserve">HONEYFILD WHOLESALE                     </t>
  </si>
  <si>
    <t xml:space="preserve">L'OREAL MANUFACTURING (PTY)LTD          </t>
  </si>
  <si>
    <t xml:space="preserve">ESD FACILITIES GASES                    </t>
  </si>
  <si>
    <t>KEMPTON PARK</t>
  </si>
  <si>
    <t xml:space="preserve">MAXAM DANTEX SA PTY LTD                 </t>
  </si>
  <si>
    <t xml:space="preserve">DG IMPEX CC                             </t>
  </si>
  <si>
    <t>KELVIN</t>
  </si>
  <si>
    <t xml:space="preserve">MCG INDUSTRIES (PTY)LTD                 </t>
  </si>
  <si>
    <t xml:space="preserve">ESKOM HOLDINGS LIMITED                  </t>
  </si>
  <si>
    <t>MELKBOSSTRAND</t>
  </si>
  <si>
    <t xml:space="preserve">FESTO ELS                               </t>
  </si>
  <si>
    <t>NAHOON</t>
  </si>
  <si>
    <t xml:space="preserve">LUMOTECH (PTY) LTD                      </t>
  </si>
  <si>
    <t xml:space="preserve">BAGSHAW GIBAUD (FOOTWEAR) PTY LTD       </t>
  </si>
  <si>
    <t xml:space="preserve">MPACT OPERATIONS PROPERTY LTD           </t>
  </si>
  <si>
    <t>Downloaded</t>
  </si>
  <si>
    <t xml:space="preserve">WAD- SULPHONIC PLANT                    </t>
  </si>
  <si>
    <t xml:space="preserve">EXEL &amp; I                                </t>
  </si>
  <si>
    <t>BRYANSTON</t>
  </si>
  <si>
    <t>SUNDRA</t>
  </si>
  <si>
    <t xml:space="preserve">JOYA BRANDS PTY LTD                     </t>
  </si>
  <si>
    <t xml:space="preserve">GLOBAL AUTOMATION SYSTEMS               </t>
  </si>
  <si>
    <t>ERASMUSKLOOF</t>
  </si>
  <si>
    <t xml:space="preserve">LODEX SYSTENS CC                        </t>
  </si>
  <si>
    <t xml:space="preserve">UGWEBU TRADING                          </t>
  </si>
  <si>
    <t xml:space="preserve">VITAL HEALTH FOODS PTY LTD              </t>
  </si>
  <si>
    <t xml:space="preserve">NEVILLE CAMAY CC                        </t>
  </si>
  <si>
    <t>FLORIDA GLEN</t>
  </si>
  <si>
    <t xml:space="preserve">AUTOMA MULTI STYRENE PTY LTD            </t>
  </si>
  <si>
    <t xml:space="preserve">ROUTE MANAGEMENT/HENDRED FREUHAFF       </t>
  </si>
  <si>
    <t xml:space="preserve">ABERDARE CABLES PTY LTD                 </t>
  </si>
  <si>
    <t xml:space="preserve">GSK CONSUMER HEALTHCARE SA PTY LTD      </t>
  </si>
  <si>
    <t xml:space="preserve">SOUTH DEEP GOLD MINE                    </t>
  </si>
  <si>
    <t xml:space="preserve">FILQUIP ENGINEERING                     </t>
  </si>
  <si>
    <t xml:space="preserve">THERMITEC CC                            </t>
  </si>
  <si>
    <t xml:space="preserve">MPACT PLASTICS COMPRESSION MOULDING     </t>
  </si>
  <si>
    <t xml:space="preserve">MPACT PLASTICS                          </t>
  </si>
  <si>
    <t xml:space="preserve">GUTH SA PTY LTD                         </t>
  </si>
  <si>
    <t xml:space="preserve">TURN BAR                                </t>
  </si>
  <si>
    <t xml:space="preserve">GEMU VALUES AFRICA                      </t>
  </si>
  <si>
    <t xml:space="preserve">ACTISOL CC T/A EX-ES GENERAL            </t>
  </si>
  <si>
    <t xml:space="preserve">BARROWS DESIGN &amp; MANUFACTURING PTY LTD  </t>
  </si>
  <si>
    <t xml:space="preserve">NEF ENGINEERING (PTY) L.T.D             </t>
  </si>
  <si>
    <t>BRENTWOOD PARK</t>
  </si>
  <si>
    <t xml:space="preserve">EUROSHELF PTY LTD                       </t>
  </si>
  <si>
    <t xml:space="preserve">LEONARD DINGLER PTY LTD                 </t>
  </si>
  <si>
    <t xml:space="preserve">ELECTRO-MECH SERVICES                   </t>
  </si>
  <si>
    <t xml:space="preserve">FREEDOM STATIONERY (PTY)L.T.D           </t>
  </si>
  <si>
    <t xml:space="preserve">AMS - AUTOMATED MANUFACTURING SOLUTIONS </t>
  </si>
  <si>
    <t xml:space="preserve">QUANTUM FOODS                           </t>
  </si>
  <si>
    <t>BON ACCORD</t>
  </si>
  <si>
    <t xml:space="preserve">SAR ELECTRONIC SA PTY LTD               </t>
  </si>
  <si>
    <t>MONTANA PARK</t>
  </si>
  <si>
    <t xml:space="preserve">TONGAAT HULLET STARCH                   </t>
  </si>
  <si>
    <t xml:space="preserve">ADIENT PASDEC PTY                       </t>
  </si>
  <si>
    <t xml:space="preserve">PRODUCTIVE ENGINEERING CC               </t>
  </si>
  <si>
    <t xml:space="preserve">CONVEYCO (PTY) LTD                      </t>
  </si>
  <si>
    <t xml:space="preserve">TRONOX MINERAL SANDS                    </t>
  </si>
  <si>
    <t xml:space="preserve">WILLOWTON OIL &amp; CAKE MILLS              </t>
  </si>
  <si>
    <t xml:space="preserve">ENGEN PERTROLEM LTD                     </t>
  </si>
  <si>
    <t xml:space="preserve">CLOVER S.A PTY LTD                      </t>
  </si>
  <si>
    <t xml:space="preserve">OZONE TECHNOLOGIES A/T                  </t>
  </si>
  <si>
    <t>WOODMEAD UIT 11</t>
  </si>
  <si>
    <t xml:space="preserve">MICROMATH TRADING 168 CC                </t>
  </si>
  <si>
    <t xml:space="preserve">CTP PACKAGING                           </t>
  </si>
  <si>
    <t xml:space="preserve">KIMBERLY CLARK                          </t>
  </si>
  <si>
    <t>SPRINGS</t>
  </si>
  <si>
    <t xml:space="preserve">ILIANGA MINING                          </t>
  </si>
  <si>
    <t xml:space="preserve">UMICORE CATALYST SA PTY LTD             </t>
  </si>
  <si>
    <t xml:space="preserve">FRANKIN ELECTRICAL (PTY)L.T.D           </t>
  </si>
  <si>
    <t>ISANDOVALE</t>
  </si>
  <si>
    <t xml:space="preserve">ISEGEN S. A                             </t>
  </si>
  <si>
    <t xml:space="preserve">BURNSHIELD                              </t>
  </si>
  <si>
    <t xml:space="preserve">HALEWOOD INTERNATIONAL                  </t>
  </si>
  <si>
    <t xml:space="preserve">CBI ELECTRIC TELECOM CABLES             </t>
  </si>
  <si>
    <t xml:space="preserve">PASDEC AUTOMOTIVE TECHNOLOGIES (PTY)LTD </t>
  </si>
  <si>
    <t xml:space="preserve">QUALITY BEVERAGES                       </t>
  </si>
  <si>
    <t xml:space="preserve">ARREAU INDUSTRIES PTY LTD               </t>
  </si>
  <si>
    <t xml:space="preserve">QUANTUM AUTOMOTIVE                      </t>
  </si>
  <si>
    <t xml:space="preserve">NORTHFIELD ENGINEERING (PTY) LTD        </t>
  </si>
  <si>
    <t xml:space="preserve">THE PETROLEUM OL &amp; GAS                  </t>
  </si>
  <si>
    <t>MOSSEL BAY</t>
  </si>
  <si>
    <t xml:space="preserve">FGW SAFETY GLASS                        </t>
  </si>
  <si>
    <t xml:space="preserve">H.W.S INDUSTRIES (PTY) LTD              </t>
  </si>
  <si>
    <t xml:space="preserve">T &amp; V HYDRAU-PNEUMATIC SOLUTIONS        </t>
  </si>
  <si>
    <t xml:space="preserve">TECHNIKON LABORATORIES                  </t>
  </si>
  <si>
    <t xml:space="preserve">COCA COLA SHANDUKA BEVERAGES SA         </t>
  </si>
  <si>
    <t xml:space="preserve">167 COBRA WATERTECH (PTY)LTD {P2&amp; 3}    </t>
  </si>
  <si>
    <t xml:space="preserve">AFRISAM SA PTY LTD                      </t>
  </si>
  <si>
    <t xml:space="preserve">COCA COLA SHANDUKA BEVERAGES            </t>
  </si>
  <si>
    <t xml:space="preserve">WATCH TOWER BIBLE TRACT SOCIETY OF SA   </t>
  </si>
  <si>
    <t>RANGEVIEW</t>
  </si>
  <si>
    <t xml:space="preserve">VR LASER SERVICES (PTY) LTD             </t>
  </si>
  <si>
    <t xml:space="preserve">GRW COMMERCIALS (PTY)LTD                </t>
  </si>
  <si>
    <t xml:space="preserve">IMPRO TECHNOLOGIES ACCESS CONTROL       </t>
  </si>
  <si>
    <t xml:space="preserve">AUTOMATION TECHNIQUES                   </t>
  </si>
  <si>
    <t xml:space="preserve">PILOT TOOLS                             </t>
  </si>
  <si>
    <t xml:space="preserve">TORRE AUTOMOTIVE (PTY) LTD              </t>
  </si>
  <si>
    <t xml:space="preserve">HELLERMANN TYTON                        </t>
  </si>
  <si>
    <t>MARLBORO</t>
  </si>
  <si>
    <t xml:space="preserve">GUBB &amp; INGGS                            </t>
  </si>
  <si>
    <t xml:space="preserve">ALPLAS PLASTICS (PTY) LTD               </t>
  </si>
  <si>
    <t xml:space="preserve">OFFSET PRESS SUPPLIES (PTY) LTD         </t>
  </si>
  <si>
    <t xml:space="preserve">IRVIN &amp; JOHNSON LTD                     </t>
  </si>
  <si>
    <t xml:space="preserve">ENTERPRISE FOODS                        </t>
  </si>
  <si>
    <t xml:space="preserve">SUNBAKE BOERSTRA                        </t>
  </si>
  <si>
    <t xml:space="preserve">MJ INDUSTRIAL &amp; ENGINEERING             </t>
  </si>
  <si>
    <t>EASTLEIGH</t>
  </si>
  <si>
    <t xml:space="preserve">PBA SPARES PTY LTD                      </t>
  </si>
  <si>
    <t xml:space="preserve">H. ROHLOFF                              </t>
  </si>
  <si>
    <t xml:space="preserve">TAKATA PETRI SA PTY LTD                 </t>
  </si>
  <si>
    <t xml:space="preserve">APPLETISER sa (PTY) LTD                 </t>
  </si>
  <si>
    <t>GRABOUW</t>
  </si>
  <si>
    <t xml:space="preserve">HISCO STEEL (PTY_LTD                    </t>
  </si>
  <si>
    <t>PRIMROSE</t>
  </si>
  <si>
    <t xml:space="preserve">MINACO PTY LTD DIVISTION LASTRE         </t>
  </si>
  <si>
    <t>GA-RANKUWA</t>
  </si>
  <si>
    <t xml:space="preserve">MA AUTOMOTIVE                           </t>
  </si>
  <si>
    <t>BERLIN</t>
  </si>
  <si>
    <t xml:space="preserve">THABA CHUEU MINING (PTY)LTD             </t>
  </si>
  <si>
    <t xml:space="preserve">WORLD POWER PRODUCTS                    </t>
  </si>
  <si>
    <t>TURFFONTEIN</t>
  </si>
  <si>
    <t xml:space="preserve">PROPET S.A (PTY) LTD                    </t>
  </si>
  <si>
    <t xml:space="preserve">ATL BLOW MOULDERS                       </t>
  </si>
  <si>
    <t xml:space="preserve">CBI ELECTRIC AFRICAN CABLES             </t>
  </si>
  <si>
    <t>PEACEHAVEN</t>
  </si>
  <si>
    <t xml:space="preserve">BOLT &amp; ENG (PLATPROV)                   </t>
  </si>
  <si>
    <t xml:space="preserve">PRAGA TECHNICAL PTY LTD                 </t>
  </si>
  <si>
    <t xml:space="preserve">SASOL EXPLOSIVES DDS                    </t>
  </si>
  <si>
    <t>WITBANK</t>
  </si>
  <si>
    <t xml:space="preserve">VOLTEX WESTERN CAPE                     </t>
  </si>
  <si>
    <t>VREDENBERG</t>
  </si>
  <si>
    <t xml:space="preserve">FESTO DIDATIC CPT                       </t>
  </si>
  <si>
    <t xml:space="preserve">KONGSKILDE                              </t>
  </si>
  <si>
    <t xml:space="preserve">DURBAN UNIVERSITY OF TECHNOLOGY         </t>
  </si>
  <si>
    <t xml:space="preserve">COMMUTER TRANSPORT ENGINEERING          </t>
  </si>
  <si>
    <t>OKAVANGO PARK</t>
  </si>
  <si>
    <t xml:space="preserve">WEIGHDATA                               </t>
  </si>
  <si>
    <t xml:space="preserve">SIBANYE GOLD ACADEMY (PTY)LTD           </t>
  </si>
  <si>
    <t xml:space="preserve">FERRERO SOUTH AFRICA (PTY) LTD          </t>
  </si>
  <si>
    <t xml:space="preserve">TOSAS PTY LTD                           </t>
  </si>
  <si>
    <t xml:space="preserve">KATLA FOOD TRADING                      </t>
  </si>
  <si>
    <t xml:space="preserve">INDIGO BRANDS (PTY)LTD                  </t>
  </si>
  <si>
    <t xml:space="preserve">D44C-FUSE/ISAP/FIC ENGINEERING STORE    </t>
  </si>
  <si>
    <t xml:space="preserve">LIMPOPO LUMBER PRODUCTS                 </t>
  </si>
  <si>
    <t>TZANEEN</t>
  </si>
  <si>
    <t xml:space="preserve">SUNBAKE BENONI                          </t>
  </si>
  <si>
    <t xml:space="preserve">MISTER SWEET PTY LTD                    </t>
  </si>
  <si>
    <t xml:space="preserve">JENSEN BELTS (PTY) LTD                  </t>
  </si>
  <si>
    <t xml:space="preserve">FONTANA MANUFACTURERS PTY LTD           </t>
  </si>
  <si>
    <t xml:space="preserve">G.U.D HOLDINGS                          </t>
  </si>
  <si>
    <t xml:space="preserve">VOLTEX MV/LV SO                         </t>
  </si>
  <si>
    <t>CATO RIDGE</t>
  </si>
  <si>
    <t xml:space="preserve">AMOPACK CAN MANUFACTURERS PTY LTD       </t>
  </si>
  <si>
    <t xml:space="preserve">CASZAY ENGINEERING                      </t>
  </si>
  <si>
    <t xml:space="preserve">G.U.D. HOLDINGS                         </t>
  </si>
  <si>
    <t xml:space="preserve">BCG STAINLESS STEEL SERVICES CC         </t>
  </si>
  <si>
    <t>FES1162565573</t>
  </si>
  <si>
    <t xml:space="preserve">MITAS CORPORATION (PTY)LTD              </t>
  </si>
  <si>
    <t xml:space="preserve">2170582132 </t>
  </si>
  <si>
    <t>ON1</t>
  </si>
  <si>
    <t/>
  </si>
  <si>
    <t>PFES1162565573_0001</t>
  </si>
  <si>
    <t>FES1162565580</t>
  </si>
  <si>
    <t xml:space="preserve">2170582143 </t>
  </si>
  <si>
    <t>ON2</t>
  </si>
  <si>
    <t>PFES1162565580_0001</t>
  </si>
  <si>
    <t>FES1162565591</t>
  </si>
  <si>
    <t xml:space="preserve">2170582164 </t>
  </si>
  <si>
    <t>PFES1162565591_0001</t>
  </si>
  <si>
    <t>PFES1162565591_0002</t>
  </si>
  <si>
    <t>FES1162565565</t>
  </si>
  <si>
    <t xml:space="preserve">2170582119 </t>
  </si>
  <si>
    <t>PFES1162565565_0001</t>
  </si>
  <si>
    <t>FES1162565572</t>
  </si>
  <si>
    <t xml:space="preserve">2170582131 </t>
  </si>
  <si>
    <t>PFES1162565572_0001</t>
  </si>
  <si>
    <t>FES1162565521</t>
  </si>
  <si>
    <t xml:space="preserve">2170581544 </t>
  </si>
  <si>
    <t>DBC</t>
  </si>
  <si>
    <t>PFES1162565521_0001</t>
  </si>
  <si>
    <t>FES1162565542</t>
  </si>
  <si>
    <t xml:space="preserve">2170579281 </t>
  </si>
  <si>
    <t>PFES1162565542_0001</t>
  </si>
  <si>
    <t>FES1162565520</t>
  </si>
  <si>
    <t xml:space="preserve">2170581534 </t>
  </si>
  <si>
    <t>PFES1162565520_0001</t>
  </si>
  <si>
    <t>FES1162565587</t>
  </si>
  <si>
    <t xml:space="preserve">2170582156 </t>
  </si>
  <si>
    <t>PFES1162565587_0001</t>
  </si>
  <si>
    <t>FES1162565517</t>
  </si>
  <si>
    <t xml:space="preserve">EXPLOSION PROTECTED                     </t>
  </si>
  <si>
    <t xml:space="preserve">2170581329 </t>
  </si>
  <si>
    <t>PFES1162565517_0001</t>
  </si>
  <si>
    <t>FES1162565589</t>
  </si>
  <si>
    <t xml:space="preserve">2170582161 </t>
  </si>
  <si>
    <t>PFES1162565589_0001</t>
  </si>
  <si>
    <t>FES1162565582</t>
  </si>
  <si>
    <t xml:space="preserve">Business Connexion Pty Lt               </t>
  </si>
  <si>
    <t xml:space="preserve">2170582125 </t>
  </si>
  <si>
    <t>PFES1162565582_0001</t>
  </si>
  <si>
    <t>PFES1162565582_0002</t>
  </si>
  <si>
    <t>PFES1162565582_0003</t>
  </si>
  <si>
    <t>PFES1162565582_0004</t>
  </si>
  <si>
    <t>PFES1162565582_0005</t>
  </si>
  <si>
    <t>PFES1162565582_0006</t>
  </si>
  <si>
    <t>PFES1162565582_0007</t>
  </si>
  <si>
    <t>FES1162565590</t>
  </si>
  <si>
    <t xml:space="preserve">2170582163 </t>
  </si>
  <si>
    <t>PFES1162565590_0001</t>
  </si>
  <si>
    <t>FES1162565584</t>
  </si>
  <si>
    <t xml:space="preserve">TRIM GARANKUWA MAIN WAREHOUSE           </t>
  </si>
  <si>
    <t xml:space="preserve">2170582148 </t>
  </si>
  <si>
    <t>PFES1162565584_0001</t>
  </si>
  <si>
    <t>FES1162565583</t>
  </si>
  <si>
    <t xml:space="preserve">2170582147 </t>
  </si>
  <si>
    <t>PFES1162565583_0001</t>
  </si>
  <si>
    <t>FES1162565513</t>
  </si>
  <si>
    <t xml:space="preserve">2170582084 </t>
  </si>
  <si>
    <t>PFES1162565513_0001</t>
  </si>
  <si>
    <t>FES1162565539</t>
  </si>
  <si>
    <t xml:space="preserve">2170575369 </t>
  </si>
  <si>
    <t>PFES1162565539_0001</t>
  </si>
  <si>
    <t>FES1162565509</t>
  </si>
  <si>
    <t xml:space="preserve">2170582080 </t>
  </si>
  <si>
    <t>PFES1162565509_0001</t>
  </si>
  <si>
    <t>FES1162565586</t>
  </si>
  <si>
    <t xml:space="preserve">2170582154 </t>
  </si>
  <si>
    <t>PFES1162565586_0001</t>
  </si>
  <si>
    <t>FES1162565502</t>
  </si>
  <si>
    <t xml:space="preserve">2170582069 </t>
  </si>
  <si>
    <t>PFES1162565502_0001</t>
  </si>
  <si>
    <t>PFES1162565502_0002</t>
  </si>
  <si>
    <t>FES1162565505</t>
  </si>
  <si>
    <t xml:space="preserve">2170576392 </t>
  </si>
  <si>
    <t>PFES1162565505_0001</t>
  </si>
  <si>
    <t>FES1162565578</t>
  </si>
  <si>
    <t xml:space="preserve">2170582140 </t>
  </si>
  <si>
    <t>PFES1162565578_0001</t>
  </si>
  <si>
    <t>FES1162565534</t>
  </si>
  <si>
    <t xml:space="preserve">2170581675 </t>
  </si>
  <si>
    <t>PFES1162565534_0001</t>
  </si>
  <si>
    <t>FES1162565585</t>
  </si>
  <si>
    <t xml:space="preserve">2170582152 </t>
  </si>
  <si>
    <t>PFES1162565585_0001</t>
  </si>
  <si>
    <t>FES1162565522</t>
  </si>
  <si>
    <t xml:space="preserve">2170581636 </t>
  </si>
  <si>
    <t>PFES1162565522_0001</t>
  </si>
  <si>
    <t>FES1162565503</t>
  </si>
  <si>
    <t xml:space="preserve">SAINT GOBAIN CONSTRUCTION PRODUCTS      </t>
  </si>
  <si>
    <t xml:space="preserve">2170582070 </t>
  </si>
  <si>
    <t>PFES1162565503_0001</t>
  </si>
  <si>
    <t>FES1162565469</t>
  </si>
  <si>
    <t xml:space="preserve">2170582053 </t>
  </si>
  <si>
    <t>PFES1162565469_0001</t>
  </si>
  <si>
    <t>FES1162562193</t>
  </si>
  <si>
    <t xml:space="preserve">APOLLO BRICK                            </t>
  </si>
  <si>
    <t xml:space="preserve">217058795 </t>
  </si>
  <si>
    <t>WITKOPPEN</t>
  </si>
  <si>
    <t>PFES1162562193_0001</t>
  </si>
  <si>
    <t>FES1162565558</t>
  </si>
  <si>
    <t xml:space="preserve">217058260 </t>
  </si>
  <si>
    <t>PFES1162565558_0001</t>
  </si>
  <si>
    <t>FES1162565568</t>
  </si>
  <si>
    <t xml:space="preserve">217058216 </t>
  </si>
  <si>
    <t>PFES1162565568_0001</t>
  </si>
  <si>
    <t>FES1162565564</t>
  </si>
  <si>
    <t xml:space="preserve">21705782107 </t>
  </si>
  <si>
    <t>PFES1162565564_0001</t>
  </si>
  <si>
    <t>FES1162565523</t>
  </si>
  <si>
    <t xml:space="preserve">2170581683 </t>
  </si>
  <si>
    <t>PFES1162565523_0001</t>
  </si>
  <si>
    <t>FES1162565566</t>
  </si>
  <si>
    <t xml:space="preserve">2170582120 </t>
  </si>
  <si>
    <t>PFES1162565566_0001</t>
  </si>
  <si>
    <t>FES1162565574</t>
  </si>
  <si>
    <t xml:space="preserve">2170582133 </t>
  </si>
  <si>
    <t>PFES1162565574_0001</t>
  </si>
  <si>
    <t>FES1162565575</t>
  </si>
  <si>
    <t xml:space="preserve">2170582134 </t>
  </si>
  <si>
    <t>PFES1162565575_0001</t>
  </si>
  <si>
    <t>FES1162565579</t>
  </si>
  <si>
    <t xml:space="preserve">2170582141 </t>
  </si>
  <si>
    <t>PFES1162565579_0001</t>
  </si>
  <si>
    <t>FES1162564282</t>
  </si>
  <si>
    <t xml:space="preserve">217058760 </t>
  </si>
  <si>
    <t>PFES1162564282_0001</t>
  </si>
  <si>
    <t>FES1162565552</t>
  </si>
  <si>
    <t xml:space="preserve">2170582039 </t>
  </si>
  <si>
    <t>SAT</t>
  </si>
  <si>
    <t>SATURDAY DELIVERY</t>
  </si>
  <si>
    <t>PFES1162565552_0001</t>
  </si>
  <si>
    <t>FES1162565400</t>
  </si>
  <si>
    <t xml:space="preserve">SAVASCO CC                              </t>
  </si>
  <si>
    <t xml:space="preserve"> </t>
  </si>
  <si>
    <t>FRAGILE OIL</t>
  </si>
  <si>
    <t>PFES1162565400_0001</t>
  </si>
  <si>
    <t>FES1162565560</t>
  </si>
  <si>
    <t xml:space="preserve">2170582117 </t>
  </si>
  <si>
    <t>PFES1162565560_0001</t>
  </si>
  <si>
    <t>FES1162565562</t>
  </si>
  <si>
    <t xml:space="preserve">2170581123 </t>
  </si>
  <si>
    <t>PFES1162565562_0001</t>
  </si>
  <si>
    <t>FES1162565512</t>
  </si>
  <si>
    <t xml:space="preserve">217058082 </t>
  </si>
  <si>
    <t>PFES1162565512_0001</t>
  </si>
  <si>
    <t>FES1162565535</t>
  </si>
  <si>
    <t xml:space="preserve">HIGH FREQUENCY HEATING                  </t>
  </si>
  <si>
    <t xml:space="preserve">21705782055 </t>
  </si>
  <si>
    <t>PFES1162565535_0001</t>
  </si>
  <si>
    <t>FES1162565561</t>
  </si>
  <si>
    <t xml:space="preserve">2170582118 </t>
  </si>
  <si>
    <t>PFES1162565561_0001</t>
  </si>
  <si>
    <t>FES1162565544</t>
  </si>
  <si>
    <t xml:space="preserve">2170582098 </t>
  </si>
  <si>
    <t>PFES1162565544_0001</t>
  </si>
  <si>
    <t>FES1162565551</t>
  </si>
  <si>
    <t xml:space="preserve">2170576690 </t>
  </si>
  <si>
    <t>PFES1162565551_0001</t>
  </si>
  <si>
    <t>FES1162565547</t>
  </si>
  <si>
    <t xml:space="preserve">2170582106 </t>
  </si>
  <si>
    <t>PFES1162565547_0001</t>
  </si>
  <si>
    <t>FES1162565543</t>
  </si>
  <si>
    <t xml:space="preserve">2170581009 </t>
  </si>
  <si>
    <t>PFES1162565543_0001</t>
  </si>
  <si>
    <t>FES1162565548</t>
  </si>
  <si>
    <t xml:space="preserve">217058892 </t>
  </si>
  <si>
    <t>PFES1162565548_0001</t>
  </si>
  <si>
    <t>FES1162565555</t>
  </si>
  <si>
    <t xml:space="preserve">2170582111 </t>
  </si>
  <si>
    <t>PFES1162565555_0001</t>
  </si>
  <si>
    <t>FES1162565556</t>
  </si>
  <si>
    <t xml:space="preserve">MAHLE BEHR SOUTH AFRICA (PTY) LTD       </t>
  </si>
  <si>
    <t xml:space="preserve">2170582112 </t>
  </si>
  <si>
    <t>PFES1162565556_0001</t>
  </si>
  <si>
    <t>FES1162565557</t>
  </si>
  <si>
    <t xml:space="preserve">21705877037 </t>
  </si>
  <si>
    <t>PFES1162565557_0001</t>
  </si>
  <si>
    <t>FES1162565415</t>
  </si>
  <si>
    <t xml:space="preserve">2170579335 </t>
  </si>
  <si>
    <t>PFES1162565415_0001</t>
  </si>
  <si>
    <t>FES1162565489</t>
  </si>
  <si>
    <t xml:space="preserve">2170581218 </t>
  </si>
  <si>
    <t>PFES1162565489_0001</t>
  </si>
  <si>
    <t>FES1162565536</t>
  </si>
  <si>
    <t xml:space="preserve">2170582097 </t>
  </si>
  <si>
    <t>PFES1162565536_0001</t>
  </si>
  <si>
    <t>FES1162565402</t>
  </si>
  <si>
    <t xml:space="preserve">2170579914 </t>
  </si>
  <si>
    <t>PFES1162565402_0001</t>
  </si>
  <si>
    <t>FES1162565516</t>
  </si>
  <si>
    <t xml:space="preserve">2170575767 </t>
  </si>
  <si>
    <t>PFES1162565516_0001</t>
  </si>
  <si>
    <t>FES1162565419</t>
  </si>
  <si>
    <t xml:space="preserve">2170581985 </t>
  </si>
  <si>
    <t>PFES1162565419_0001</t>
  </si>
  <si>
    <t>FES1162565527</t>
  </si>
  <si>
    <t xml:space="preserve">2170582088 </t>
  </si>
  <si>
    <t>PFES1162565527_0001</t>
  </si>
  <si>
    <t>FES1162565413</t>
  </si>
  <si>
    <t xml:space="preserve">2170579256 </t>
  </si>
  <si>
    <t>PFES1162565413_0001</t>
  </si>
  <si>
    <t>FES1162565403</t>
  </si>
  <si>
    <t xml:space="preserve">2170580442 </t>
  </si>
  <si>
    <t>PFES1162565403_0001</t>
  </si>
  <si>
    <t>FES1162565529</t>
  </si>
  <si>
    <t xml:space="preserve">2170582090 </t>
  </si>
  <si>
    <t>PFES1162565529_0001</t>
  </si>
  <si>
    <t>FES1162565540</t>
  </si>
  <si>
    <t xml:space="preserve">2170582105 </t>
  </si>
  <si>
    <t>PFES1162565540_0001</t>
  </si>
  <si>
    <t>FES1162563724</t>
  </si>
  <si>
    <t>PFES1162563724_0001</t>
  </si>
  <si>
    <t>FES1162565472</t>
  </si>
  <si>
    <t xml:space="preserve">2170581596 </t>
  </si>
  <si>
    <t>PFES1162565472_0001</t>
  </si>
  <si>
    <t>FES1162565528</t>
  </si>
  <si>
    <t xml:space="preserve">2170582089 </t>
  </si>
  <si>
    <t>PFES1162565528_0001</t>
  </si>
  <si>
    <t>FES1162565395</t>
  </si>
  <si>
    <t xml:space="preserve">2170564455 </t>
  </si>
  <si>
    <t>PFES1162565395_0001</t>
  </si>
  <si>
    <t>FES1162565405</t>
  </si>
  <si>
    <t xml:space="preserve">2170578061 </t>
  </si>
  <si>
    <t>PFES1162565405_0001</t>
  </si>
  <si>
    <t>FES1162565404</t>
  </si>
  <si>
    <t xml:space="preserve">PROCESS DYNAMICS PTY LTD                </t>
  </si>
  <si>
    <t xml:space="preserve">2170581766 </t>
  </si>
  <si>
    <t>RHODESFIELD</t>
  </si>
  <si>
    <t>PFES1162565404_0001</t>
  </si>
  <si>
    <t>FES1162565471</t>
  </si>
  <si>
    <t xml:space="preserve">2170579510 </t>
  </si>
  <si>
    <t>PFES1162565471_0001</t>
  </si>
  <si>
    <t>PFES1162565471_0002</t>
  </si>
  <si>
    <t>PFES1162565471_0003</t>
  </si>
  <si>
    <t>FES1162565475</t>
  </si>
  <si>
    <t xml:space="preserve">2170582045 </t>
  </si>
  <si>
    <t>PFES1162565475_0001</t>
  </si>
  <si>
    <t>FES1162565504</t>
  </si>
  <si>
    <t xml:space="preserve">MULTI MINING SUPPLIES                   </t>
  </si>
  <si>
    <t xml:space="preserve">2170582071 </t>
  </si>
  <si>
    <t>PHALABORWA</t>
  </si>
  <si>
    <t>PFES1162565504_0001</t>
  </si>
  <si>
    <t>FES1162565524</t>
  </si>
  <si>
    <t xml:space="preserve">2170582083 </t>
  </si>
  <si>
    <t>PFES1162565524_0001</t>
  </si>
  <si>
    <t>FES1162565508</t>
  </si>
  <si>
    <t xml:space="preserve">2170582079 </t>
  </si>
  <si>
    <t>PFES1162565508_0001</t>
  </si>
  <si>
    <t>FES1162565487</t>
  </si>
  <si>
    <t xml:space="preserve">217058768 </t>
  </si>
  <si>
    <t>PFES1162565487_0001</t>
  </si>
  <si>
    <t>PFES1162565487_0002</t>
  </si>
  <si>
    <t>FES1162565484</t>
  </si>
  <si>
    <t xml:space="preserve">2170582054 </t>
  </si>
  <si>
    <t>PFES1162565484_0001</t>
  </si>
  <si>
    <t>FES1162565497</t>
  </si>
  <si>
    <t xml:space="preserve">21705823063 </t>
  </si>
  <si>
    <t>PFES1162565497_0001</t>
  </si>
  <si>
    <t>FES1162565479</t>
  </si>
  <si>
    <t xml:space="preserve">2170582052 </t>
  </si>
  <si>
    <t>PFES1162565479_0001</t>
  </si>
  <si>
    <t>FES1162565493</t>
  </si>
  <si>
    <t>PFES1162565493_0001</t>
  </si>
  <si>
    <t>FES1162565451</t>
  </si>
  <si>
    <t xml:space="preserve">2170589016 </t>
  </si>
  <si>
    <t>PFES1162565451_0001</t>
  </si>
  <si>
    <t>FES1162565454</t>
  </si>
  <si>
    <t xml:space="preserve">2170582022 </t>
  </si>
  <si>
    <t>PFES1162565454_0001</t>
  </si>
  <si>
    <t>FES1162565456</t>
  </si>
  <si>
    <t xml:space="preserve">2170582025 </t>
  </si>
  <si>
    <t>PFES1162565456_0001</t>
  </si>
  <si>
    <t>FES1162565473</t>
  </si>
  <si>
    <t xml:space="preserve">SCHOEMAN BOEDERY EDM BEPERK             </t>
  </si>
  <si>
    <t xml:space="preserve">2170582043 </t>
  </si>
  <si>
    <t>MARBLE HALL</t>
  </si>
  <si>
    <t>PFES1162565473_0001</t>
  </si>
  <si>
    <t>FES1162565457</t>
  </si>
  <si>
    <t xml:space="preserve">2170582027 </t>
  </si>
  <si>
    <t>PFES1162565457_0001</t>
  </si>
  <si>
    <t>FES1162565499</t>
  </si>
  <si>
    <t xml:space="preserve">2170582065 </t>
  </si>
  <si>
    <t>PFES1162565499_0001</t>
  </si>
  <si>
    <t>FES1162565481</t>
  </si>
  <si>
    <t xml:space="preserve">COMPRESSOR GENIE                        </t>
  </si>
  <si>
    <t xml:space="preserve">2170581511 </t>
  </si>
  <si>
    <t>PFES1162565481_0001</t>
  </si>
  <si>
    <t>FES1162565477</t>
  </si>
  <si>
    <t xml:space="preserve">2170582049 </t>
  </si>
  <si>
    <t>PFES1162565477_0001</t>
  </si>
  <si>
    <t>FES1162565501</t>
  </si>
  <si>
    <t xml:space="preserve">A C PNOUMATICS                          </t>
  </si>
  <si>
    <t xml:space="preserve">2170582068 </t>
  </si>
  <si>
    <t>PFES1162565501_0001</t>
  </si>
  <si>
    <t>FES1162565465</t>
  </si>
  <si>
    <t xml:space="preserve">2170582037 </t>
  </si>
  <si>
    <t>PFES1162565465_0001</t>
  </si>
  <si>
    <t>FES1162565462</t>
  </si>
  <si>
    <t xml:space="preserve">2170582040 </t>
  </si>
  <si>
    <t>PFES1162565462_0001</t>
  </si>
  <si>
    <t>FES1162565478</t>
  </si>
  <si>
    <t xml:space="preserve">2170582050 </t>
  </si>
  <si>
    <t>PFES1162565478_0001</t>
  </si>
  <si>
    <t>FES1162565392</t>
  </si>
  <si>
    <t xml:space="preserve">2170581972 </t>
  </si>
  <si>
    <t>PFES1162565392_0001</t>
  </si>
  <si>
    <t>FES1162565474</t>
  </si>
  <si>
    <t xml:space="preserve">DIVFOOD / NAMPAK                        </t>
  </si>
  <si>
    <t xml:space="preserve">2170582044 </t>
  </si>
  <si>
    <t>PFES1162565474_0001</t>
  </si>
  <si>
    <t>FES1162565452</t>
  </si>
  <si>
    <t xml:space="preserve">2170582018 </t>
  </si>
  <si>
    <t>PFES1162565452_0001</t>
  </si>
  <si>
    <t>FES1162565483</t>
  </si>
  <si>
    <t xml:space="preserve">UNIVERSAL AUTOMATED SYSTEMS PTY LTD     </t>
  </si>
  <si>
    <t xml:space="preserve">2170581986 </t>
  </si>
  <si>
    <t>PFES1162565483_0001</t>
  </si>
  <si>
    <t>FES1162565466</t>
  </si>
  <si>
    <t xml:space="preserve">2170582038 </t>
  </si>
  <si>
    <t>PFES1162565466_0001</t>
  </si>
  <si>
    <t>PFES1162565466_0002</t>
  </si>
  <si>
    <t>FES1162565398</t>
  </si>
  <si>
    <t xml:space="preserve">GEA AFRICA                              </t>
  </si>
  <si>
    <t xml:space="preserve">2170575841 </t>
  </si>
  <si>
    <t>PFES1162565398_0001</t>
  </si>
  <si>
    <t>FES1162565428</t>
  </si>
  <si>
    <t xml:space="preserve">2170581991 </t>
  </si>
  <si>
    <t>PFES1162565428_0001</t>
  </si>
  <si>
    <t>FES1162565436</t>
  </si>
  <si>
    <t xml:space="preserve">2170581996 </t>
  </si>
  <si>
    <t>PFES1162565436_0001</t>
  </si>
  <si>
    <t>FES1162565427</t>
  </si>
  <si>
    <t xml:space="preserve">2170581911 </t>
  </si>
  <si>
    <t>PFES1162565427_0001</t>
  </si>
  <si>
    <t>FES1162565449</t>
  </si>
  <si>
    <t xml:space="preserve">2170578618 </t>
  </si>
  <si>
    <t>PFES1162565449_0001</t>
  </si>
  <si>
    <t>FES1162565391</t>
  </si>
  <si>
    <t xml:space="preserve">2170581971 </t>
  </si>
  <si>
    <t>PFES1162565391_0001</t>
  </si>
  <si>
    <t>FES1162565421</t>
  </si>
  <si>
    <t xml:space="preserve">2170581987 </t>
  </si>
  <si>
    <t>PFES1162565421_0001</t>
  </si>
  <si>
    <t>FES1162565412</t>
  </si>
  <si>
    <t xml:space="preserve">2170579208 </t>
  </si>
  <si>
    <t>PFES1162565412_0001</t>
  </si>
  <si>
    <t>FES1162565435</t>
  </si>
  <si>
    <t xml:space="preserve">2170581994 </t>
  </si>
  <si>
    <t>PFES1162565435_0001</t>
  </si>
  <si>
    <t>FES1162565393</t>
  </si>
  <si>
    <t xml:space="preserve">2170581974 </t>
  </si>
  <si>
    <t>PFES1162565393_0001</t>
  </si>
  <si>
    <t>FES1162565491</t>
  </si>
  <si>
    <t xml:space="preserve">2170581284 </t>
  </si>
  <si>
    <t>PFES1162565491_0001</t>
  </si>
  <si>
    <t>FES1162565446</t>
  </si>
  <si>
    <t xml:space="preserve">2170582013 </t>
  </si>
  <si>
    <t>PFES1162565446_0001</t>
  </si>
  <si>
    <t>FES1162565389</t>
  </si>
  <si>
    <t xml:space="preserve">2170581958 </t>
  </si>
  <si>
    <t>PFES1162565389_0001</t>
  </si>
  <si>
    <t>FES1162565401</t>
  </si>
  <si>
    <t xml:space="preserve">2170579737 </t>
  </si>
  <si>
    <t>PFES1162565401_0001</t>
  </si>
  <si>
    <t>FES1162565422</t>
  </si>
  <si>
    <t xml:space="preserve">2170581988 </t>
  </si>
  <si>
    <t>PFES1162565422_0001</t>
  </si>
  <si>
    <t>FES1162565418</t>
  </si>
  <si>
    <t xml:space="preserve">2170581984 </t>
  </si>
  <si>
    <t>PFES1162565418_0001</t>
  </si>
  <si>
    <t>FES1162565437</t>
  </si>
  <si>
    <t xml:space="preserve">2170581997 </t>
  </si>
  <si>
    <t>PFES1162565437_0001</t>
  </si>
  <si>
    <t>FES1162565438</t>
  </si>
  <si>
    <t xml:space="preserve">2170581998 </t>
  </si>
  <si>
    <t>PFES1162565438_0001</t>
  </si>
  <si>
    <t>FES1162565390</t>
  </si>
  <si>
    <t xml:space="preserve">2170581960 </t>
  </si>
  <si>
    <t>PFES1162565390_0001</t>
  </si>
  <si>
    <t>FES1162565411</t>
  </si>
  <si>
    <t xml:space="preserve">2170579159 </t>
  </si>
  <si>
    <t>PFES1162565411_0001</t>
  </si>
  <si>
    <t>FES1162565414</t>
  </si>
  <si>
    <t xml:space="preserve">2170579320 </t>
  </si>
  <si>
    <t>PFES1162565414_0001</t>
  </si>
  <si>
    <t>FES1162565424</t>
  </si>
  <si>
    <t xml:space="preserve">2170580841 </t>
  </si>
  <si>
    <t>PFES1162565424_0001</t>
  </si>
  <si>
    <t>FES1162565444</t>
  </si>
  <si>
    <t xml:space="preserve">2170582008 </t>
  </si>
  <si>
    <t>PFES1162565444_0001</t>
  </si>
  <si>
    <t>FES1162565459</t>
  </si>
  <si>
    <t xml:space="preserve">2170582031 </t>
  </si>
  <si>
    <t>PFES1162565459_0001</t>
  </si>
  <si>
    <t>FES1162565416</t>
  </si>
  <si>
    <t xml:space="preserve">2170579731 </t>
  </si>
  <si>
    <t>PFES1162565416_0001</t>
  </si>
  <si>
    <t>FES1162565408</t>
  </si>
  <si>
    <t xml:space="preserve">2170578910 </t>
  </si>
  <si>
    <t>PFES1162565408_0001</t>
  </si>
  <si>
    <t>FES1162565409</t>
  </si>
  <si>
    <t xml:space="preserve">2170579020 </t>
  </si>
  <si>
    <t>PFES1162565409_0001</t>
  </si>
  <si>
    <t>FES1162565445</t>
  </si>
  <si>
    <t xml:space="preserve">2170582009 </t>
  </si>
  <si>
    <t>PFES1162565445_0001</t>
  </si>
  <si>
    <t>FES1162565440</t>
  </si>
  <si>
    <t xml:space="preserve">2170582003 </t>
  </si>
  <si>
    <t>PFES1162565440_0001</t>
  </si>
  <si>
    <t>FES1162565399</t>
  </si>
  <si>
    <t xml:space="preserve">2170576701 </t>
  </si>
  <si>
    <t>PFES1162565399_0001</t>
  </si>
  <si>
    <t>FES1162565450</t>
  </si>
  <si>
    <t xml:space="preserve">2170582014 </t>
  </si>
  <si>
    <t>PFES1162565450_0001</t>
  </si>
  <si>
    <t>FES1162565337</t>
  </si>
  <si>
    <t xml:space="preserve">2170577328 </t>
  </si>
  <si>
    <t>PFES1162565337_0001</t>
  </si>
  <si>
    <t>FES1162565423</t>
  </si>
  <si>
    <t xml:space="preserve">2170581989 </t>
  </si>
  <si>
    <t>PFES1162565423_0001</t>
  </si>
  <si>
    <t>FES1162565397</t>
  </si>
  <si>
    <t xml:space="preserve">2170575691 </t>
  </si>
  <si>
    <t>PFES1162565397_0001</t>
  </si>
  <si>
    <t>FES1162565406</t>
  </si>
  <si>
    <t xml:space="preserve">2170578871 </t>
  </si>
  <si>
    <t>PFES1162565406_0001</t>
  </si>
  <si>
    <t>FES1162565410</t>
  </si>
  <si>
    <t xml:space="preserve">2170579041 </t>
  </si>
  <si>
    <t>PFES1162565410_0001</t>
  </si>
  <si>
    <t>FES1162565407</t>
  </si>
  <si>
    <t xml:space="preserve">2170578876 </t>
  </si>
  <si>
    <t>PFES1162565407_0001</t>
  </si>
  <si>
    <t>FES1162565441</t>
  </si>
  <si>
    <t xml:space="preserve">KENZEL ENGINEERING TRUST                </t>
  </si>
  <si>
    <t xml:space="preserve">2170582006 </t>
  </si>
  <si>
    <t>PFES1162565441_0001</t>
  </si>
  <si>
    <t>FES1162565434</t>
  </si>
  <si>
    <t xml:space="preserve">2170581992 </t>
  </si>
  <si>
    <t>PFES1162565434_0001</t>
  </si>
  <si>
    <t>FES1162565431</t>
  </si>
  <si>
    <t xml:space="preserve">2170579286 </t>
  </si>
  <si>
    <t>PFES1162565431_0001</t>
  </si>
  <si>
    <t>FES1162565433</t>
  </si>
  <si>
    <t xml:space="preserve">2170580033 </t>
  </si>
  <si>
    <t>PFES1162565433_0001</t>
  </si>
  <si>
    <t>FES1162565396</t>
  </si>
  <si>
    <t xml:space="preserve">2170574184 </t>
  </si>
  <si>
    <t>PFES1162565396_0001</t>
  </si>
  <si>
    <t>FES1162565439</t>
  </si>
  <si>
    <t xml:space="preserve">2170582002 </t>
  </si>
  <si>
    <t>PFES1162565439_0001</t>
  </si>
  <si>
    <t>FES1162565460</t>
  </si>
  <si>
    <t xml:space="preserve">2170582032 </t>
  </si>
  <si>
    <t>PFES1162565460_0001</t>
  </si>
  <si>
    <t>FES1162565455</t>
  </si>
  <si>
    <t xml:space="preserve">2170582023 </t>
  </si>
  <si>
    <t>PFES1162565455_0001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</si>
</sst>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0"/>
      <name val="Arial"/>
      <family val="2"/>
    </font>
    <font>
      <sz val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4" fontId="1" fillId="0" borderId="0" xfId="0" applyNumberFormat="1" applyFont="1"/>
    <xf numFmtId="14" fontId="0" fillId="0" borderId="0" xfId="0" applyNumberFormat="1"/>
    <xf numFmtId="20" fontId="1" fillId="0" borderId="0" xfId="0" applyNumberFormat="1" applyFont="1"/>
    <xf numFmtId="0" fontId="3" fillId="0" borderId="1" xfId="0" applyFont="1" applyBorder="1"/>
    <xf numFmtId="0" fontId="4" fillId="0" borderId="1" xfId="0" applyFont="1" applyBorder="1"/>
    <xf numFmtId="0" fontId="3" fillId="2" borderId="1" xfId="0" applyFont="1" applyFill="1" applyBorder="1"/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20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3" borderId="0" xfId="0" applyFill="1"/>
    <xf numFmtId="0" fontId="5" fillId="0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10</xdr:col>
      <xdr:colOff>257175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0525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95"/>
  <sheetViews>
    <sheetView tabSelected="1" topLeftCell="A3886" workbookViewId="0">
      <selection activeCell="F3909" sqref="F3909"/>
    </sheetView>
  </sheetViews>
  <sheetFormatPr defaultRowHeight="12.75"/>
  <cols>
    <col min="1" max="1" width="10.140625" customWidth="1"/>
    <col min="2" max="2" width="5.85546875" customWidth="1"/>
    <col min="3" max="3" width="15.140625" customWidth="1"/>
    <col min="4" max="4" width="4.140625" customWidth="1"/>
    <col min="5" max="5" width="10.7109375" customWidth="1"/>
    <col min="6" max="6" width="10.85546875" customWidth="1"/>
    <col min="7" max="7" width="5.140625" customWidth="1"/>
    <col min="8" max="8" width="4.7109375" customWidth="1"/>
    <col min="9" max="9" width="14.28515625" customWidth="1"/>
    <col min="10" max="10" width="5" customWidth="1"/>
    <col min="11" max="11" width="13" customWidth="1"/>
    <col min="12" max="12" width="6.28515625" customWidth="1"/>
    <col min="13" max="13" width="6.5703125" customWidth="1"/>
  </cols>
  <sheetData>
    <row r="1" spans="1:13" ht="41.25" customHeight="1">
      <c r="A1" s="1" t="s">
        <v>0</v>
      </c>
      <c r="B1" s="1" t="s">
        <v>1</v>
      </c>
      <c r="C1" s="20" t="s">
        <v>2</v>
      </c>
      <c r="D1" s="20"/>
      <c r="E1" s="20"/>
    </row>
    <row r="2" spans="1:13">
      <c r="A2" s="1" t="s">
        <v>3</v>
      </c>
      <c r="B2" s="2">
        <v>42919</v>
      </c>
      <c r="C2" s="3" t="s">
        <v>4</v>
      </c>
    </row>
    <row r="3" spans="1:13">
      <c r="A3" s="1" t="s">
        <v>5</v>
      </c>
      <c r="B3" s="4">
        <v>0.69166666666666676</v>
      </c>
    </row>
    <row r="4" spans="1:13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</row>
    <row r="6" spans="1:13">
      <c r="A6" s="8">
        <v>42919</v>
      </c>
      <c r="B6" s="9">
        <v>0.68888888888888899</v>
      </c>
      <c r="C6" s="10" t="str">
        <f>"009935791518"</f>
        <v>009935791518</v>
      </c>
      <c r="D6" s="10" t="s">
        <v>19</v>
      </c>
      <c r="E6" s="10" t="s">
        <v>20</v>
      </c>
      <c r="F6" s="10" t="str">
        <f>"2170573883 1162557504 "</f>
        <v xml:space="preserve">2170573883 1162557504 </v>
      </c>
      <c r="G6" s="10" t="str">
        <f t="shared" ref="G6:G69" si="0">"ON1"</f>
        <v>ON1</v>
      </c>
      <c r="H6" s="10" t="s">
        <v>21</v>
      </c>
      <c r="I6" s="10" t="s">
        <v>22</v>
      </c>
      <c r="J6" s="10" t="str">
        <f>"RESEND TO CLIENT"</f>
        <v>RESEND TO CLIENT</v>
      </c>
      <c r="K6" s="10" t="str">
        <f>"P009935791518_0001"</f>
        <v>P009935791518_0001</v>
      </c>
      <c r="L6" s="10">
        <v>1</v>
      </c>
      <c r="M6" s="10">
        <v>1</v>
      </c>
    </row>
    <row r="7" spans="1:13">
      <c r="A7" s="8">
        <v>42919</v>
      </c>
      <c r="B7" s="9">
        <v>0.6875</v>
      </c>
      <c r="C7" s="10" t="str">
        <f>"FES1162559966"</f>
        <v>FES1162559966</v>
      </c>
      <c r="D7" s="10" t="s">
        <v>19</v>
      </c>
      <c r="E7" s="10" t="s">
        <v>23</v>
      </c>
      <c r="F7" s="10" t="str">
        <f>"2170576976 "</f>
        <v xml:space="preserve">2170576976 </v>
      </c>
      <c r="G7" s="10" t="str">
        <f t="shared" si="0"/>
        <v>ON1</v>
      </c>
      <c r="H7" s="10" t="s">
        <v>21</v>
      </c>
      <c r="I7" s="10" t="s">
        <v>24</v>
      </c>
      <c r="J7" s="10" t="str">
        <f>""</f>
        <v/>
      </c>
      <c r="K7" s="10" t="str">
        <f>"PFES1162559966_0001"</f>
        <v>PFES1162559966_0001</v>
      </c>
      <c r="L7" s="10">
        <v>1</v>
      </c>
      <c r="M7" s="10">
        <v>12</v>
      </c>
    </row>
    <row r="8" spans="1:13">
      <c r="A8" s="8">
        <v>42919</v>
      </c>
      <c r="B8" s="9">
        <v>0.6875</v>
      </c>
      <c r="C8" s="10" t="str">
        <f>"FES1162559968"</f>
        <v>FES1162559968</v>
      </c>
      <c r="D8" s="10" t="s">
        <v>19</v>
      </c>
      <c r="E8" s="10" t="s">
        <v>25</v>
      </c>
      <c r="F8" s="10" t="str">
        <f>"2170576979 "</f>
        <v xml:space="preserve">2170576979 </v>
      </c>
      <c r="G8" s="10" t="str">
        <f t="shared" si="0"/>
        <v>ON1</v>
      </c>
      <c r="H8" s="10" t="s">
        <v>21</v>
      </c>
      <c r="I8" s="10" t="s">
        <v>26</v>
      </c>
      <c r="J8" s="10" t="str">
        <f>""</f>
        <v/>
      </c>
      <c r="K8" s="10" t="str">
        <f>"PFES1162559968_0001"</f>
        <v>PFES1162559968_0001</v>
      </c>
      <c r="L8" s="10">
        <v>1</v>
      </c>
      <c r="M8" s="10">
        <v>1</v>
      </c>
    </row>
    <row r="9" spans="1:13">
      <c r="A9" s="8">
        <v>42919</v>
      </c>
      <c r="B9" s="9">
        <v>0.68611111111111101</v>
      </c>
      <c r="C9" s="10" t="str">
        <f>"FES1162559925"</f>
        <v>FES1162559925</v>
      </c>
      <c r="D9" s="10" t="s">
        <v>19</v>
      </c>
      <c r="E9" s="10" t="s">
        <v>27</v>
      </c>
      <c r="F9" s="10" t="str">
        <f>"2170575686 "</f>
        <v xml:space="preserve">2170575686 </v>
      </c>
      <c r="G9" s="10" t="str">
        <f t="shared" si="0"/>
        <v>ON1</v>
      </c>
      <c r="H9" s="10" t="s">
        <v>21</v>
      </c>
      <c r="I9" s="10" t="s">
        <v>28</v>
      </c>
      <c r="J9" s="10" t="str">
        <f>""</f>
        <v/>
      </c>
      <c r="K9" s="10" t="str">
        <f>"PFES1162559925_0001"</f>
        <v>PFES1162559925_0001</v>
      </c>
      <c r="L9" s="10">
        <v>1</v>
      </c>
      <c r="M9" s="10">
        <v>1</v>
      </c>
    </row>
    <row r="10" spans="1:13">
      <c r="A10" s="8">
        <v>42919</v>
      </c>
      <c r="B10" s="9">
        <v>0.68541666666666667</v>
      </c>
      <c r="C10" s="10" t="str">
        <f>"FES1162559944"</f>
        <v>FES1162559944</v>
      </c>
      <c r="D10" s="10" t="s">
        <v>19</v>
      </c>
      <c r="E10" s="10" t="s">
        <v>29</v>
      </c>
      <c r="F10" s="10" t="str">
        <f>"2170576934 "</f>
        <v xml:space="preserve">2170576934 </v>
      </c>
      <c r="G10" s="10" t="str">
        <f t="shared" si="0"/>
        <v>ON1</v>
      </c>
      <c r="H10" s="10" t="s">
        <v>21</v>
      </c>
      <c r="I10" s="10" t="s">
        <v>30</v>
      </c>
      <c r="J10" s="10" t="str">
        <f>""</f>
        <v/>
      </c>
      <c r="K10" s="10" t="str">
        <f>"PFES1162559944_0001"</f>
        <v>PFES1162559944_0001</v>
      </c>
      <c r="L10" s="10">
        <v>1</v>
      </c>
      <c r="M10" s="10">
        <v>1</v>
      </c>
    </row>
    <row r="11" spans="1:13">
      <c r="A11" s="8">
        <v>42919</v>
      </c>
      <c r="B11" s="9">
        <v>0.68472222222222223</v>
      </c>
      <c r="C11" s="10" t="str">
        <f>"FES1162559926"</f>
        <v>FES1162559926</v>
      </c>
      <c r="D11" s="10" t="s">
        <v>19</v>
      </c>
      <c r="E11" s="10" t="s">
        <v>31</v>
      </c>
      <c r="F11" s="10" t="str">
        <f>"2170576375 "</f>
        <v xml:space="preserve">2170576375 </v>
      </c>
      <c r="G11" s="10" t="str">
        <f t="shared" si="0"/>
        <v>ON1</v>
      </c>
      <c r="H11" s="10" t="s">
        <v>21</v>
      </c>
      <c r="I11" s="10" t="s">
        <v>32</v>
      </c>
      <c r="J11" s="10" t="str">
        <f>""</f>
        <v/>
      </c>
      <c r="K11" s="10" t="str">
        <f>"PFES1162559926_0001"</f>
        <v>PFES1162559926_0001</v>
      </c>
      <c r="L11" s="10">
        <v>1</v>
      </c>
      <c r="M11" s="10">
        <v>1</v>
      </c>
    </row>
    <row r="12" spans="1:13">
      <c r="A12" s="8">
        <v>42919</v>
      </c>
      <c r="B12" s="9">
        <v>0.68402777777777779</v>
      </c>
      <c r="C12" s="10" t="str">
        <f>"FES1162559967"</f>
        <v>FES1162559967</v>
      </c>
      <c r="D12" s="10" t="s">
        <v>19</v>
      </c>
      <c r="E12" s="10" t="s">
        <v>20</v>
      </c>
      <c r="F12" s="10" t="str">
        <f>"2170576977 "</f>
        <v xml:space="preserve">2170576977 </v>
      </c>
      <c r="G12" s="10" t="str">
        <f t="shared" si="0"/>
        <v>ON1</v>
      </c>
      <c r="H12" s="10" t="s">
        <v>21</v>
      </c>
      <c r="I12" s="10" t="s">
        <v>22</v>
      </c>
      <c r="J12" s="10" t="str">
        <f>""</f>
        <v/>
      </c>
      <c r="K12" s="10" t="str">
        <f>"PFES1162559967_0001"</f>
        <v>PFES1162559967_0001</v>
      </c>
      <c r="L12" s="10">
        <v>1</v>
      </c>
      <c r="M12" s="10">
        <v>1</v>
      </c>
    </row>
    <row r="13" spans="1:13">
      <c r="A13" s="8">
        <v>42919</v>
      </c>
      <c r="B13" s="9">
        <v>0.68333333333333324</v>
      </c>
      <c r="C13" s="10" t="str">
        <f>"FES1162559955"</f>
        <v>FES1162559955</v>
      </c>
      <c r="D13" s="10" t="s">
        <v>19</v>
      </c>
      <c r="E13" s="10" t="s">
        <v>33</v>
      </c>
      <c r="F13" s="10" t="str">
        <f>"2170576956 "</f>
        <v xml:space="preserve">2170576956 </v>
      </c>
      <c r="G13" s="10" t="str">
        <f t="shared" si="0"/>
        <v>ON1</v>
      </c>
      <c r="H13" s="10" t="s">
        <v>21</v>
      </c>
      <c r="I13" s="10" t="s">
        <v>34</v>
      </c>
      <c r="J13" s="10" t="str">
        <f>""</f>
        <v/>
      </c>
      <c r="K13" s="10" t="str">
        <f>"PFES1162559955_0001"</f>
        <v>PFES1162559955_0001</v>
      </c>
      <c r="L13" s="10">
        <v>1</v>
      </c>
      <c r="M13" s="10">
        <v>4</v>
      </c>
    </row>
    <row r="14" spans="1:13">
      <c r="A14" s="8">
        <v>42919</v>
      </c>
      <c r="B14" s="9">
        <v>0.68194444444444446</v>
      </c>
      <c r="C14" s="10" t="str">
        <f>"FES1162559947"</f>
        <v>FES1162559947</v>
      </c>
      <c r="D14" s="10" t="s">
        <v>19</v>
      </c>
      <c r="E14" s="10" t="s">
        <v>35</v>
      </c>
      <c r="F14" s="10" t="str">
        <f>"2170576940 "</f>
        <v xml:space="preserve">2170576940 </v>
      </c>
      <c r="G14" s="10" t="str">
        <f t="shared" si="0"/>
        <v>ON1</v>
      </c>
      <c r="H14" s="10" t="s">
        <v>21</v>
      </c>
      <c r="I14" s="10" t="s">
        <v>36</v>
      </c>
      <c r="J14" s="10" t="str">
        <f>""</f>
        <v/>
      </c>
      <c r="K14" s="10" t="str">
        <f>"PFES1162559947_0001"</f>
        <v>PFES1162559947_0001</v>
      </c>
      <c r="L14" s="10">
        <v>1</v>
      </c>
      <c r="M14" s="10">
        <v>1</v>
      </c>
    </row>
    <row r="15" spans="1:13">
      <c r="A15" s="8">
        <v>42919</v>
      </c>
      <c r="B15" s="9">
        <v>0.68194444444444446</v>
      </c>
      <c r="C15" s="10" t="str">
        <f>"FES1162559941"</f>
        <v>FES1162559941</v>
      </c>
      <c r="D15" s="10" t="s">
        <v>19</v>
      </c>
      <c r="E15" s="10" t="s">
        <v>37</v>
      </c>
      <c r="F15" s="10" t="str">
        <f>"2170576935 "</f>
        <v xml:space="preserve">2170576935 </v>
      </c>
      <c r="G15" s="10" t="str">
        <f t="shared" si="0"/>
        <v>ON1</v>
      </c>
      <c r="H15" s="10" t="s">
        <v>21</v>
      </c>
      <c r="I15" s="10" t="s">
        <v>38</v>
      </c>
      <c r="J15" s="10" t="str">
        <f>""</f>
        <v/>
      </c>
      <c r="K15" s="10" t="str">
        <f>"PFES1162559941_0001"</f>
        <v>PFES1162559941_0001</v>
      </c>
      <c r="L15" s="10">
        <v>1</v>
      </c>
      <c r="M15" s="10">
        <v>1</v>
      </c>
    </row>
    <row r="16" spans="1:13">
      <c r="A16" s="8">
        <v>42919</v>
      </c>
      <c r="B16" s="9">
        <v>0.68055555555555547</v>
      </c>
      <c r="C16" s="10" t="str">
        <f>"FES1162559965"</f>
        <v>FES1162559965</v>
      </c>
      <c r="D16" s="10" t="s">
        <v>19</v>
      </c>
      <c r="E16" s="10" t="s">
        <v>39</v>
      </c>
      <c r="F16" s="10" t="str">
        <f>"2170576971 "</f>
        <v xml:space="preserve">2170576971 </v>
      </c>
      <c r="G16" s="10" t="str">
        <f t="shared" si="0"/>
        <v>ON1</v>
      </c>
      <c r="H16" s="10" t="s">
        <v>21</v>
      </c>
      <c r="I16" s="10" t="s">
        <v>40</v>
      </c>
      <c r="J16" s="10" t="str">
        <f>""</f>
        <v/>
      </c>
      <c r="K16" s="10" t="str">
        <f>"PFES1162559965_0001"</f>
        <v>PFES1162559965_0001</v>
      </c>
      <c r="L16" s="10">
        <v>1</v>
      </c>
      <c r="M16" s="10">
        <v>1</v>
      </c>
    </row>
    <row r="17" spans="1:13">
      <c r="A17" s="8">
        <v>42919</v>
      </c>
      <c r="B17" s="9">
        <v>0.67847222222222225</v>
      </c>
      <c r="C17" s="10" t="str">
        <f>"FES1162559964"</f>
        <v>FES1162559964</v>
      </c>
      <c r="D17" s="10" t="s">
        <v>19</v>
      </c>
      <c r="E17" s="10" t="s">
        <v>39</v>
      </c>
      <c r="F17" s="10" t="str">
        <f>"2170576967 "</f>
        <v xml:space="preserve">2170576967 </v>
      </c>
      <c r="G17" s="10" t="str">
        <f t="shared" si="0"/>
        <v>ON1</v>
      </c>
      <c r="H17" s="10" t="s">
        <v>21</v>
      </c>
      <c r="I17" s="10" t="s">
        <v>40</v>
      </c>
      <c r="J17" s="10" t="str">
        <f>""</f>
        <v/>
      </c>
      <c r="K17" s="10" t="str">
        <f>"PFES1162559964_0001"</f>
        <v>PFES1162559964_0001</v>
      </c>
      <c r="L17" s="10">
        <v>1</v>
      </c>
      <c r="M17" s="10">
        <v>1</v>
      </c>
    </row>
    <row r="18" spans="1:13">
      <c r="A18" s="8">
        <v>42919</v>
      </c>
      <c r="B18" s="9">
        <v>0.6777777777777777</v>
      </c>
      <c r="C18" s="10" t="str">
        <f>"FES1162559961"</f>
        <v>FES1162559961</v>
      </c>
      <c r="D18" s="10" t="s">
        <v>19</v>
      </c>
      <c r="E18" s="10" t="s">
        <v>41</v>
      </c>
      <c r="F18" s="10" t="str">
        <f>"21705765060 "</f>
        <v xml:space="preserve">21705765060 </v>
      </c>
      <c r="G18" s="10" t="str">
        <f t="shared" si="0"/>
        <v>ON1</v>
      </c>
      <c r="H18" s="10" t="s">
        <v>21</v>
      </c>
      <c r="I18" s="10" t="s">
        <v>42</v>
      </c>
      <c r="J18" s="10" t="str">
        <f>""</f>
        <v/>
      </c>
      <c r="K18" s="10" t="str">
        <f>"PFES1162559961_0001"</f>
        <v>PFES1162559961_0001</v>
      </c>
      <c r="L18" s="10">
        <v>1</v>
      </c>
      <c r="M18" s="10">
        <v>3</v>
      </c>
    </row>
    <row r="19" spans="1:13">
      <c r="A19" s="8">
        <v>42919</v>
      </c>
      <c r="B19" s="9">
        <v>0.67569444444444438</v>
      </c>
      <c r="C19" s="10" t="str">
        <f>"FES1162559957"</f>
        <v>FES1162559957</v>
      </c>
      <c r="D19" s="10" t="s">
        <v>19</v>
      </c>
      <c r="E19" s="10" t="s">
        <v>33</v>
      </c>
      <c r="F19" s="10" t="str">
        <f>"2170576961 "</f>
        <v xml:space="preserve">2170576961 </v>
      </c>
      <c r="G19" s="10" t="str">
        <f t="shared" si="0"/>
        <v>ON1</v>
      </c>
      <c r="H19" s="10" t="s">
        <v>21</v>
      </c>
      <c r="I19" s="10" t="s">
        <v>34</v>
      </c>
      <c r="J19" s="10" t="str">
        <f>""</f>
        <v/>
      </c>
      <c r="K19" s="10" t="str">
        <f>"PFES1162559957_0001"</f>
        <v>PFES1162559957_0001</v>
      </c>
      <c r="L19" s="10">
        <v>1</v>
      </c>
      <c r="M19" s="10">
        <v>2</v>
      </c>
    </row>
    <row r="20" spans="1:13">
      <c r="A20" s="8">
        <v>42919</v>
      </c>
      <c r="B20" s="9">
        <v>0.67499999999999993</v>
      </c>
      <c r="C20" s="10" t="str">
        <f>"FES1162559904"</f>
        <v>FES1162559904</v>
      </c>
      <c r="D20" s="10" t="s">
        <v>19</v>
      </c>
      <c r="E20" s="10" t="s">
        <v>43</v>
      </c>
      <c r="F20" s="10" t="str">
        <f>"2170576894 "</f>
        <v xml:space="preserve">2170576894 </v>
      </c>
      <c r="G20" s="10" t="str">
        <f t="shared" si="0"/>
        <v>ON1</v>
      </c>
      <c r="H20" s="10" t="s">
        <v>21</v>
      </c>
      <c r="I20" s="10" t="s">
        <v>44</v>
      </c>
      <c r="J20" s="10" t="str">
        <f>""</f>
        <v/>
      </c>
      <c r="K20" s="10" t="str">
        <f>"PFES1162559904_0001"</f>
        <v>PFES1162559904_0001</v>
      </c>
      <c r="L20" s="10">
        <v>1</v>
      </c>
      <c r="M20" s="10">
        <v>18</v>
      </c>
    </row>
    <row r="21" spans="1:13">
      <c r="A21" s="8">
        <v>42919</v>
      </c>
      <c r="B21" s="9">
        <v>0.6743055555555556</v>
      </c>
      <c r="C21" s="10" t="str">
        <f>"FES1162559864"</f>
        <v>FES1162559864</v>
      </c>
      <c r="D21" s="10" t="s">
        <v>19</v>
      </c>
      <c r="E21" s="10" t="s">
        <v>45</v>
      </c>
      <c r="F21" s="10" t="str">
        <f>"2170576841 "</f>
        <v xml:space="preserve">2170576841 </v>
      </c>
      <c r="G21" s="10" t="str">
        <f t="shared" si="0"/>
        <v>ON1</v>
      </c>
      <c r="H21" s="10" t="s">
        <v>21</v>
      </c>
      <c r="I21" s="10" t="s">
        <v>46</v>
      </c>
      <c r="J21" s="10" t="str">
        <f>""</f>
        <v/>
      </c>
      <c r="K21" s="10" t="str">
        <f>"PFES1162559864_0001"</f>
        <v>PFES1162559864_0001</v>
      </c>
      <c r="L21" s="10">
        <v>1</v>
      </c>
      <c r="M21" s="10">
        <v>8</v>
      </c>
    </row>
    <row r="22" spans="1:13">
      <c r="A22" s="8">
        <v>42919</v>
      </c>
      <c r="B22" s="9">
        <v>0.67291666666666661</v>
      </c>
      <c r="C22" s="10" t="str">
        <f>"FES1162559874"</f>
        <v>FES1162559874</v>
      </c>
      <c r="D22" s="10" t="s">
        <v>19</v>
      </c>
      <c r="E22" s="10" t="s">
        <v>47</v>
      </c>
      <c r="F22" s="10" t="str">
        <f>"2170576846 "</f>
        <v xml:space="preserve">2170576846 </v>
      </c>
      <c r="G22" s="10" t="str">
        <f t="shared" si="0"/>
        <v>ON1</v>
      </c>
      <c r="H22" s="10" t="s">
        <v>21</v>
      </c>
      <c r="I22" s="10" t="s">
        <v>48</v>
      </c>
      <c r="J22" s="10" t="str">
        <f>"FRAGILE OIL"</f>
        <v>FRAGILE OIL</v>
      </c>
      <c r="K22" s="10" t="str">
        <f>"PFES1162559874_0001"</f>
        <v>PFES1162559874_0001</v>
      </c>
      <c r="L22" s="10">
        <v>1</v>
      </c>
      <c r="M22" s="10">
        <v>2</v>
      </c>
    </row>
    <row r="23" spans="1:13">
      <c r="A23" s="8">
        <v>42919</v>
      </c>
      <c r="B23" s="9">
        <v>0.67152777777777783</v>
      </c>
      <c r="C23" s="10" t="str">
        <f>"FES1162559910"</f>
        <v>FES1162559910</v>
      </c>
      <c r="D23" s="10" t="s">
        <v>19</v>
      </c>
      <c r="E23" s="10" t="s">
        <v>49</v>
      </c>
      <c r="F23" s="10" t="str">
        <f>"2170570807 "</f>
        <v xml:space="preserve">2170570807 </v>
      </c>
      <c r="G23" s="10" t="str">
        <f t="shared" si="0"/>
        <v>ON1</v>
      </c>
      <c r="H23" s="10" t="s">
        <v>21</v>
      </c>
      <c r="I23" s="10" t="s">
        <v>50</v>
      </c>
      <c r="J23" s="10" t="str">
        <f>""</f>
        <v/>
      </c>
      <c r="K23" s="10" t="str">
        <f>"PFES1162559910_0001"</f>
        <v>PFES1162559910_0001</v>
      </c>
      <c r="L23" s="10">
        <v>1</v>
      </c>
      <c r="M23" s="10">
        <v>3</v>
      </c>
    </row>
    <row r="24" spans="1:13">
      <c r="A24" s="8">
        <v>42919</v>
      </c>
      <c r="B24" s="9">
        <v>0.66388888888888886</v>
      </c>
      <c r="C24" s="10" t="str">
        <f>"FES1162559958"</f>
        <v>FES1162559958</v>
      </c>
      <c r="D24" s="10" t="s">
        <v>19</v>
      </c>
      <c r="E24" s="10" t="s">
        <v>51</v>
      </c>
      <c r="F24" s="10" t="str">
        <f>"2+170576409 "</f>
        <v xml:space="preserve">2+170576409 </v>
      </c>
      <c r="G24" s="10" t="str">
        <f t="shared" si="0"/>
        <v>ON1</v>
      </c>
      <c r="H24" s="10" t="s">
        <v>21</v>
      </c>
      <c r="I24" s="10" t="s">
        <v>52</v>
      </c>
      <c r="J24" s="10" t="str">
        <f>""</f>
        <v/>
      </c>
      <c r="K24" s="10" t="str">
        <f>"PFES1162559958_0001"</f>
        <v>PFES1162559958_0001</v>
      </c>
      <c r="L24" s="10">
        <v>1</v>
      </c>
      <c r="M24" s="10">
        <v>1</v>
      </c>
    </row>
    <row r="25" spans="1:13">
      <c r="A25" s="8">
        <v>42919</v>
      </c>
      <c r="B25" s="9">
        <v>0.66388888888888886</v>
      </c>
      <c r="C25" s="10" t="str">
        <f>"FES1162559859"</f>
        <v>FES1162559859</v>
      </c>
      <c r="D25" s="10" t="s">
        <v>19</v>
      </c>
      <c r="E25" s="10" t="s">
        <v>53</v>
      </c>
      <c r="F25" s="10" t="str">
        <f>"2170576595 "</f>
        <v xml:space="preserve">2170576595 </v>
      </c>
      <c r="G25" s="10" t="str">
        <f t="shared" si="0"/>
        <v>ON1</v>
      </c>
      <c r="H25" s="10" t="s">
        <v>21</v>
      </c>
      <c r="I25" s="10" t="s">
        <v>54</v>
      </c>
      <c r="J25" s="10" t="str">
        <f>""</f>
        <v/>
      </c>
      <c r="K25" s="10" t="str">
        <f>"PFES1162559859_0001"</f>
        <v>PFES1162559859_0001</v>
      </c>
      <c r="L25" s="10">
        <v>1</v>
      </c>
      <c r="M25" s="10">
        <v>1</v>
      </c>
    </row>
    <row r="26" spans="1:13">
      <c r="A26" s="8">
        <v>42919</v>
      </c>
      <c r="B26" s="9">
        <v>0.66319444444444442</v>
      </c>
      <c r="C26" s="10" t="str">
        <f>"FES1162559953"</f>
        <v>FES1162559953</v>
      </c>
      <c r="D26" s="10" t="s">
        <v>19</v>
      </c>
      <c r="E26" s="10" t="s">
        <v>55</v>
      </c>
      <c r="F26" s="10" t="str">
        <f>"2170576959 "</f>
        <v xml:space="preserve">2170576959 </v>
      </c>
      <c r="G26" s="10" t="str">
        <f t="shared" si="0"/>
        <v>ON1</v>
      </c>
      <c r="H26" s="10" t="s">
        <v>21</v>
      </c>
      <c r="I26" s="10" t="s">
        <v>56</v>
      </c>
      <c r="J26" s="10" t="str">
        <f>""</f>
        <v/>
      </c>
      <c r="K26" s="10" t="str">
        <f>"PFES1162559953_0001"</f>
        <v>PFES1162559953_0001</v>
      </c>
      <c r="L26" s="10">
        <v>1</v>
      </c>
      <c r="M26" s="10">
        <v>1</v>
      </c>
    </row>
    <row r="27" spans="1:13">
      <c r="A27" s="8">
        <v>42919</v>
      </c>
      <c r="B27" s="9">
        <v>0.66249999999999998</v>
      </c>
      <c r="C27" s="10" t="str">
        <f>"FES1162559952"</f>
        <v>FES1162559952</v>
      </c>
      <c r="D27" s="10" t="s">
        <v>19</v>
      </c>
      <c r="E27" s="10" t="s">
        <v>57</v>
      </c>
      <c r="F27" s="10" t="str">
        <f>"2170573020 "</f>
        <v xml:space="preserve">2170573020 </v>
      </c>
      <c r="G27" s="10" t="str">
        <f t="shared" si="0"/>
        <v>ON1</v>
      </c>
      <c r="H27" s="10" t="s">
        <v>21</v>
      </c>
      <c r="I27" s="10" t="s">
        <v>58</v>
      </c>
      <c r="J27" s="10" t="str">
        <f>""</f>
        <v/>
      </c>
      <c r="K27" s="10" t="str">
        <f>"PFES1162559952_0001"</f>
        <v>PFES1162559952_0001</v>
      </c>
      <c r="L27" s="10">
        <v>1</v>
      </c>
      <c r="M27" s="10">
        <v>2</v>
      </c>
    </row>
    <row r="28" spans="1:13">
      <c r="A28" s="8">
        <v>42919</v>
      </c>
      <c r="B28" s="9">
        <v>0.66180555555555554</v>
      </c>
      <c r="C28" s="10" t="str">
        <f>"FES1162559888"</f>
        <v>FES1162559888</v>
      </c>
      <c r="D28" s="10" t="s">
        <v>19</v>
      </c>
      <c r="E28" s="10" t="s">
        <v>59</v>
      </c>
      <c r="F28" s="10" t="str">
        <f>"2170576863 "</f>
        <v xml:space="preserve">2170576863 </v>
      </c>
      <c r="G28" s="10" t="str">
        <f t="shared" si="0"/>
        <v>ON1</v>
      </c>
      <c r="H28" s="10" t="s">
        <v>21</v>
      </c>
      <c r="I28" s="10" t="s">
        <v>38</v>
      </c>
      <c r="J28" s="10" t="str">
        <f>""</f>
        <v/>
      </c>
      <c r="K28" s="10" t="str">
        <f>"PFES1162559888_0001"</f>
        <v>PFES1162559888_0001</v>
      </c>
      <c r="L28" s="10">
        <v>1</v>
      </c>
      <c r="M28" s="10">
        <v>14</v>
      </c>
    </row>
    <row r="29" spans="1:13">
      <c r="A29" s="8">
        <v>42919</v>
      </c>
      <c r="B29" s="9">
        <v>0.65972222222222221</v>
      </c>
      <c r="C29" s="10" t="str">
        <f>"FES1162559868"</f>
        <v>FES1162559868</v>
      </c>
      <c r="D29" s="10" t="s">
        <v>19</v>
      </c>
      <c r="E29" s="10" t="s">
        <v>60</v>
      </c>
      <c r="F29" s="10" t="str">
        <f>"2170576174 "</f>
        <v xml:space="preserve">2170576174 </v>
      </c>
      <c r="G29" s="10" t="str">
        <f t="shared" si="0"/>
        <v>ON1</v>
      </c>
      <c r="H29" s="10" t="s">
        <v>21</v>
      </c>
      <c r="I29" s="10" t="s">
        <v>61</v>
      </c>
      <c r="J29" s="10" t="str">
        <f>""</f>
        <v/>
      </c>
      <c r="K29" s="10" t="str">
        <f>"PFES1162559868_0001"</f>
        <v>PFES1162559868_0001</v>
      </c>
      <c r="L29" s="10">
        <v>1</v>
      </c>
      <c r="M29" s="10">
        <v>7</v>
      </c>
    </row>
    <row r="30" spans="1:13">
      <c r="A30" s="8">
        <v>42919</v>
      </c>
      <c r="B30" s="9">
        <v>0.65347222222222223</v>
      </c>
      <c r="C30" s="10" t="str">
        <f>"FES1162559945"</f>
        <v>FES1162559945</v>
      </c>
      <c r="D30" s="10" t="s">
        <v>19</v>
      </c>
      <c r="E30" s="10" t="s">
        <v>62</v>
      </c>
      <c r="F30" s="10" t="str">
        <f>"2170576939 "</f>
        <v xml:space="preserve">2170576939 </v>
      </c>
      <c r="G30" s="10" t="str">
        <f t="shared" si="0"/>
        <v>ON1</v>
      </c>
      <c r="H30" s="10" t="s">
        <v>21</v>
      </c>
      <c r="I30" s="10" t="s">
        <v>40</v>
      </c>
      <c r="J30" s="10" t="str">
        <f>""</f>
        <v/>
      </c>
      <c r="K30" s="10" t="str">
        <f>"PFES1162559945_0001"</f>
        <v>PFES1162559945_0001</v>
      </c>
      <c r="L30" s="10">
        <v>1</v>
      </c>
      <c r="M30" s="10">
        <v>3</v>
      </c>
    </row>
    <row r="31" spans="1:13">
      <c r="A31" s="8">
        <v>42919</v>
      </c>
      <c r="B31" s="9">
        <v>0.65347222222222223</v>
      </c>
      <c r="C31" s="10" t="str">
        <f>"FES1162559828"</f>
        <v>FES1162559828</v>
      </c>
      <c r="D31" s="10" t="s">
        <v>19</v>
      </c>
      <c r="E31" s="10" t="s">
        <v>63</v>
      </c>
      <c r="F31" s="10" t="str">
        <f>"2170572640 "</f>
        <v xml:space="preserve">2170572640 </v>
      </c>
      <c r="G31" s="10" t="str">
        <f t="shared" si="0"/>
        <v>ON1</v>
      </c>
      <c r="H31" s="10" t="s">
        <v>21</v>
      </c>
      <c r="I31" s="10" t="s">
        <v>64</v>
      </c>
      <c r="J31" s="10" t="str">
        <f>""</f>
        <v/>
      </c>
      <c r="K31" s="10" t="str">
        <f>"PFES1162559828_0001"</f>
        <v>PFES1162559828_0001</v>
      </c>
      <c r="L31" s="10">
        <v>1</v>
      </c>
      <c r="M31" s="10">
        <v>1</v>
      </c>
    </row>
    <row r="32" spans="1:13">
      <c r="A32" s="8">
        <v>42919</v>
      </c>
      <c r="B32" s="9">
        <v>0.65208333333333335</v>
      </c>
      <c r="C32" s="10" t="str">
        <f>"FES1162559886"</f>
        <v>FES1162559886</v>
      </c>
      <c r="D32" s="10" t="s">
        <v>19</v>
      </c>
      <c r="E32" s="10" t="s">
        <v>65</v>
      </c>
      <c r="F32" s="10" t="str">
        <f>"2170576861 "</f>
        <v xml:space="preserve">2170576861 </v>
      </c>
      <c r="G32" s="10" t="str">
        <f t="shared" si="0"/>
        <v>ON1</v>
      </c>
      <c r="H32" s="10" t="s">
        <v>21</v>
      </c>
      <c r="I32" s="10" t="s">
        <v>66</v>
      </c>
      <c r="J32" s="10" t="str">
        <f>""</f>
        <v/>
      </c>
      <c r="K32" s="10" t="str">
        <f>"PFES1162559886_0001"</f>
        <v>PFES1162559886_0001</v>
      </c>
      <c r="L32" s="10">
        <v>1</v>
      </c>
      <c r="M32" s="10">
        <v>1</v>
      </c>
    </row>
    <row r="33" spans="1:13">
      <c r="A33" s="8">
        <v>42919</v>
      </c>
      <c r="B33" s="9">
        <v>0.65138888888888891</v>
      </c>
      <c r="C33" s="10" t="str">
        <f>"FES1162559951"</f>
        <v>FES1162559951</v>
      </c>
      <c r="D33" s="10" t="s">
        <v>19</v>
      </c>
      <c r="E33" s="10" t="s">
        <v>67</v>
      </c>
      <c r="F33" s="10" t="str">
        <f>"2170576951 "</f>
        <v xml:space="preserve">2170576951 </v>
      </c>
      <c r="G33" s="10" t="str">
        <f t="shared" si="0"/>
        <v>ON1</v>
      </c>
      <c r="H33" s="10" t="s">
        <v>21</v>
      </c>
      <c r="I33" s="10" t="s">
        <v>68</v>
      </c>
      <c r="J33" s="10" t="str">
        <f>""</f>
        <v/>
      </c>
      <c r="K33" s="10" t="str">
        <f>"PFES1162559951_0001"</f>
        <v>PFES1162559951_0001</v>
      </c>
      <c r="L33" s="10">
        <v>1</v>
      </c>
      <c r="M33" s="10">
        <v>3</v>
      </c>
    </row>
    <row r="34" spans="1:13">
      <c r="A34" s="8">
        <v>42919</v>
      </c>
      <c r="B34" s="9">
        <v>0.65069444444444446</v>
      </c>
      <c r="C34" s="10" t="str">
        <f>"FES1162559913"</f>
        <v>FES1162559913</v>
      </c>
      <c r="D34" s="10" t="s">
        <v>19</v>
      </c>
      <c r="E34" s="10" t="s">
        <v>69</v>
      </c>
      <c r="F34" s="10" t="str">
        <f>"2170576240 "</f>
        <v xml:space="preserve">2170576240 </v>
      </c>
      <c r="G34" s="10" t="str">
        <f t="shared" si="0"/>
        <v>ON1</v>
      </c>
      <c r="H34" s="10" t="s">
        <v>21</v>
      </c>
      <c r="I34" s="10" t="s">
        <v>70</v>
      </c>
      <c r="J34" s="10" t="str">
        <f>""</f>
        <v/>
      </c>
      <c r="K34" s="10" t="str">
        <f>"PFES1162559913_0001"</f>
        <v>PFES1162559913_0001</v>
      </c>
      <c r="L34" s="10">
        <v>1</v>
      </c>
      <c r="M34" s="10">
        <v>8</v>
      </c>
    </row>
    <row r="35" spans="1:13">
      <c r="A35" s="8">
        <v>42919</v>
      </c>
      <c r="B35" s="9">
        <v>0.64861111111111114</v>
      </c>
      <c r="C35" s="10" t="str">
        <f>"FES1162559933"</f>
        <v>FES1162559933</v>
      </c>
      <c r="D35" s="10" t="s">
        <v>19</v>
      </c>
      <c r="E35" s="10" t="s">
        <v>71</v>
      </c>
      <c r="F35" s="10" t="str">
        <f>"2170576918 "</f>
        <v xml:space="preserve">2170576918 </v>
      </c>
      <c r="G35" s="10" t="str">
        <f t="shared" si="0"/>
        <v>ON1</v>
      </c>
      <c r="H35" s="10" t="s">
        <v>21</v>
      </c>
      <c r="I35" s="10" t="s">
        <v>26</v>
      </c>
      <c r="J35" s="10" t="str">
        <f>""</f>
        <v/>
      </c>
      <c r="K35" s="10" t="str">
        <f>"PFES1162559933_0001"</f>
        <v>PFES1162559933_0001</v>
      </c>
      <c r="L35" s="10">
        <v>1</v>
      </c>
      <c r="M35" s="10">
        <v>16</v>
      </c>
    </row>
    <row r="36" spans="1:13">
      <c r="A36" s="8">
        <v>42919</v>
      </c>
      <c r="B36" s="9">
        <v>0.64583333333333337</v>
      </c>
      <c r="C36" s="10" t="str">
        <f>"FES1162559948"</f>
        <v>FES1162559948</v>
      </c>
      <c r="D36" s="10" t="s">
        <v>19</v>
      </c>
      <c r="E36" s="10" t="s">
        <v>72</v>
      </c>
      <c r="F36" s="10" t="str">
        <f>"2170576248 "</f>
        <v xml:space="preserve">2170576248 </v>
      </c>
      <c r="G36" s="10" t="str">
        <f t="shared" si="0"/>
        <v>ON1</v>
      </c>
      <c r="H36" s="10" t="s">
        <v>21</v>
      </c>
      <c r="I36" s="10" t="s">
        <v>73</v>
      </c>
      <c r="J36" s="10" t="str">
        <f>""</f>
        <v/>
      </c>
      <c r="K36" s="10" t="str">
        <f>"PFES1162559948_0001"</f>
        <v>PFES1162559948_0001</v>
      </c>
      <c r="L36" s="10">
        <v>1</v>
      </c>
      <c r="M36" s="10">
        <v>1</v>
      </c>
    </row>
    <row r="37" spans="1:13">
      <c r="A37" s="8">
        <v>42919</v>
      </c>
      <c r="B37" s="9">
        <v>0.64513888888888882</v>
      </c>
      <c r="C37" s="10" t="str">
        <f>"FES1162559884"</f>
        <v>FES1162559884</v>
      </c>
      <c r="D37" s="10" t="s">
        <v>19</v>
      </c>
      <c r="E37" s="10" t="s">
        <v>74</v>
      </c>
      <c r="F37" s="10" t="str">
        <f>"217056859 "</f>
        <v xml:space="preserve">217056859 </v>
      </c>
      <c r="G37" s="10" t="str">
        <f t="shared" si="0"/>
        <v>ON1</v>
      </c>
      <c r="H37" s="10" t="s">
        <v>21</v>
      </c>
      <c r="I37" s="10" t="s">
        <v>75</v>
      </c>
      <c r="J37" s="10" t="str">
        <f>""</f>
        <v/>
      </c>
      <c r="K37" s="10" t="str">
        <f>"PFES1162559884_0001"</f>
        <v>PFES1162559884_0001</v>
      </c>
      <c r="L37" s="10">
        <v>1</v>
      </c>
      <c r="M37" s="10">
        <v>1</v>
      </c>
    </row>
    <row r="38" spans="1:13">
      <c r="A38" s="8">
        <v>42919</v>
      </c>
      <c r="B38" s="9">
        <v>0.6430555555555556</v>
      </c>
      <c r="C38" s="10" t="str">
        <f>"FES1162559946"</f>
        <v>FES1162559946</v>
      </c>
      <c r="D38" s="10" t="s">
        <v>19</v>
      </c>
      <c r="E38" s="10" t="s">
        <v>76</v>
      </c>
      <c r="F38" s="10" t="str">
        <f>"2170576933 "</f>
        <v xml:space="preserve">2170576933 </v>
      </c>
      <c r="G38" s="10" t="str">
        <f t="shared" si="0"/>
        <v>ON1</v>
      </c>
      <c r="H38" s="10" t="s">
        <v>21</v>
      </c>
      <c r="I38" s="10" t="s">
        <v>77</v>
      </c>
      <c r="J38" s="10" t="str">
        <f>""</f>
        <v/>
      </c>
      <c r="K38" s="10" t="str">
        <f>"PFES1162559946_0001"</f>
        <v>PFES1162559946_0001</v>
      </c>
      <c r="L38" s="10">
        <v>1</v>
      </c>
      <c r="M38" s="10">
        <v>1</v>
      </c>
    </row>
    <row r="39" spans="1:13">
      <c r="A39" s="8">
        <v>42919</v>
      </c>
      <c r="B39" s="9">
        <v>0.64236111111111105</v>
      </c>
      <c r="C39" s="10" t="str">
        <f>"FES1162559940"</f>
        <v>FES1162559940</v>
      </c>
      <c r="D39" s="10" t="s">
        <v>19</v>
      </c>
      <c r="E39" s="10" t="s">
        <v>78</v>
      </c>
      <c r="F39" s="10" t="str">
        <f>"2170576930 "</f>
        <v xml:space="preserve">2170576930 </v>
      </c>
      <c r="G39" s="10" t="str">
        <f t="shared" si="0"/>
        <v>ON1</v>
      </c>
      <c r="H39" s="10" t="s">
        <v>21</v>
      </c>
      <c r="I39" s="10" t="s">
        <v>79</v>
      </c>
      <c r="J39" s="10" t="str">
        <f>""</f>
        <v/>
      </c>
      <c r="K39" s="10" t="str">
        <f>"PFES1162559940_0001"</f>
        <v>PFES1162559940_0001</v>
      </c>
      <c r="L39" s="10">
        <v>1</v>
      </c>
      <c r="M39" s="10">
        <v>1</v>
      </c>
    </row>
    <row r="40" spans="1:13">
      <c r="A40" s="8">
        <v>42919</v>
      </c>
      <c r="B40" s="9">
        <v>0.64166666666666672</v>
      </c>
      <c r="C40" s="10" t="str">
        <f>"FES1162559812"</f>
        <v>FES1162559812</v>
      </c>
      <c r="D40" s="10" t="s">
        <v>19</v>
      </c>
      <c r="E40" s="10" t="s">
        <v>80</v>
      </c>
      <c r="F40" s="10" t="str">
        <f>"2170576818 "</f>
        <v xml:space="preserve">2170576818 </v>
      </c>
      <c r="G40" s="10" t="str">
        <f t="shared" si="0"/>
        <v>ON1</v>
      </c>
      <c r="H40" s="10" t="s">
        <v>21</v>
      </c>
      <c r="I40" s="10" t="s">
        <v>36</v>
      </c>
      <c r="J40" s="10" t="str">
        <f>""</f>
        <v/>
      </c>
      <c r="K40" s="10" t="str">
        <f>"PFES1162559812_0001"</f>
        <v>PFES1162559812_0001</v>
      </c>
      <c r="L40" s="10">
        <v>1</v>
      </c>
      <c r="M40" s="10">
        <v>4</v>
      </c>
    </row>
    <row r="41" spans="1:13">
      <c r="A41" s="8">
        <v>42919</v>
      </c>
      <c r="B41" s="9">
        <v>0.64097222222222217</v>
      </c>
      <c r="C41" s="10" t="str">
        <f>"FES1162559861"</f>
        <v>FES1162559861</v>
      </c>
      <c r="D41" s="10" t="s">
        <v>19</v>
      </c>
      <c r="E41" s="10" t="s">
        <v>81</v>
      </c>
      <c r="F41" s="10" t="str">
        <f>"2170576501 "</f>
        <v xml:space="preserve">2170576501 </v>
      </c>
      <c r="G41" s="10" t="str">
        <f t="shared" si="0"/>
        <v>ON1</v>
      </c>
      <c r="H41" s="10" t="s">
        <v>21</v>
      </c>
      <c r="I41" s="10" t="s">
        <v>82</v>
      </c>
      <c r="J41" s="10" t="str">
        <f>""</f>
        <v/>
      </c>
      <c r="K41" s="10" t="str">
        <f>"PFES1162559861_0001"</f>
        <v>PFES1162559861_0001</v>
      </c>
      <c r="L41" s="10">
        <v>1</v>
      </c>
      <c r="M41" s="10">
        <v>4</v>
      </c>
    </row>
    <row r="42" spans="1:13">
      <c r="A42" s="8">
        <v>42919</v>
      </c>
      <c r="B42" s="9">
        <v>0.64027777777777783</v>
      </c>
      <c r="C42" s="10" t="str">
        <f>"FES1162559908"</f>
        <v>FES1162559908</v>
      </c>
      <c r="D42" s="10" t="s">
        <v>19</v>
      </c>
      <c r="E42" s="10" t="s">
        <v>83</v>
      </c>
      <c r="F42" s="10" t="str">
        <f>"2170576891 "</f>
        <v xml:space="preserve">2170576891 </v>
      </c>
      <c r="G42" s="10" t="str">
        <f t="shared" si="0"/>
        <v>ON1</v>
      </c>
      <c r="H42" s="10" t="s">
        <v>21</v>
      </c>
      <c r="I42" s="10" t="s">
        <v>84</v>
      </c>
      <c r="J42" s="10" t="str">
        <f>""</f>
        <v/>
      </c>
      <c r="K42" s="10" t="str">
        <f>"PFES1162559908_0001"</f>
        <v>PFES1162559908_0001</v>
      </c>
      <c r="L42" s="10">
        <v>1</v>
      </c>
      <c r="M42" s="10">
        <v>1</v>
      </c>
    </row>
    <row r="43" spans="1:13">
      <c r="A43" s="8">
        <v>42919</v>
      </c>
      <c r="B43" s="9">
        <v>0.64027777777777783</v>
      </c>
      <c r="C43" s="10" t="str">
        <f>"FES1162559914"</f>
        <v>FES1162559914</v>
      </c>
      <c r="D43" s="10" t="s">
        <v>19</v>
      </c>
      <c r="E43" s="10" t="s">
        <v>85</v>
      </c>
      <c r="F43" s="10" t="str">
        <f>"21710576898 "</f>
        <v xml:space="preserve">21710576898 </v>
      </c>
      <c r="G43" s="10" t="str">
        <f t="shared" si="0"/>
        <v>ON1</v>
      </c>
      <c r="H43" s="10" t="s">
        <v>21</v>
      </c>
      <c r="I43" s="10" t="s">
        <v>86</v>
      </c>
      <c r="J43" s="10" t="str">
        <f>""</f>
        <v/>
      </c>
      <c r="K43" s="10" t="str">
        <f>"PFES1162559914_0001"</f>
        <v>PFES1162559914_0001</v>
      </c>
      <c r="L43" s="10">
        <v>1</v>
      </c>
      <c r="M43" s="10">
        <v>1</v>
      </c>
    </row>
    <row r="44" spans="1:13">
      <c r="A44" s="8">
        <v>42919</v>
      </c>
      <c r="B44" s="9">
        <v>0.63958333333333328</v>
      </c>
      <c r="C44" s="10" t="str">
        <f>"FES1162559791"</f>
        <v>FES1162559791</v>
      </c>
      <c r="D44" s="10" t="s">
        <v>19</v>
      </c>
      <c r="E44" s="10" t="s">
        <v>87</v>
      </c>
      <c r="F44" s="10" t="str">
        <f>"2170575241 "</f>
        <v xml:space="preserve">2170575241 </v>
      </c>
      <c r="G44" s="10" t="str">
        <f t="shared" si="0"/>
        <v>ON1</v>
      </c>
      <c r="H44" s="10" t="s">
        <v>21</v>
      </c>
      <c r="I44" s="10" t="s">
        <v>88</v>
      </c>
      <c r="J44" s="10" t="str">
        <f>""</f>
        <v/>
      </c>
      <c r="K44" s="10" t="str">
        <f>"PFES1162559791_0001"</f>
        <v>PFES1162559791_0001</v>
      </c>
      <c r="L44" s="10">
        <v>1</v>
      </c>
      <c r="M44" s="10">
        <v>1</v>
      </c>
    </row>
    <row r="45" spans="1:13">
      <c r="A45" s="8">
        <v>42919</v>
      </c>
      <c r="B45" s="9">
        <v>0.63958333333333328</v>
      </c>
      <c r="C45" s="10" t="str">
        <f>"FES1162559799"</f>
        <v>FES1162559799</v>
      </c>
      <c r="D45" s="10" t="s">
        <v>19</v>
      </c>
      <c r="E45" s="10" t="s">
        <v>87</v>
      </c>
      <c r="F45" s="10" t="str">
        <f>"2170575233 "</f>
        <v xml:space="preserve">2170575233 </v>
      </c>
      <c r="G45" s="10" t="str">
        <f t="shared" si="0"/>
        <v>ON1</v>
      </c>
      <c r="H45" s="10" t="s">
        <v>21</v>
      </c>
      <c r="I45" s="10" t="s">
        <v>88</v>
      </c>
      <c r="J45" s="10" t="str">
        <f>""</f>
        <v/>
      </c>
      <c r="K45" s="10" t="str">
        <f>"PFES1162559799_0001"</f>
        <v>PFES1162559799_0001</v>
      </c>
      <c r="L45" s="10">
        <v>1</v>
      </c>
      <c r="M45" s="10">
        <v>1</v>
      </c>
    </row>
    <row r="46" spans="1:13">
      <c r="A46" s="8">
        <v>42919</v>
      </c>
      <c r="B46" s="9">
        <v>0.63888888888888895</v>
      </c>
      <c r="C46" s="10" t="str">
        <f>"FES1162559879"</f>
        <v>FES1162559879</v>
      </c>
      <c r="D46" s="10" t="s">
        <v>19</v>
      </c>
      <c r="E46" s="10" t="s">
        <v>89</v>
      </c>
      <c r="F46" s="10" t="str">
        <f>"2170576857 "</f>
        <v xml:space="preserve">2170576857 </v>
      </c>
      <c r="G46" s="10" t="str">
        <f t="shared" si="0"/>
        <v>ON1</v>
      </c>
      <c r="H46" s="10" t="s">
        <v>21</v>
      </c>
      <c r="I46" s="10" t="s">
        <v>90</v>
      </c>
      <c r="J46" s="10" t="str">
        <f>""</f>
        <v/>
      </c>
      <c r="K46" s="10" t="str">
        <f>"PFES1162559879_0001"</f>
        <v>PFES1162559879_0001</v>
      </c>
      <c r="L46" s="10">
        <v>1</v>
      </c>
      <c r="M46" s="10">
        <v>2</v>
      </c>
    </row>
    <row r="47" spans="1:13">
      <c r="A47" s="8">
        <v>42919</v>
      </c>
      <c r="B47" s="9">
        <v>0.63888888888888895</v>
      </c>
      <c r="C47" s="10" t="str">
        <f>"FES1162559794"</f>
        <v>FES1162559794</v>
      </c>
      <c r="D47" s="10" t="s">
        <v>19</v>
      </c>
      <c r="E47" s="10" t="s">
        <v>91</v>
      </c>
      <c r="F47" s="10" t="str">
        <f>"2170576803 "</f>
        <v xml:space="preserve">2170576803 </v>
      </c>
      <c r="G47" s="10" t="str">
        <f t="shared" si="0"/>
        <v>ON1</v>
      </c>
      <c r="H47" s="10" t="s">
        <v>21</v>
      </c>
      <c r="I47" s="10" t="s">
        <v>92</v>
      </c>
      <c r="J47" s="10" t="str">
        <f>""</f>
        <v/>
      </c>
      <c r="K47" s="10" t="str">
        <f>"PFES1162559794_0001"</f>
        <v>PFES1162559794_0001</v>
      </c>
      <c r="L47" s="10">
        <v>1</v>
      </c>
      <c r="M47" s="10">
        <v>1</v>
      </c>
    </row>
    <row r="48" spans="1:13">
      <c r="A48" s="8">
        <v>42919</v>
      </c>
      <c r="B48" s="9">
        <v>0.63888888888888895</v>
      </c>
      <c r="C48" s="10" t="str">
        <f>"FES1162559877"</f>
        <v>FES1162559877</v>
      </c>
      <c r="D48" s="10" t="s">
        <v>19</v>
      </c>
      <c r="E48" s="10" t="s">
        <v>93</v>
      </c>
      <c r="F48" s="10" t="str">
        <f>"2170576849 "</f>
        <v xml:space="preserve">2170576849 </v>
      </c>
      <c r="G48" s="10" t="str">
        <f t="shared" si="0"/>
        <v>ON1</v>
      </c>
      <c r="H48" s="10" t="s">
        <v>21</v>
      </c>
      <c r="I48" s="10" t="s">
        <v>94</v>
      </c>
      <c r="J48" s="10" t="str">
        <f>""</f>
        <v/>
      </c>
      <c r="K48" s="10" t="str">
        <f>"PFES1162559877_0001"</f>
        <v>PFES1162559877_0001</v>
      </c>
      <c r="L48" s="10">
        <v>1</v>
      </c>
      <c r="M48" s="10">
        <v>1</v>
      </c>
    </row>
    <row r="49" spans="1:13">
      <c r="A49" s="8">
        <v>42919</v>
      </c>
      <c r="B49" s="9">
        <v>0.6381944444444444</v>
      </c>
      <c r="C49" s="10" t="str">
        <f>"FES1162559934"</f>
        <v>FES1162559934</v>
      </c>
      <c r="D49" s="10" t="s">
        <v>19</v>
      </c>
      <c r="E49" s="10" t="s">
        <v>95</v>
      </c>
      <c r="F49" s="10" t="str">
        <f>"2170576919 "</f>
        <v xml:space="preserve">2170576919 </v>
      </c>
      <c r="G49" s="10" t="str">
        <f t="shared" si="0"/>
        <v>ON1</v>
      </c>
      <c r="H49" s="10" t="s">
        <v>21</v>
      </c>
      <c r="I49" s="10" t="s">
        <v>84</v>
      </c>
      <c r="J49" s="10" t="str">
        <f>""</f>
        <v/>
      </c>
      <c r="K49" s="10" t="str">
        <f>"PFES1162559934_0001"</f>
        <v>PFES1162559934_0001</v>
      </c>
      <c r="L49" s="10">
        <v>1</v>
      </c>
      <c r="M49" s="10">
        <v>6</v>
      </c>
    </row>
    <row r="50" spans="1:13">
      <c r="A50" s="8">
        <v>42919</v>
      </c>
      <c r="B50" s="9">
        <v>0.6381944444444444</v>
      </c>
      <c r="C50" s="10" t="str">
        <f>"FES1162559815"</f>
        <v>FES1162559815</v>
      </c>
      <c r="D50" s="10" t="s">
        <v>19</v>
      </c>
      <c r="E50" s="10" t="s">
        <v>96</v>
      </c>
      <c r="F50" s="10" t="str">
        <f>"2170576827 "</f>
        <v xml:space="preserve">2170576827 </v>
      </c>
      <c r="G50" s="10" t="str">
        <f t="shared" si="0"/>
        <v>ON1</v>
      </c>
      <c r="H50" s="10" t="s">
        <v>21</v>
      </c>
      <c r="I50" s="10" t="s">
        <v>90</v>
      </c>
      <c r="J50" s="10" t="str">
        <f>""</f>
        <v/>
      </c>
      <c r="K50" s="10" t="str">
        <f>"PFES1162559815_0001"</f>
        <v>PFES1162559815_0001</v>
      </c>
      <c r="L50" s="10">
        <v>1</v>
      </c>
      <c r="M50" s="10">
        <v>1</v>
      </c>
    </row>
    <row r="51" spans="1:13">
      <c r="A51" s="8">
        <v>42919</v>
      </c>
      <c r="B51" s="9">
        <v>0.6381944444444444</v>
      </c>
      <c r="C51" s="10" t="str">
        <f>"FES1162559803"</f>
        <v>FES1162559803</v>
      </c>
      <c r="D51" s="10" t="s">
        <v>19</v>
      </c>
      <c r="E51" s="10" t="s">
        <v>97</v>
      </c>
      <c r="F51" s="10" t="str">
        <f>"2170576811 "</f>
        <v xml:space="preserve">2170576811 </v>
      </c>
      <c r="G51" s="10" t="str">
        <f t="shared" si="0"/>
        <v>ON1</v>
      </c>
      <c r="H51" s="10" t="s">
        <v>21</v>
      </c>
      <c r="I51" s="10" t="s">
        <v>98</v>
      </c>
      <c r="J51" s="10" t="str">
        <f>""</f>
        <v/>
      </c>
      <c r="K51" s="10" t="str">
        <f>"PFES1162559803_0001"</f>
        <v>PFES1162559803_0001</v>
      </c>
      <c r="L51" s="10">
        <v>1</v>
      </c>
      <c r="M51" s="10">
        <v>1</v>
      </c>
    </row>
    <row r="52" spans="1:13">
      <c r="A52" s="8">
        <v>42919</v>
      </c>
      <c r="B52" s="9">
        <v>0.63750000000000007</v>
      </c>
      <c r="C52" s="10" t="str">
        <f>"FES1162559824"</f>
        <v>FES1162559824</v>
      </c>
      <c r="D52" s="10" t="s">
        <v>19</v>
      </c>
      <c r="E52" s="10" t="s">
        <v>33</v>
      </c>
      <c r="F52" s="10" t="str">
        <f>"2170576830 "</f>
        <v xml:space="preserve">2170576830 </v>
      </c>
      <c r="G52" s="10" t="str">
        <f t="shared" si="0"/>
        <v>ON1</v>
      </c>
      <c r="H52" s="10" t="s">
        <v>21</v>
      </c>
      <c r="I52" s="10" t="s">
        <v>34</v>
      </c>
      <c r="J52" s="10" t="str">
        <f>""</f>
        <v/>
      </c>
      <c r="K52" s="10" t="str">
        <f>"PFES1162559824_0001"</f>
        <v>PFES1162559824_0001</v>
      </c>
      <c r="L52" s="10">
        <v>1</v>
      </c>
      <c r="M52" s="10">
        <v>1</v>
      </c>
    </row>
    <row r="53" spans="1:13">
      <c r="A53" s="8">
        <v>42919</v>
      </c>
      <c r="B53" s="9">
        <v>0.63680555555555551</v>
      </c>
      <c r="C53" s="10" t="str">
        <f>"FES1162559923"</f>
        <v>FES1162559923</v>
      </c>
      <c r="D53" s="10" t="s">
        <v>19</v>
      </c>
      <c r="E53" s="10" t="s">
        <v>99</v>
      </c>
      <c r="F53" s="10" t="str">
        <f>"2170576905 "</f>
        <v xml:space="preserve">2170576905 </v>
      </c>
      <c r="G53" s="10" t="str">
        <f t="shared" si="0"/>
        <v>ON1</v>
      </c>
      <c r="H53" s="10" t="s">
        <v>21</v>
      </c>
      <c r="I53" s="10" t="s">
        <v>100</v>
      </c>
      <c r="J53" s="10" t="str">
        <f>""</f>
        <v/>
      </c>
      <c r="K53" s="10" t="str">
        <f>"PFES1162559923_0001"</f>
        <v>PFES1162559923_0001</v>
      </c>
      <c r="L53" s="10">
        <v>1</v>
      </c>
      <c r="M53" s="10">
        <v>1</v>
      </c>
    </row>
    <row r="54" spans="1:13">
      <c r="A54" s="8">
        <v>42919</v>
      </c>
      <c r="B54" s="9">
        <v>0.63611111111111118</v>
      </c>
      <c r="C54" s="10" t="str">
        <f>"FES1162559890"</f>
        <v>FES1162559890</v>
      </c>
      <c r="D54" s="10" t="s">
        <v>19</v>
      </c>
      <c r="E54" s="10" t="s">
        <v>101</v>
      </c>
      <c r="F54" s="10" t="str">
        <f>"2170576867 "</f>
        <v xml:space="preserve">2170576867 </v>
      </c>
      <c r="G54" s="10" t="str">
        <f t="shared" si="0"/>
        <v>ON1</v>
      </c>
      <c r="H54" s="10" t="s">
        <v>21</v>
      </c>
      <c r="I54" s="10" t="s">
        <v>102</v>
      </c>
      <c r="J54" s="10" t="str">
        <f>""</f>
        <v/>
      </c>
      <c r="K54" s="10" t="str">
        <f>"PFES1162559890_0001"</f>
        <v>PFES1162559890_0001</v>
      </c>
      <c r="L54" s="10">
        <v>1</v>
      </c>
      <c r="M54" s="10">
        <v>1</v>
      </c>
    </row>
    <row r="55" spans="1:13">
      <c r="A55" s="8">
        <v>42919</v>
      </c>
      <c r="B55" s="9">
        <v>0.63611111111111118</v>
      </c>
      <c r="C55" s="10" t="str">
        <f>"FES1162559919"</f>
        <v>FES1162559919</v>
      </c>
      <c r="D55" s="10" t="s">
        <v>19</v>
      </c>
      <c r="E55" s="10" t="s">
        <v>33</v>
      </c>
      <c r="F55" s="10" t="str">
        <f>"2170576904 "</f>
        <v xml:space="preserve">2170576904 </v>
      </c>
      <c r="G55" s="10" t="str">
        <f t="shared" si="0"/>
        <v>ON1</v>
      </c>
      <c r="H55" s="10" t="s">
        <v>21</v>
      </c>
      <c r="I55" s="10" t="s">
        <v>34</v>
      </c>
      <c r="J55" s="10" t="str">
        <f>""</f>
        <v/>
      </c>
      <c r="K55" s="10" t="str">
        <f>"PFES1162559919_0001"</f>
        <v>PFES1162559919_0001</v>
      </c>
      <c r="L55" s="10">
        <v>1</v>
      </c>
      <c r="M55" s="10">
        <v>7</v>
      </c>
    </row>
    <row r="56" spans="1:13">
      <c r="A56" s="8">
        <v>42919</v>
      </c>
      <c r="B56" s="9">
        <v>0.63611111111111118</v>
      </c>
      <c r="C56" s="10" t="str">
        <f>"FES11625576859"</f>
        <v>FES11625576859</v>
      </c>
      <c r="D56" s="10" t="s">
        <v>19</v>
      </c>
      <c r="E56" s="10" t="s">
        <v>74</v>
      </c>
      <c r="F56" s="10" t="str">
        <f>"2170576859 "</f>
        <v xml:space="preserve">2170576859 </v>
      </c>
      <c r="G56" s="10" t="str">
        <f t="shared" si="0"/>
        <v>ON1</v>
      </c>
      <c r="H56" s="10" t="s">
        <v>21</v>
      </c>
      <c r="I56" s="10" t="s">
        <v>75</v>
      </c>
      <c r="J56" s="10" t="str">
        <f>""</f>
        <v/>
      </c>
      <c r="K56" s="10" t="str">
        <f>"PFES11625576859_0001"</f>
        <v>PFES11625576859_0001</v>
      </c>
      <c r="L56" s="10">
        <v>1</v>
      </c>
      <c r="M56" s="10">
        <v>1</v>
      </c>
    </row>
    <row r="57" spans="1:13">
      <c r="A57" s="8">
        <v>42919</v>
      </c>
      <c r="B57" s="9">
        <v>0.63541666666666663</v>
      </c>
      <c r="C57" s="10" t="str">
        <f>"FES1162559915"</f>
        <v>FES1162559915</v>
      </c>
      <c r="D57" s="10" t="s">
        <v>19</v>
      </c>
      <c r="E57" s="10" t="s">
        <v>103</v>
      </c>
      <c r="F57" s="10" t="str">
        <f>"2170576899 "</f>
        <v xml:space="preserve">2170576899 </v>
      </c>
      <c r="G57" s="10" t="str">
        <f t="shared" si="0"/>
        <v>ON1</v>
      </c>
      <c r="H57" s="10" t="s">
        <v>21</v>
      </c>
      <c r="I57" s="10" t="s">
        <v>104</v>
      </c>
      <c r="J57" s="10" t="str">
        <f>""</f>
        <v/>
      </c>
      <c r="K57" s="10" t="str">
        <f>"PFES1162559915_0001"</f>
        <v>PFES1162559915_0001</v>
      </c>
      <c r="L57" s="10">
        <v>1</v>
      </c>
      <c r="M57" s="10">
        <v>1</v>
      </c>
    </row>
    <row r="58" spans="1:13">
      <c r="A58" s="8">
        <v>42919</v>
      </c>
      <c r="B58" s="9">
        <v>0.63402777777777775</v>
      </c>
      <c r="C58" s="10" t="str">
        <f>"FES1162559896"</f>
        <v>FES1162559896</v>
      </c>
      <c r="D58" s="10" t="s">
        <v>19</v>
      </c>
      <c r="E58" s="10" t="s">
        <v>105</v>
      </c>
      <c r="F58" s="10" t="str">
        <f>"2170576756 "</f>
        <v xml:space="preserve">2170576756 </v>
      </c>
      <c r="G58" s="10" t="str">
        <f t="shared" si="0"/>
        <v>ON1</v>
      </c>
      <c r="H58" s="10" t="s">
        <v>21</v>
      </c>
      <c r="I58" s="10" t="s">
        <v>106</v>
      </c>
      <c r="J58" s="10" t="str">
        <f>""</f>
        <v/>
      </c>
      <c r="K58" s="10" t="str">
        <f>"PFES1162559896_0001"</f>
        <v>PFES1162559896_0001</v>
      </c>
      <c r="L58" s="10">
        <v>1</v>
      </c>
      <c r="M58" s="10">
        <v>1</v>
      </c>
    </row>
    <row r="59" spans="1:13">
      <c r="A59" s="8">
        <v>42919</v>
      </c>
      <c r="B59" s="9">
        <v>0.63263888888888886</v>
      </c>
      <c r="C59" s="10" t="str">
        <f>"FES1162559907"</f>
        <v>FES1162559907</v>
      </c>
      <c r="D59" s="10" t="s">
        <v>19</v>
      </c>
      <c r="E59" s="10" t="s">
        <v>107</v>
      </c>
      <c r="F59" s="10" t="str">
        <f>"2170576882 "</f>
        <v xml:space="preserve">2170576882 </v>
      </c>
      <c r="G59" s="10" t="str">
        <f t="shared" si="0"/>
        <v>ON1</v>
      </c>
      <c r="H59" s="10" t="s">
        <v>21</v>
      </c>
      <c r="I59" s="10" t="s">
        <v>75</v>
      </c>
      <c r="J59" s="10" t="str">
        <f>""</f>
        <v/>
      </c>
      <c r="K59" s="10" t="str">
        <f>"PFES1162559907_0001"</f>
        <v>PFES1162559907_0001</v>
      </c>
      <c r="L59" s="10">
        <v>1</v>
      </c>
      <c r="M59" s="10">
        <v>1</v>
      </c>
    </row>
    <row r="60" spans="1:13">
      <c r="A60" s="8">
        <v>42919</v>
      </c>
      <c r="B60" s="9">
        <v>0.63263888888888886</v>
      </c>
      <c r="C60" s="10" t="str">
        <f>"FES1162559894"</f>
        <v>FES1162559894</v>
      </c>
      <c r="D60" s="10" t="s">
        <v>19</v>
      </c>
      <c r="E60" s="10" t="s">
        <v>74</v>
      </c>
      <c r="F60" s="10" t="str">
        <f>"2170576875 "</f>
        <v xml:space="preserve">2170576875 </v>
      </c>
      <c r="G60" s="10" t="str">
        <f t="shared" si="0"/>
        <v>ON1</v>
      </c>
      <c r="H60" s="10" t="s">
        <v>21</v>
      </c>
      <c r="I60" s="10" t="s">
        <v>75</v>
      </c>
      <c r="J60" s="10" t="str">
        <f>""</f>
        <v/>
      </c>
      <c r="K60" s="10" t="str">
        <f>"PFES1162559894_0001"</f>
        <v>PFES1162559894_0001</v>
      </c>
      <c r="L60" s="10">
        <v>1</v>
      </c>
      <c r="M60" s="10">
        <v>1</v>
      </c>
    </row>
    <row r="61" spans="1:13">
      <c r="A61" s="8">
        <v>42919</v>
      </c>
      <c r="B61" s="9">
        <v>0.63194444444444442</v>
      </c>
      <c r="C61" s="10" t="str">
        <f>"FES1162559883"</f>
        <v>FES1162559883</v>
      </c>
      <c r="D61" s="10" t="s">
        <v>19</v>
      </c>
      <c r="E61" s="10" t="s">
        <v>108</v>
      </c>
      <c r="F61" s="10" t="str">
        <f>"2170573528 "</f>
        <v xml:space="preserve">2170573528 </v>
      </c>
      <c r="G61" s="10" t="str">
        <f t="shared" si="0"/>
        <v>ON1</v>
      </c>
      <c r="H61" s="10" t="s">
        <v>21</v>
      </c>
      <c r="I61" s="10" t="s">
        <v>109</v>
      </c>
      <c r="J61" s="10" t="str">
        <f>""</f>
        <v/>
      </c>
      <c r="K61" s="10" t="str">
        <f>"PFES1162559883_0001"</f>
        <v>PFES1162559883_0001</v>
      </c>
      <c r="L61" s="10">
        <v>1</v>
      </c>
      <c r="M61" s="10">
        <v>1</v>
      </c>
    </row>
    <row r="62" spans="1:13">
      <c r="A62" s="8">
        <v>42919</v>
      </c>
      <c r="B62" s="9">
        <v>0.63055555555555554</v>
      </c>
      <c r="C62" s="10" t="str">
        <f>"FES1162559918"</f>
        <v>FES1162559918</v>
      </c>
      <c r="D62" s="10" t="s">
        <v>19</v>
      </c>
      <c r="E62" s="10" t="s">
        <v>39</v>
      </c>
      <c r="F62" s="10" t="str">
        <f>"2170576903 "</f>
        <v xml:space="preserve">2170576903 </v>
      </c>
      <c r="G62" s="10" t="str">
        <f t="shared" si="0"/>
        <v>ON1</v>
      </c>
      <c r="H62" s="10" t="s">
        <v>21</v>
      </c>
      <c r="I62" s="10" t="s">
        <v>40</v>
      </c>
      <c r="J62" s="10" t="str">
        <f>""</f>
        <v/>
      </c>
      <c r="K62" s="10" t="str">
        <f>"PFES1162559918_0001"</f>
        <v>PFES1162559918_0001</v>
      </c>
      <c r="L62" s="10">
        <v>1</v>
      </c>
      <c r="M62" s="10">
        <v>7</v>
      </c>
    </row>
    <row r="63" spans="1:13">
      <c r="A63" s="8">
        <v>42919</v>
      </c>
      <c r="B63" s="9">
        <v>0.62986111111111109</v>
      </c>
      <c r="C63" s="10" t="str">
        <f>"FES1162559924"</f>
        <v>FES1162559924</v>
      </c>
      <c r="D63" s="10" t="s">
        <v>19</v>
      </c>
      <c r="E63" s="10" t="s">
        <v>110</v>
      </c>
      <c r="F63" s="10" t="str">
        <f>"2170576909 "</f>
        <v xml:space="preserve">2170576909 </v>
      </c>
      <c r="G63" s="10" t="str">
        <f t="shared" si="0"/>
        <v>ON1</v>
      </c>
      <c r="H63" s="10" t="s">
        <v>21</v>
      </c>
      <c r="I63" s="10" t="s">
        <v>111</v>
      </c>
      <c r="J63" s="10" t="str">
        <f>""</f>
        <v/>
      </c>
      <c r="K63" s="10" t="str">
        <f>"PFES1162559924_0001"</f>
        <v>PFES1162559924_0001</v>
      </c>
      <c r="L63" s="10">
        <v>1</v>
      </c>
      <c r="M63" s="10">
        <v>1</v>
      </c>
    </row>
    <row r="64" spans="1:13">
      <c r="A64" s="8">
        <v>42919</v>
      </c>
      <c r="B64" s="9">
        <v>0.62916666666666665</v>
      </c>
      <c r="C64" s="10" t="str">
        <f>"FES1162559936"</f>
        <v>FES1162559936</v>
      </c>
      <c r="D64" s="10" t="s">
        <v>19</v>
      </c>
      <c r="E64" s="10" t="s">
        <v>112</v>
      </c>
      <c r="F64" s="10" t="str">
        <f>"217057691 "</f>
        <v xml:space="preserve">217057691 </v>
      </c>
      <c r="G64" s="10" t="str">
        <f t="shared" si="0"/>
        <v>ON1</v>
      </c>
      <c r="H64" s="10" t="s">
        <v>21</v>
      </c>
      <c r="I64" s="10" t="s">
        <v>113</v>
      </c>
      <c r="J64" s="10" t="str">
        <f>""</f>
        <v/>
      </c>
      <c r="K64" s="10" t="str">
        <f>"PFES1162559936_0001"</f>
        <v>PFES1162559936_0001</v>
      </c>
      <c r="L64" s="10">
        <v>1</v>
      </c>
      <c r="M64" s="10">
        <v>2</v>
      </c>
    </row>
    <row r="65" spans="1:13">
      <c r="A65" s="8">
        <v>42919</v>
      </c>
      <c r="B65" s="9">
        <v>0.62847222222222221</v>
      </c>
      <c r="C65" s="10" t="str">
        <f>"FES1162559931"</f>
        <v>FES1162559931</v>
      </c>
      <c r="D65" s="10" t="s">
        <v>19</v>
      </c>
      <c r="E65" s="10" t="s">
        <v>114</v>
      </c>
      <c r="F65" s="10" t="str">
        <f>"2170576915 "</f>
        <v xml:space="preserve">2170576915 </v>
      </c>
      <c r="G65" s="10" t="str">
        <f t="shared" si="0"/>
        <v>ON1</v>
      </c>
      <c r="H65" s="10" t="s">
        <v>21</v>
      </c>
      <c r="I65" s="10" t="s">
        <v>115</v>
      </c>
      <c r="J65" s="10" t="str">
        <f>""</f>
        <v/>
      </c>
      <c r="K65" s="10" t="str">
        <f>"PFES1162559931_0001"</f>
        <v>PFES1162559931_0001</v>
      </c>
      <c r="L65" s="10">
        <v>1</v>
      </c>
      <c r="M65" s="10">
        <v>1</v>
      </c>
    </row>
    <row r="66" spans="1:13">
      <c r="A66" s="8">
        <v>42919</v>
      </c>
      <c r="B66" s="9">
        <v>0.62847222222222221</v>
      </c>
      <c r="C66" s="10" t="str">
        <f>"FES1162559906"</f>
        <v>FES1162559906</v>
      </c>
      <c r="D66" s="10" t="s">
        <v>19</v>
      </c>
      <c r="E66" s="10" t="s">
        <v>116</v>
      </c>
      <c r="F66" s="10" t="str">
        <f>"2170576881 "</f>
        <v xml:space="preserve">2170576881 </v>
      </c>
      <c r="G66" s="10" t="str">
        <f t="shared" si="0"/>
        <v>ON1</v>
      </c>
      <c r="H66" s="10" t="s">
        <v>21</v>
      </c>
      <c r="I66" s="10" t="s">
        <v>117</v>
      </c>
      <c r="J66" s="10" t="str">
        <f>""</f>
        <v/>
      </c>
      <c r="K66" s="10" t="str">
        <f>"PFES1162559906_0001"</f>
        <v>PFES1162559906_0001</v>
      </c>
      <c r="L66" s="10">
        <v>1</v>
      </c>
      <c r="M66" s="10">
        <v>1</v>
      </c>
    </row>
    <row r="67" spans="1:13">
      <c r="A67" s="8">
        <v>42919</v>
      </c>
      <c r="B67" s="9">
        <v>0.62777777777777777</v>
      </c>
      <c r="C67" s="10" t="str">
        <f>"FES1162559935"</f>
        <v>FES1162559935</v>
      </c>
      <c r="D67" s="10" t="s">
        <v>19</v>
      </c>
      <c r="E67" s="10" t="s">
        <v>39</v>
      </c>
      <c r="F67" s="10" t="str">
        <f>"2170576920 "</f>
        <v xml:space="preserve">2170576920 </v>
      </c>
      <c r="G67" s="10" t="str">
        <f t="shared" si="0"/>
        <v>ON1</v>
      </c>
      <c r="H67" s="10" t="s">
        <v>21</v>
      </c>
      <c r="I67" s="10" t="s">
        <v>40</v>
      </c>
      <c r="J67" s="10" t="str">
        <f>""</f>
        <v/>
      </c>
      <c r="K67" s="10" t="str">
        <f>"PFES1162559935_0001"</f>
        <v>PFES1162559935_0001</v>
      </c>
      <c r="L67" s="10">
        <v>1</v>
      </c>
      <c r="M67" s="10">
        <v>1</v>
      </c>
    </row>
    <row r="68" spans="1:13">
      <c r="A68" s="8">
        <v>42919</v>
      </c>
      <c r="B68" s="9">
        <v>0.62777777777777777</v>
      </c>
      <c r="C68" s="10" t="str">
        <f>"FES1162559930"</f>
        <v>FES1162559930</v>
      </c>
      <c r="D68" s="10" t="s">
        <v>19</v>
      </c>
      <c r="E68" s="10" t="s">
        <v>118</v>
      </c>
      <c r="F68" s="10" t="str">
        <f>"2170576910 "</f>
        <v xml:space="preserve">2170576910 </v>
      </c>
      <c r="G68" s="10" t="str">
        <f t="shared" si="0"/>
        <v>ON1</v>
      </c>
      <c r="H68" s="10" t="s">
        <v>21</v>
      </c>
      <c r="I68" s="10" t="s">
        <v>119</v>
      </c>
      <c r="J68" s="10" t="str">
        <f>""</f>
        <v/>
      </c>
      <c r="K68" s="10" t="str">
        <f>"PFES1162559930_0001"</f>
        <v>PFES1162559930_0001</v>
      </c>
      <c r="L68" s="10">
        <v>1</v>
      </c>
      <c r="M68" s="10">
        <v>1</v>
      </c>
    </row>
    <row r="69" spans="1:13">
      <c r="A69" s="8">
        <v>42919</v>
      </c>
      <c r="B69" s="9">
        <v>0.62777777777777777</v>
      </c>
      <c r="C69" s="10" t="str">
        <f>"FES1162559937"</f>
        <v>FES1162559937</v>
      </c>
      <c r="D69" s="10" t="s">
        <v>19</v>
      </c>
      <c r="E69" s="10" t="s">
        <v>120</v>
      </c>
      <c r="F69" s="10" t="str">
        <f>"2170576923 "</f>
        <v xml:space="preserve">2170576923 </v>
      </c>
      <c r="G69" s="10" t="str">
        <f t="shared" si="0"/>
        <v>ON1</v>
      </c>
      <c r="H69" s="10" t="s">
        <v>21</v>
      </c>
      <c r="I69" s="10" t="s">
        <v>121</v>
      </c>
      <c r="J69" s="10" t="str">
        <f>""</f>
        <v/>
      </c>
      <c r="K69" s="10" t="str">
        <f>"PFES1162559937_0001"</f>
        <v>PFES1162559937_0001</v>
      </c>
      <c r="L69" s="10">
        <v>1</v>
      </c>
      <c r="M69" s="10">
        <v>1</v>
      </c>
    </row>
    <row r="70" spans="1:13">
      <c r="A70" s="8">
        <v>42919</v>
      </c>
      <c r="B70" s="9">
        <v>0.62708333333333333</v>
      </c>
      <c r="C70" s="10" t="str">
        <f>"FES1162559932"</f>
        <v>FES1162559932</v>
      </c>
      <c r="D70" s="10" t="s">
        <v>19</v>
      </c>
      <c r="E70" s="10" t="s">
        <v>122</v>
      </c>
      <c r="F70" s="10" t="str">
        <f>"2170576917 "</f>
        <v xml:space="preserve">2170576917 </v>
      </c>
      <c r="G70" s="10" t="str">
        <f t="shared" ref="G70:G99" si="1">"ON1"</f>
        <v>ON1</v>
      </c>
      <c r="H70" s="10" t="s">
        <v>21</v>
      </c>
      <c r="I70" s="10" t="s">
        <v>77</v>
      </c>
      <c r="J70" s="10" t="str">
        <f>""</f>
        <v/>
      </c>
      <c r="K70" s="10" t="str">
        <f>"PFES1162559932_0001"</f>
        <v>PFES1162559932_0001</v>
      </c>
      <c r="L70" s="10">
        <v>1</v>
      </c>
      <c r="M70" s="10">
        <v>4</v>
      </c>
    </row>
    <row r="71" spans="1:13">
      <c r="A71" s="8">
        <v>42919</v>
      </c>
      <c r="B71" s="9">
        <v>0.60972222222222217</v>
      </c>
      <c r="C71" s="10" t="str">
        <f>"FES1162559789"</f>
        <v>FES1162559789</v>
      </c>
      <c r="D71" s="10" t="s">
        <v>19</v>
      </c>
      <c r="E71" s="10" t="s">
        <v>87</v>
      </c>
      <c r="F71" s="10" t="str">
        <f>"2170575244 "</f>
        <v xml:space="preserve">2170575244 </v>
      </c>
      <c r="G71" s="10" t="str">
        <f t="shared" si="1"/>
        <v>ON1</v>
      </c>
      <c r="H71" s="10" t="s">
        <v>21</v>
      </c>
      <c r="I71" s="10" t="s">
        <v>88</v>
      </c>
      <c r="J71" s="10" t="str">
        <f>""</f>
        <v/>
      </c>
      <c r="K71" s="10" t="str">
        <f>"PFES1162559789_0001"</f>
        <v>PFES1162559789_0001</v>
      </c>
      <c r="L71" s="10">
        <v>1</v>
      </c>
      <c r="M71" s="10">
        <v>1</v>
      </c>
    </row>
    <row r="72" spans="1:13">
      <c r="A72" s="8">
        <v>42919</v>
      </c>
      <c r="B72" s="9">
        <v>0.60972222222222217</v>
      </c>
      <c r="C72" s="10" t="str">
        <f>"FES1162559802"</f>
        <v>FES1162559802</v>
      </c>
      <c r="D72" s="10" t="s">
        <v>19</v>
      </c>
      <c r="E72" s="10" t="s">
        <v>123</v>
      </c>
      <c r="F72" s="10" t="str">
        <f>"2170576808 "</f>
        <v xml:space="preserve">2170576808 </v>
      </c>
      <c r="G72" s="10" t="str">
        <f t="shared" si="1"/>
        <v>ON1</v>
      </c>
      <c r="H72" s="10" t="s">
        <v>21</v>
      </c>
      <c r="I72" s="10" t="s">
        <v>24</v>
      </c>
      <c r="J72" s="10" t="str">
        <f>""</f>
        <v/>
      </c>
      <c r="K72" s="10" t="str">
        <f>"PFES1162559802_0001"</f>
        <v>PFES1162559802_0001</v>
      </c>
      <c r="L72" s="10">
        <v>1</v>
      </c>
      <c r="M72" s="10">
        <v>1</v>
      </c>
    </row>
    <row r="73" spans="1:13">
      <c r="A73" s="8">
        <v>42919</v>
      </c>
      <c r="B73" s="9">
        <v>0.60902777777777783</v>
      </c>
      <c r="C73" s="10" t="str">
        <f>"FES1162559872"</f>
        <v>FES1162559872</v>
      </c>
      <c r="D73" s="10" t="s">
        <v>19</v>
      </c>
      <c r="E73" s="10" t="s">
        <v>118</v>
      </c>
      <c r="F73" s="10" t="str">
        <f>"2170576832 "</f>
        <v xml:space="preserve">2170576832 </v>
      </c>
      <c r="G73" s="10" t="str">
        <f t="shared" si="1"/>
        <v>ON1</v>
      </c>
      <c r="H73" s="10" t="s">
        <v>21</v>
      </c>
      <c r="I73" s="10" t="s">
        <v>119</v>
      </c>
      <c r="J73" s="10" t="str">
        <f>""</f>
        <v/>
      </c>
      <c r="K73" s="10" t="str">
        <f>"PFES1162559872_0001"</f>
        <v>PFES1162559872_0001</v>
      </c>
      <c r="L73" s="10">
        <v>1</v>
      </c>
      <c r="M73" s="10">
        <v>1</v>
      </c>
    </row>
    <row r="74" spans="1:13">
      <c r="A74" s="8">
        <v>42919</v>
      </c>
      <c r="B74" s="9">
        <v>0.60902777777777783</v>
      </c>
      <c r="C74" s="10" t="str">
        <f>"FES1162559798"</f>
        <v>FES1162559798</v>
      </c>
      <c r="D74" s="10" t="s">
        <v>19</v>
      </c>
      <c r="E74" s="10" t="s">
        <v>87</v>
      </c>
      <c r="F74" s="10" t="str">
        <f>"2170575227 "</f>
        <v xml:space="preserve">2170575227 </v>
      </c>
      <c r="G74" s="10" t="str">
        <f t="shared" si="1"/>
        <v>ON1</v>
      </c>
      <c r="H74" s="10" t="s">
        <v>21</v>
      </c>
      <c r="I74" s="10" t="s">
        <v>88</v>
      </c>
      <c r="J74" s="10" t="str">
        <f>""</f>
        <v/>
      </c>
      <c r="K74" s="10" t="str">
        <f>"PFES1162559798_0001"</f>
        <v>PFES1162559798_0001</v>
      </c>
      <c r="L74" s="10">
        <v>1</v>
      </c>
      <c r="M74" s="10">
        <v>1</v>
      </c>
    </row>
    <row r="75" spans="1:13">
      <c r="A75" s="8">
        <v>42919</v>
      </c>
      <c r="B75" s="9">
        <v>0.60902777777777783</v>
      </c>
      <c r="C75" s="10" t="str">
        <f>"FES1162559912"</f>
        <v>FES1162559912</v>
      </c>
      <c r="D75" s="10" t="s">
        <v>19</v>
      </c>
      <c r="E75" s="10" t="s">
        <v>124</v>
      </c>
      <c r="F75" s="10" t="str">
        <f>"2170571310 "</f>
        <v xml:space="preserve">2170571310 </v>
      </c>
      <c r="G75" s="10" t="str">
        <f t="shared" si="1"/>
        <v>ON1</v>
      </c>
      <c r="H75" s="10" t="s">
        <v>21</v>
      </c>
      <c r="I75" s="10" t="s">
        <v>125</v>
      </c>
      <c r="J75" s="10" t="str">
        <f>""</f>
        <v/>
      </c>
      <c r="K75" s="10" t="str">
        <f>"PFES1162559912_0001"</f>
        <v>PFES1162559912_0001</v>
      </c>
      <c r="L75" s="10">
        <v>1</v>
      </c>
      <c r="M75" s="10">
        <v>1</v>
      </c>
    </row>
    <row r="76" spans="1:13">
      <c r="A76" s="8">
        <v>42919</v>
      </c>
      <c r="B76" s="9">
        <v>0.60902777777777783</v>
      </c>
      <c r="C76" s="10" t="str">
        <f>"FES1162559841"</f>
        <v>FES1162559841</v>
      </c>
      <c r="D76" s="10" t="s">
        <v>19</v>
      </c>
      <c r="E76" s="10" t="s">
        <v>126</v>
      </c>
      <c r="F76" s="10" t="str">
        <f>"2170571400 "</f>
        <v xml:space="preserve">2170571400 </v>
      </c>
      <c r="G76" s="10" t="str">
        <f t="shared" si="1"/>
        <v>ON1</v>
      </c>
      <c r="H76" s="10" t="s">
        <v>21</v>
      </c>
      <c r="I76" s="10" t="s">
        <v>38</v>
      </c>
      <c r="J76" s="10" t="str">
        <f>""</f>
        <v/>
      </c>
      <c r="K76" s="10" t="str">
        <f>"PFES1162559841_0001"</f>
        <v>PFES1162559841_0001</v>
      </c>
      <c r="L76" s="10">
        <v>1</v>
      </c>
      <c r="M76" s="10">
        <v>2</v>
      </c>
    </row>
    <row r="77" spans="1:13">
      <c r="A77" s="8">
        <v>42919</v>
      </c>
      <c r="B77" s="9">
        <v>0.60833333333333328</v>
      </c>
      <c r="C77" s="10" t="str">
        <f>"FES1162559797"</f>
        <v>FES1162559797</v>
      </c>
      <c r="D77" s="10" t="s">
        <v>19</v>
      </c>
      <c r="E77" s="10" t="s">
        <v>87</v>
      </c>
      <c r="F77" s="10" t="str">
        <f>"2170575239 "</f>
        <v xml:space="preserve">2170575239 </v>
      </c>
      <c r="G77" s="10" t="str">
        <f t="shared" si="1"/>
        <v>ON1</v>
      </c>
      <c r="H77" s="10" t="s">
        <v>21</v>
      </c>
      <c r="I77" s="10" t="s">
        <v>88</v>
      </c>
      <c r="J77" s="10" t="str">
        <f>""</f>
        <v/>
      </c>
      <c r="K77" s="10" t="str">
        <f>"PFES1162559797_0001"</f>
        <v>PFES1162559797_0001</v>
      </c>
      <c r="L77" s="10">
        <v>1</v>
      </c>
      <c r="M77" s="10">
        <v>1</v>
      </c>
    </row>
    <row r="78" spans="1:13">
      <c r="A78" s="8">
        <v>42919</v>
      </c>
      <c r="B78" s="9">
        <v>0.60763888888888895</v>
      </c>
      <c r="C78" s="10" t="str">
        <f>"FES1162559744"</f>
        <v>FES1162559744</v>
      </c>
      <c r="D78" s="10" t="s">
        <v>19</v>
      </c>
      <c r="E78" s="10" t="s">
        <v>87</v>
      </c>
      <c r="F78" s="10" t="str">
        <f>"2170575330 "</f>
        <v xml:space="preserve">2170575330 </v>
      </c>
      <c r="G78" s="10" t="str">
        <f t="shared" si="1"/>
        <v>ON1</v>
      </c>
      <c r="H78" s="10" t="s">
        <v>21</v>
      </c>
      <c r="I78" s="10" t="s">
        <v>88</v>
      </c>
      <c r="J78" s="10" t="str">
        <f>""</f>
        <v/>
      </c>
      <c r="K78" s="10" t="str">
        <f>"PFES1162559744_0001"</f>
        <v>PFES1162559744_0001</v>
      </c>
      <c r="L78" s="10">
        <v>1</v>
      </c>
      <c r="M78" s="10">
        <v>1</v>
      </c>
    </row>
    <row r="79" spans="1:13">
      <c r="A79" s="8">
        <v>42919</v>
      </c>
      <c r="B79" s="9">
        <v>0.60416666666666663</v>
      </c>
      <c r="C79" s="10" t="str">
        <f>"FES1162559793"</f>
        <v>FES1162559793</v>
      </c>
      <c r="D79" s="10" t="s">
        <v>19</v>
      </c>
      <c r="E79" s="10" t="s">
        <v>99</v>
      </c>
      <c r="F79" s="10" t="str">
        <f>"2170576802 "</f>
        <v xml:space="preserve">2170576802 </v>
      </c>
      <c r="G79" s="10" t="str">
        <f t="shared" si="1"/>
        <v>ON1</v>
      </c>
      <c r="H79" s="10" t="s">
        <v>21</v>
      </c>
      <c r="I79" s="10" t="s">
        <v>100</v>
      </c>
      <c r="J79" s="10" t="str">
        <f>""</f>
        <v/>
      </c>
      <c r="K79" s="10" t="str">
        <f>"PFES1162559793_0001"</f>
        <v>PFES1162559793_0001</v>
      </c>
      <c r="L79" s="10">
        <v>1</v>
      </c>
      <c r="M79" s="10">
        <v>1</v>
      </c>
    </row>
    <row r="80" spans="1:13">
      <c r="A80" s="8">
        <v>42919</v>
      </c>
      <c r="B80" s="9">
        <v>0.60347222222222219</v>
      </c>
      <c r="C80" s="10" t="str">
        <f>"FES1162559860"</f>
        <v>FES1162559860</v>
      </c>
      <c r="D80" s="10" t="s">
        <v>19</v>
      </c>
      <c r="E80" s="10" t="s">
        <v>127</v>
      </c>
      <c r="F80" s="10" t="str">
        <f>"21710575603 "</f>
        <v xml:space="preserve">21710575603 </v>
      </c>
      <c r="G80" s="10" t="str">
        <f t="shared" si="1"/>
        <v>ON1</v>
      </c>
      <c r="H80" s="10" t="s">
        <v>21</v>
      </c>
      <c r="I80" s="10" t="s">
        <v>128</v>
      </c>
      <c r="J80" s="10" t="str">
        <f>""</f>
        <v/>
      </c>
      <c r="K80" s="10" t="str">
        <f>"PFES1162559860_0001"</f>
        <v>PFES1162559860_0001</v>
      </c>
      <c r="L80" s="10">
        <v>1</v>
      </c>
      <c r="M80" s="10">
        <v>1</v>
      </c>
    </row>
    <row r="81" spans="1:13">
      <c r="A81" s="8">
        <v>42919</v>
      </c>
      <c r="B81" s="9">
        <v>0.60277777777777775</v>
      </c>
      <c r="C81" s="10" t="str">
        <f>"FES1162559885"</f>
        <v>FES1162559885</v>
      </c>
      <c r="D81" s="10" t="s">
        <v>19</v>
      </c>
      <c r="E81" s="10" t="s">
        <v>129</v>
      </c>
      <c r="F81" s="10" t="str">
        <f>"2170576860 "</f>
        <v xml:space="preserve">2170576860 </v>
      </c>
      <c r="G81" s="10" t="str">
        <f t="shared" si="1"/>
        <v>ON1</v>
      </c>
      <c r="H81" s="10" t="s">
        <v>21</v>
      </c>
      <c r="I81" s="10" t="s">
        <v>130</v>
      </c>
      <c r="J81" s="10" t="str">
        <f>""</f>
        <v/>
      </c>
      <c r="K81" s="10" t="str">
        <f>"PFES1162559885_0001"</f>
        <v>PFES1162559885_0001</v>
      </c>
      <c r="L81" s="10">
        <v>1</v>
      </c>
      <c r="M81" s="10">
        <v>19</v>
      </c>
    </row>
    <row r="82" spans="1:13">
      <c r="A82" s="8">
        <v>42919</v>
      </c>
      <c r="B82" s="9">
        <v>0.59791666666666665</v>
      </c>
      <c r="C82" s="10" t="str">
        <f>"FES1162559814"</f>
        <v>FES1162559814</v>
      </c>
      <c r="D82" s="10" t="s">
        <v>19</v>
      </c>
      <c r="E82" s="10" t="s">
        <v>131</v>
      </c>
      <c r="F82" s="10" t="str">
        <f>"2170576822 "</f>
        <v xml:space="preserve">2170576822 </v>
      </c>
      <c r="G82" s="10" t="str">
        <f t="shared" si="1"/>
        <v>ON1</v>
      </c>
      <c r="H82" s="10" t="s">
        <v>21</v>
      </c>
      <c r="I82" s="10" t="s">
        <v>132</v>
      </c>
      <c r="J82" s="10" t="str">
        <f>""</f>
        <v/>
      </c>
      <c r="K82" s="10" t="str">
        <f>"PFES1162559814_0001"</f>
        <v>PFES1162559814_0001</v>
      </c>
      <c r="L82" s="10">
        <v>1</v>
      </c>
      <c r="M82" s="10">
        <v>3</v>
      </c>
    </row>
    <row r="83" spans="1:13">
      <c r="A83" s="8">
        <v>42919</v>
      </c>
      <c r="B83" s="9">
        <v>0.59791666666666665</v>
      </c>
      <c r="C83" s="10" t="str">
        <f>"FES1162559836"</f>
        <v>FES1162559836</v>
      </c>
      <c r="D83" s="10" t="s">
        <v>19</v>
      </c>
      <c r="E83" s="10" t="s">
        <v>133</v>
      </c>
      <c r="F83" s="10" t="str">
        <f>"2170570195 "</f>
        <v xml:space="preserve">2170570195 </v>
      </c>
      <c r="G83" s="10" t="str">
        <f t="shared" si="1"/>
        <v>ON1</v>
      </c>
      <c r="H83" s="10" t="s">
        <v>21</v>
      </c>
      <c r="I83" s="10" t="s">
        <v>134</v>
      </c>
      <c r="J83" s="10" t="str">
        <f>""</f>
        <v/>
      </c>
      <c r="K83" s="10" t="str">
        <f>"PFES1162559836_0001"</f>
        <v>PFES1162559836_0001</v>
      </c>
      <c r="L83" s="10">
        <v>1</v>
      </c>
      <c r="M83" s="10">
        <v>4</v>
      </c>
    </row>
    <row r="84" spans="1:13">
      <c r="A84" s="8">
        <v>42920</v>
      </c>
      <c r="B84" s="9">
        <v>0.59861111111111109</v>
      </c>
      <c r="C84" s="10" t="str">
        <f>"FES1162560331"</f>
        <v>FES1162560331</v>
      </c>
      <c r="D84" s="10" t="s">
        <v>19</v>
      </c>
      <c r="E84" s="10" t="s">
        <v>78</v>
      </c>
      <c r="F84" s="10" t="str">
        <f>"2170577146 "</f>
        <v xml:space="preserve">2170577146 </v>
      </c>
      <c r="G84" s="10" t="str">
        <f t="shared" si="1"/>
        <v>ON1</v>
      </c>
      <c r="H84" s="10" t="s">
        <v>21</v>
      </c>
      <c r="I84" s="10" t="s">
        <v>79</v>
      </c>
      <c r="J84" s="10" t="str">
        <f>""</f>
        <v/>
      </c>
      <c r="K84" s="10" t="str">
        <f>"PFES1162560331_0001"</f>
        <v>PFES1162560331_0001</v>
      </c>
      <c r="L84" s="10">
        <v>1</v>
      </c>
      <c r="M84" s="10">
        <v>1</v>
      </c>
    </row>
    <row r="85" spans="1:13">
      <c r="A85" s="8">
        <v>42920</v>
      </c>
      <c r="B85" s="9">
        <v>0.59791666666666665</v>
      </c>
      <c r="C85" s="10" t="str">
        <f>"FES1162560323"</f>
        <v>FES1162560323</v>
      </c>
      <c r="D85" s="10" t="s">
        <v>19</v>
      </c>
      <c r="E85" s="10" t="s">
        <v>71</v>
      </c>
      <c r="F85" s="10" t="str">
        <f>"2170576918 "</f>
        <v xml:space="preserve">2170576918 </v>
      </c>
      <c r="G85" s="10" t="str">
        <f t="shared" si="1"/>
        <v>ON1</v>
      </c>
      <c r="H85" s="10" t="s">
        <v>21</v>
      </c>
      <c r="I85" s="10" t="s">
        <v>26</v>
      </c>
      <c r="J85" s="10" t="str">
        <f>""</f>
        <v/>
      </c>
      <c r="K85" s="10" t="str">
        <f>"PFES1162560323_0001"</f>
        <v>PFES1162560323_0001</v>
      </c>
      <c r="L85" s="10">
        <v>1</v>
      </c>
      <c r="M85" s="10">
        <v>1</v>
      </c>
    </row>
    <row r="86" spans="1:13">
      <c r="A86" s="8">
        <v>42920</v>
      </c>
      <c r="B86" s="9">
        <v>0.59722222222222221</v>
      </c>
      <c r="C86" s="10" t="str">
        <f>"FES1162560036"</f>
        <v>FES1162560036</v>
      </c>
      <c r="D86" s="10" t="s">
        <v>19</v>
      </c>
      <c r="E86" s="10" t="s">
        <v>135</v>
      </c>
      <c r="F86" s="10" t="str">
        <f>"2170574475 "</f>
        <v xml:space="preserve">2170574475 </v>
      </c>
      <c r="G86" s="10" t="str">
        <f t="shared" si="1"/>
        <v>ON1</v>
      </c>
      <c r="H86" s="10" t="s">
        <v>21</v>
      </c>
      <c r="I86" s="10" t="s">
        <v>136</v>
      </c>
      <c r="J86" s="10" t="str">
        <f>""</f>
        <v/>
      </c>
      <c r="K86" s="10" t="str">
        <f>"PFES1162560036_0001"</f>
        <v>PFES1162560036_0001</v>
      </c>
      <c r="L86" s="10">
        <v>1</v>
      </c>
      <c r="M86" s="10">
        <v>1</v>
      </c>
    </row>
    <row r="87" spans="1:13">
      <c r="A87" s="8">
        <v>42920</v>
      </c>
      <c r="B87" s="9">
        <v>0.59513888888888888</v>
      </c>
      <c r="C87" s="10" t="str">
        <f>"FES1162560047"</f>
        <v>FES1162560047</v>
      </c>
      <c r="D87" s="10" t="s">
        <v>19</v>
      </c>
      <c r="E87" s="10" t="s">
        <v>137</v>
      </c>
      <c r="F87" s="10" t="str">
        <f>"2170574627 "</f>
        <v xml:space="preserve">2170574627 </v>
      </c>
      <c r="G87" s="10" t="str">
        <f t="shared" si="1"/>
        <v>ON1</v>
      </c>
      <c r="H87" s="10" t="s">
        <v>21</v>
      </c>
      <c r="I87" s="10" t="s">
        <v>138</v>
      </c>
      <c r="J87" s="10" t="str">
        <f>""</f>
        <v/>
      </c>
      <c r="K87" s="10" t="str">
        <f>"PFES1162560047_0001"</f>
        <v>PFES1162560047_0001</v>
      </c>
      <c r="L87" s="10">
        <v>1</v>
      </c>
      <c r="M87" s="10">
        <v>1</v>
      </c>
    </row>
    <row r="88" spans="1:13">
      <c r="A88" s="8">
        <v>42920</v>
      </c>
      <c r="B88" s="9">
        <v>0.58958333333333335</v>
      </c>
      <c r="C88" s="10" t="str">
        <f>"FES1162560058"</f>
        <v>FES1162560058</v>
      </c>
      <c r="D88" s="10" t="s">
        <v>19</v>
      </c>
      <c r="E88" s="10" t="s">
        <v>139</v>
      </c>
      <c r="F88" s="10" t="str">
        <f>"2170574744 "</f>
        <v xml:space="preserve">2170574744 </v>
      </c>
      <c r="G88" s="10" t="str">
        <f t="shared" si="1"/>
        <v>ON1</v>
      </c>
      <c r="H88" s="10" t="s">
        <v>21</v>
      </c>
      <c r="I88" s="10" t="s">
        <v>61</v>
      </c>
      <c r="J88" s="10" t="str">
        <f>""</f>
        <v/>
      </c>
      <c r="K88" s="10" t="str">
        <f>"PFES1162560058_0001"</f>
        <v>PFES1162560058_0001</v>
      </c>
      <c r="L88" s="10">
        <v>1</v>
      </c>
      <c r="M88" s="10">
        <v>1</v>
      </c>
    </row>
    <row r="89" spans="1:13">
      <c r="A89" s="8">
        <v>42920</v>
      </c>
      <c r="B89" s="9">
        <v>0.58402777777777781</v>
      </c>
      <c r="C89" s="10" t="str">
        <f>"FES1162560146"</f>
        <v>FES1162560146</v>
      </c>
      <c r="D89" s="10" t="s">
        <v>19</v>
      </c>
      <c r="E89" s="10" t="s">
        <v>140</v>
      </c>
      <c r="F89" s="10" t="str">
        <f>"2170576494 "</f>
        <v xml:space="preserve">2170576494 </v>
      </c>
      <c r="G89" s="10" t="str">
        <f t="shared" si="1"/>
        <v>ON1</v>
      </c>
      <c r="H89" s="10" t="s">
        <v>21</v>
      </c>
      <c r="I89" s="10" t="s">
        <v>109</v>
      </c>
      <c r="J89" s="10" t="str">
        <f>""</f>
        <v/>
      </c>
      <c r="K89" s="10" t="str">
        <f>"PFES1162560146_0001"</f>
        <v>PFES1162560146_0001</v>
      </c>
      <c r="L89" s="10">
        <v>1</v>
      </c>
      <c r="M89" s="10">
        <v>1</v>
      </c>
    </row>
    <row r="90" spans="1:13">
      <c r="A90" s="8">
        <v>42920</v>
      </c>
      <c r="B90" s="9">
        <v>0.58333333333333337</v>
      </c>
      <c r="C90" s="10" t="str">
        <f>"FES1162560133"</f>
        <v>FES1162560133</v>
      </c>
      <c r="D90" s="10" t="s">
        <v>19</v>
      </c>
      <c r="E90" s="10" t="s">
        <v>108</v>
      </c>
      <c r="F90" s="10" t="str">
        <f>"2170576276 "</f>
        <v xml:space="preserve">2170576276 </v>
      </c>
      <c r="G90" s="10" t="str">
        <f t="shared" si="1"/>
        <v>ON1</v>
      </c>
      <c r="H90" s="10" t="s">
        <v>21</v>
      </c>
      <c r="I90" s="10" t="s">
        <v>109</v>
      </c>
      <c r="J90" s="10" t="str">
        <f>""</f>
        <v/>
      </c>
      <c r="K90" s="10" t="str">
        <f>"PFES1162560133_0001"</f>
        <v>PFES1162560133_0001</v>
      </c>
      <c r="L90" s="10">
        <v>1</v>
      </c>
      <c r="M90" s="10">
        <v>1</v>
      </c>
    </row>
    <row r="91" spans="1:13">
      <c r="A91" s="8">
        <v>42920</v>
      </c>
      <c r="B91" s="9">
        <v>0.58263888888888882</v>
      </c>
      <c r="C91" s="10" t="str">
        <f>"FES1162560065"</f>
        <v>FES1162560065</v>
      </c>
      <c r="D91" s="10" t="s">
        <v>19</v>
      </c>
      <c r="E91" s="10" t="s">
        <v>139</v>
      </c>
      <c r="F91" s="10" t="str">
        <f>"2170574797 "</f>
        <v xml:space="preserve">2170574797 </v>
      </c>
      <c r="G91" s="10" t="str">
        <f t="shared" si="1"/>
        <v>ON1</v>
      </c>
      <c r="H91" s="10" t="s">
        <v>21</v>
      </c>
      <c r="I91" s="10" t="s">
        <v>61</v>
      </c>
      <c r="J91" s="10" t="str">
        <f>""</f>
        <v/>
      </c>
      <c r="K91" s="10" t="str">
        <f>"PFES1162560065_0001"</f>
        <v>PFES1162560065_0001</v>
      </c>
      <c r="L91" s="10">
        <v>1</v>
      </c>
      <c r="M91" s="10">
        <v>1</v>
      </c>
    </row>
    <row r="92" spans="1:13">
      <c r="A92" s="8">
        <v>42920</v>
      </c>
      <c r="B92" s="9">
        <v>0.58124999999999993</v>
      </c>
      <c r="C92" s="10" t="str">
        <f>"FES1162560020"</f>
        <v>FES1162560020</v>
      </c>
      <c r="D92" s="10" t="s">
        <v>19</v>
      </c>
      <c r="E92" s="10" t="s">
        <v>141</v>
      </c>
      <c r="F92" s="10" t="str">
        <f>"2170574323 "</f>
        <v xml:space="preserve">2170574323 </v>
      </c>
      <c r="G92" s="10" t="str">
        <f t="shared" si="1"/>
        <v>ON1</v>
      </c>
      <c r="H92" s="10" t="s">
        <v>21</v>
      </c>
      <c r="I92" s="10" t="s">
        <v>142</v>
      </c>
      <c r="J92" s="10" t="str">
        <f>""</f>
        <v/>
      </c>
      <c r="K92" s="10" t="str">
        <f>"PFES1162560020_0001"</f>
        <v>PFES1162560020_0001</v>
      </c>
      <c r="L92" s="10">
        <v>1</v>
      </c>
      <c r="M92" s="10">
        <v>1</v>
      </c>
    </row>
    <row r="93" spans="1:13">
      <c r="A93" s="8">
        <v>42920</v>
      </c>
      <c r="B93" s="9">
        <v>0.58124999999999993</v>
      </c>
      <c r="C93" s="10" t="str">
        <f>"FES1162560142"</f>
        <v>FES1162560142</v>
      </c>
      <c r="D93" s="10" t="s">
        <v>19</v>
      </c>
      <c r="E93" s="10" t="s">
        <v>143</v>
      </c>
      <c r="F93" s="10" t="str">
        <f>"2170576432 "</f>
        <v xml:space="preserve">2170576432 </v>
      </c>
      <c r="G93" s="10" t="str">
        <f t="shared" si="1"/>
        <v>ON1</v>
      </c>
      <c r="H93" s="10" t="s">
        <v>21</v>
      </c>
      <c r="I93" s="10" t="s">
        <v>121</v>
      </c>
      <c r="J93" s="10" t="str">
        <f>""</f>
        <v/>
      </c>
      <c r="K93" s="10" t="str">
        <f>"PFES1162560142_0001"</f>
        <v>PFES1162560142_0001</v>
      </c>
      <c r="L93" s="10">
        <v>1</v>
      </c>
      <c r="M93" s="10">
        <v>1</v>
      </c>
    </row>
    <row r="94" spans="1:13">
      <c r="A94" s="8">
        <v>42920</v>
      </c>
      <c r="B94" s="9">
        <v>0.5805555555555556</v>
      </c>
      <c r="C94" s="10" t="str">
        <f>"FES1162560111"</f>
        <v>FES1162560111</v>
      </c>
      <c r="D94" s="10" t="s">
        <v>19</v>
      </c>
      <c r="E94" s="10" t="s">
        <v>144</v>
      </c>
      <c r="F94" s="10" t="str">
        <f>"2170575665 "</f>
        <v xml:space="preserve">2170575665 </v>
      </c>
      <c r="G94" s="10" t="str">
        <f t="shared" si="1"/>
        <v>ON1</v>
      </c>
      <c r="H94" s="10" t="s">
        <v>21</v>
      </c>
      <c r="I94" s="10" t="s">
        <v>145</v>
      </c>
      <c r="J94" s="10" t="str">
        <f>""</f>
        <v/>
      </c>
      <c r="K94" s="10" t="str">
        <f>"PFES1162560111_0001"</f>
        <v>PFES1162560111_0001</v>
      </c>
      <c r="L94" s="10">
        <v>1</v>
      </c>
      <c r="M94" s="10">
        <v>1</v>
      </c>
    </row>
    <row r="95" spans="1:13">
      <c r="A95" s="8">
        <v>42920</v>
      </c>
      <c r="B95" s="9">
        <v>0.5805555555555556</v>
      </c>
      <c r="C95" s="10" t="str">
        <f>"FES1162559977"</f>
        <v>FES1162559977</v>
      </c>
      <c r="D95" s="10" t="s">
        <v>19</v>
      </c>
      <c r="E95" s="10" t="s">
        <v>146</v>
      </c>
      <c r="F95" s="10" t="str">
        <f>"2170576992 "</f>
        <v xml:space="preserve">2170576992 </v>
      </c>
      <c r="G95" s="10" t="str">
        <f t="shared" si="1"/>
        <v>ON1</v>
      </c>
      <c r="H95" s="10" t="s">
        <v>21</v>
      </c>
      <c r="I95" s="10" t="s">
        <v>147</v>
      </c>
      <c r="J95" s="10" t="str">
        <f>""</f>
        <v/>
      </c>
      <c r="K95" s="10" t="str">
        <f>"PFES1162559977_0001"</f>
        <v>PFES1162559977_0001</v>
      </c>
      <c r="L95" s="10">
        <v>1</v>
      </c>
      <c r="M95" s="10">
        <v>1</v>
      </c>
    </row>
    <row r="96" spans="1:13">
      <c r="A96" s="8">
        <v>42920</v>
      </c>
      <c r="B96" s="9">
        <v>0.5805555555555556</v>
      </c>
      <c r="C96" s="10" t="str">
        <f>"FES1162560174"</f>
        <v>FES1162560174</v>
      </c>
      <c r="D96" s="10" t="s">
        <v>19</v>
      </c>
      <c r="E96" s="10" t="s">
        <v>129</v>
      </c>
      <c r="F96" s="10" t="str">
        <f>"2170576860 "</f>
        <v xml:space="preserve">2170576860 </v>
      </c>
      <c r="G96" s="10" t="str">
        <f t="shared" si="1"/>
        <v>ON1</v>
      </c>
      <c r="H96" s="10" t="s">
        <v>21</v>
      </c>
      <c r="I96" s="10" t="s">
        <v>130</v>
      </c>
      <c r="J96" s="10" t="str">
        <f>""</f>
        <v/>
      </c>
      <c r="K96" s="10" t="str">
        <f>"PFES1162560174_0001"</f>
        <v>PFES1162560174_0001</v>
      </c>
      <c r="L96" s="10">
        <v>1</v>
      </c>
      <c r="M96" s="10">
        <v>1</v>
      </c>
    </row>
    <row r="97" spans="1:13">
      <c r="A97" s="8">
        <v>42920</v>
      </c>
      <c r="B97" s="9">
        <v>0.57986111111111105</v>
      </c>
      <c r="C97" s="10" t="str">
        <f>"FES1162560071"</f>
        <v>FES1162560071</v>
      </c>
      <c r="D97" s="10" t="s">
        <v>19</v>
      </c>
      <c r="E97" s="10" t="s">
        <v>148</v>
      </c>
      <c r="F97" s="10" t="str">
        <f>"2170574926 "</f>
        <v xml:space="preserve">2170574926 </v>
      </c>
      <c r="G97" s="10" t="str">
        <f t="shared" si="1"/>
        <v>ON1</v>
      </c>
      <c r="H97" s="10" t="s">
        <v>21</v>
      </c>
      <c r="I97" s="10" t="s">
        <v>149</v>
      </c>
      <c r="J97" s="10" t="str">
        <f>""</f>
        <v/>
      </c>
      <c r="K97" s="10" t="str">
        <f>"PFES1162560071_0001"</f>
        <v>PFES1162560071_0001</v>
      </c>
      <c r="L97" s="10">
        <v>1</v>
      </c>
      <c r="M97" s="10">
        <v>1</v>
      </c>
    </row>
    <row r="98" spans="1:13">
      <c r="A98" s="8">
        <v>42920</v>
      </c>
      <c r="B98" s="9">
        <v>0.57986111111111105</v>
      </c>
      <c r="C98" s="10" t="str">
        <f>"FES1162560099"</f>
        <v>FES1162560099</v>
      </c>
      <c r="D98" s="10" t="s">
        <v>19</v>
      </c>
      <c r="E98" s="10" t="s">
        <v>146</v>
      </c>
      <c r="F98" s="10" t="str">
        <f>"2170575448 "</f>
        <v xml:space="preserve">2170575448 </v>
      </c>
      <c r="G98" s="10" t="str">
        <f t="shared" si="1"/>
        <v>ON1</v>
      </c>
      <c r="H98" s="10" t="s">
        <v>21</v>
      </c>
      <c r="I98" s="10" t="s">
        <v>147</v>
      </c>
      <c r="J98" s="10" t="str">
        <f>""</f>
        <v/>
      </c>
      <c r="K98" s="10" t="str">
        <f>"PFES1162560099_0001"</f>
        <v>PFES1162560099_0001</v>
      </c>
      <c r="L98" s="10">
        <v>1</v>
      </c>
      <c r="M98" s="10">
        <v>1</v>
      </c>
    </row>
    <row r="99" spans="1:13">
      <c r="A99" s="8">
        <v>42920</v>
      </c>
      <c r="B99" s="9">
        <v>0.57986111111111105</v>
      </c>
      <c r="C99" s="10" t="str">
        <f>"FES1162560172"</f>
        <v>FES1162560172</v>
      </c>
      <c r="D99" s="10" t="s">
        <v>19</v>
      </c>
      <c r="E99" s="10" t="s">
        <v>150</v>
      </c>
      <c r="F99" s="10" t="str">
        <f>"2170576842 "</f>
        <v xml:space="preserve">2170576842 </v>
      </c>
      <c r="G99" s="10" t="str">
        <f t="shared" si="1"/>
        <v>ON1</v>
      </c>
      <c r="H99" s="10" t="s">
        <v>21</v>
      </c>
      <c r="I99" s="10" t="s">
        <v>151</v>
      </c>
      <c r="J99" s="10" t="str">
        <f>""</f>
        <v/>
      </c>
      <c r="K99" s="10" t="str">
        <f>"PFES1162560172_0001"</f>
        <v>PFES1162560172_0001</v>
      </c>
      <c r="L99" s="10">
        <v>1</v>
      </c>
      <c r="M99" s="10">
        <v>1</v>
      </c>
    </row>
    <row r="100" spans="1:13">
      <c r="A100" s="8">
        <v>42920</v>
      </c>
      <c r="B100" s="9">
        <v>0.57916666666666672</v>
      </c>
      <c r="C100" s="10" t="str">
        <f>"FES1162560176"</f>
        <v>FES1162560176</v>
      </c>
      <c r="D100" s="10" t="s">
        <v>19</v>
      </c>
      <c r="E100" s="10" t="s">
        <v>152</v>
      </c>
      <c r="F100" s="10" t="str">
        <f>"2170576912 "</f>
        <v xml:space="preserve">2170576912 </v>
      </c>
      <c r="G100" s="10" t="str">
        <f>"DBC"</f>
        <v>DBC</v>
      </c>
      <c r="H100" s="10" t="s">
        <v>21</v>
      </c>
      <c r="I100" s="10" t="s">
        <v>153</v>
      </c>
      <c r="J100" s="10" t="str">
        <f>""</f>
        <v/>
      </c>
      <c r="K100" s="10" t="str">
        <f>"PFES1162560176_0001"</f>
        <v>PFES1162560176_0001</v>
      </c>
      <c r="L100" s="10">
        <v>2</v>
      </c>
      <c r="M100" s="10">
        <v>11</v>
      </c>
    </row>
    <row r="101" spans="1:13">
      <c r="A101" s="8">
        <v>42920</v>
      </c>
      <c r="B101" s="9">
        <v>0.57916666666666672</v>
      </c>
      <c r="C101" s="10" t="str">
        <f>"FES1162560176"</f>
        <v>FES1162560176</v>
      </c>
      <c r="D101" s="10" t="s">
        <v>19</v>
      </c>
      <c r="E101" s="10" t="s">
        <v>152</v>
      </c>
      <c r="F101" s="10" t="str">
        <f>"2170576912 "</f>
        <v xml:space="preserve">2170576912 </v>
      </c>
      <c r="G101" s="10" t="str">
        <f>"DBC"</f>
        <v>DBC</v>
      </c>
      <c r="H101" s="10" t="s">
        <v>21</v>
      </c>
      <c r="I101" s="10" t="s">
        <v>153</v>
      </c>
      <c r="J101" s="10"/>
      <c r="K101" s="10" t="str">
        <f>"PFES1162560176_0002"</f>
        <v>PFES1162560176_0002</v>
      </c>
      <c r="L101" s="10">
        <v>2</v>
      </c>
      <c r="M101" s="10">
        <v>11</v>
      </c>
    </row>
    <row r="102" spans="1:13">
      <c r="A102" s="8">
        <v>42920</v>
      </c>
      <c r="B102" s="9">
        <v>0.57916666666666672</v>
      </c>
      <c r="C102" s="10" t="str">
        <f>"FES1162560116"</f>
        <v>FES1162560116</v>
      </c>
      <c r="D102" s="10" t="s">
        <v>19</v>
      </c>
      <c r="E102" s="10" t="s">
        <v>154</v>
      </c>
      <c r="F102" s="10" t="str">
        <f>"2170575874 "</f>
        <v xml:space="preserve">2170575874 </v>
      </c>
      <c r="G102" s="10" t="str">
        <f t="shared" ref="G102:G110" si="2">"ON1"</f>
        <v>ON1</v>
      </c>
      <c r="H102" s="10" t="s">
        <v>21</v>
      </c>
      <c r="I102" s="10" t="s">
        <v>130</v>
      </c>
      <c r="J102" s="10" t="str">
        <f>""</f>
        <v/>
      </c>
      <c r="K102" s="10" t="str">
        <f>"PFES1162560116_0001"</f>
        <v>PFES1162560116_0001</v>
      </c>
      <c r="L102" s="10">
        <v>1</v>
      </c>
      <c r="M102" s="10">
        <v>1</v>
      </c>
    </row>
    <row r="103" spans="1:13">
      <c r="A103" s="8">
        <v>42920</v>
      </c>
      <c r="B103" s="9">
        <v>0.57916666666666672</v>
      </c>
      <c r="C103" s="10" t="str">
        <f>"FES1162560100"</f>
        <v>FES1162560100</v>
      </c>
      <c r="D103" s="10" t="s">
        <v>19</v>
      </c>
      <c r="E103" s="10" t="s">
        <v>155</v>
      </c>
      <c r="F103" s="10" t="str">
        <f>"2170575466 "</f>
        <v xml:space="preserve">2170575466 </v>
      </c>
      <c r="G103" s="10" t="str">
        <f t="shared" si="2"/>
        <v>ON1</v>
      </c>
      <c r="H103" s="10" t="s">
        <v>21</v>
      </c>
      <c r="I103" s="10" t="s">
        <v>121</v>
      </c>
      <c r="J103" s="10" t="str">
        <f>""</f>
        <v/>
      </c>
      <c r="K103" s="10" t="str">
        <f>"PFES1162560100_0001"</f>
        <v>PFES1162560100_0001</v>
      </c>
      <c r="L103" s="10">
        <v>1</v>
      </c>
      <c r="M103" s="10">
        <v>6</v>
      </c>
    </row>
    <row r="104" spans="1:13">
      <c r="A104" s="8">
        <v>42920</v>
      </c>
      <c r="B104" s="9">
        <v>0.57847222222222217</v>
      </c>
      <c r="C104" s="10" t="str">
        <f>"FES116260075"</f>
        <v>FES116260075</v>
      </c>
      <c r="D104" s="10" t="s">
        <v>19</v>
      </c>
      <c r="E104" s="10" t="s">
        <v>156</v>
      </c>
      <c r="F104" s="10" t="str">
        <f>"2170574988 "</f>
        <v xml:space="preserve">2170574988 </v>
      </c>
      <c r="G104" s="10" t="str">
        <f t="shared" si="2"/>
        <v>ON1</v>
      </c>
      <c r="H104" s="10" t="s">
        <v>21</v>
      </c>
      <c r="I104" s="10" t="s">
        <v>157</v>
      </c>
      <c r="J104" s="10" t="str">
        <f>""</f>
        <v/>
      </c>
      <c r="K104" s="10" t="str">
        <f>"PFES116260075_0001"</f>
        <v>PFES116260075_0001</v>
      </c>
      <c r="L104" s="10">
        <v>1</v>
      </c>
      <c r="M104" s="10">
        <v>4</v>
      </c>
    </row>
    <row r="105" spans="1:13">
      <c r="A105" s="8">
        <v>42920</v>
      </c>
      <c r="B105" s="9">
        <v>0.57847222222222217</v>
      </c>
      <c r="C105" s="10" t="str">
        <f>"FES1162560059"</f>
        <v>FES1162560059</v>
      </c>
      <c r="D105" s="10" t="s">
        <v>19</v>
      </c>
      <c r="E105" s="10" t="s">
        <v>155</v>
      </c>
      <c r="F105" s="10" t="str">
        <f>"2170574746 "</f>
        <v xml:space="preserve">2170574746 </v>
      </c>
      <c r="G105" s="10" t="str">
        <f t="shared" si="2"/>
        <v>ON1</v>
      </c>
      <c r="H105" s="10" t="s">
        <v>21</v>
      </c>
      <c r="I105" s="10" t="s">
        <v>121</v>
      </c>
      <c r="J105" s="10" t="str">
        <f>""</f>
        <v/>
      </c>
      <c r="K105" s="10" t="str">
        <f>"PFES1162560059_0001"</f>
        <v>PFES1162560059_0001</v>
      </c>
      <c r="L105" s="10">
        <v>1</v>
      </c>
      <c r="M105" s="10">
        <v>2</v>
      </c>
    </row>
    <row r="106" spans="1:13">
      <c r="A106" s="8">
        <v>42920</v>
      </c>
      <c r="B106" s="9">
        <v>0.57847222222222217</v>
      </c>
      <c r="C106" s="10" t="str">
        <f>"FES1162560289"</f>
        <v>FES1162560289</v>
      </c>
      <c r="D106" s="10" t="s">
        <v>19</v>
      </c>
      <c r="E106" s="10" t="s">
        <v>158</v>
      </c>
      <c r="F106" s="10" t="str">
        <f>"2170577115 "</f>
        <v xml:space="preserve">2170577115 </v>
      </c>
      <c r="G106" s="10" t="str">
        <f t="shared" si="2"/>
        <v>ON1</v>
      </c>
      <c r="H106" s="10" t="s">
        <v>21</v>
      </c>
      <c r="I106" s="10" t="s">
        <v>159</v>
      </c>
      <c r="J106" s="10" t="str">
        <f>""</f>
        <v/>
      </c>
      <c r="K106" s="10" t="str">
        <f>"PFES1162560289_0001"</f>
        <v>PFES1162560289_0001</v>
      </c>
      <c r="L106" s="10">
        <v>1</v>
      </c>
      <c r="M106" s="10">
        <v>2</v>
      </c>
    </row>
    <row r="107" spans="1:13">
      <c r="A107" s="8">
        <v>42920</v>
      </c>
      <c r="B107" s="9">
        <v>0.57777777777777783</v>
      </c>
      <c r="C107" s="10" t="str">
        <f>"FES1162560013"</f>
        <v>FES1162560013</v>
      </c>
      <c r="D107" s="10" t="s">
        <v>19</v>
      </c>
      <c r="E107" s="10" t="s">
        <v>160</v>
      </c>
      <c r="F107" s="10" t="str">
        <f>"2170574018 "</f>
        <v xml:space="preserve">2170574018 </v>
      </c>
      <c r="G107" s="10" t="str">
        <f t="shared" si="2"/>
        <v>ON1</v>
      </c>
      <c r="H107" s="10" t="s">
        <v>21</v>
      </c>
      <c r="I107" s="10" t="s">
        <v>161</v>
      </c>
      <c r="J107" s="10" t="str">
        <f>""</f>
        <v/>
      </c>
      <c r="K107" s="10" t="str">
        <f>"PFES1162560013_0001"</f>
        <v>PFES1162560013_0001</v>
      </c>
      <c r="L107" s="10">
        <v>1</v>
      </c>
      <c r="M107" s="10">
        <v>4</v>
      </c>
    </row>
    <row r="108" spans="1:13">
      <c r="A108" s="8">
        <v>42920</v>
      </c>
      <c r="B108" s="9">
        <v>0.57708333333333328</v>
      </c>
      <c r="C108" s="10" t="str">
        <f>"FES1162559971"</f>
        <v>FES1162559971</v>
      </c>
      <c r="D108" s="10" t="s">
        <v>19</v>
      </c>
      <c r="E108" s="10" t="s">
        <v>162</v>
      </c>
      <c r="F108" s="10" t="str">
        <f>"2170576982 "</f>
        <v xml:space="preserve">2170576982 </v>
      </c>
      <c r="G108" s="10" t="str">
        <f t="shared" si="2"/>
        <v>ON1</v>
      </c>
      <c r="H108" s="10" t="s">
        <v>21</v>
      </c>
      <c r="I108" s="10" t="s">
        <v>163</v>
      </c>
      <c r="J108" s="10" t="str">
        <f>""</f>
        <v/>
      </c>
      <c r="K108" s="10" t="str">
        <f>"PFES1162559971_0001"</f>
        <v>PFES1162559971_0001</v>
      </c>
      <c r="L108" s="10">
        <v>1</v>
      </c>
      <c r="M108" s="10">
        <v>2</v>
      </c>
    </row>
    <row r="109" spans="1:13">
      <c r="A109" s="8">
        <v>42920</v>
      </c>
      <c r="B109" s="9">
        <v>0.57708333333333328</v>
      </c>
      <c r="C109" s="10" t="str">
        <f>"FES1162559975"</f>
        <v>FES1162559975</v>
      </c>
      <c r="D109" s="10" t="s">
        <v>19</v>
      </c>
      <c r="E109" s="10" t="s">
        <v>164</v>
      </c>
      <c r="F109" s="10" t="str">
        <f>"2170576936 "</f>
        <v xml:space="preserve">2170576936 </v>
      </c>
      <c r="G109" s="10" t="str">
        <f t="shared" si="2"/>
        <v>ON1</v>
      </c>
      <c r="H109" s="10" t="s">
        <v>21</v>
      </c>
      <c r="I109" s="10" t="s">
        <v>147</v>
      </c>
      <c r="J109" s="10" t="str">
        <f>""</f>
        <v/>
      </c>
      <c r="K109" s="10" t="str">
        <f>"PFES1162559975_0001"</f>
        <v>PFES1162559975_0001</v>
      </c>
      <c r="L109" s="10">
        <v>2</v>
      </c>
      <c r="M109" s="10">
        <v>4</v>
      </c>
    </row>
    <row r="110" spans="1:13">
      <c r="A110" s="8">
        <v>42920</v>
      </c>
      <c r="B110" s="9">
        <v>0.57708333333333328</v>
      </c>
      <c r="C110" s="10" t="str">
        <f>"FES1162559975"</f>
        <v>FES1162559975</v>
      </c>
      <c r="D110" s="10" t="s">
        <v>19</v>
      </c>
      <c r="E110" s="10" t="s">
        <v>164</v>
      </c>
      <c r="F110" s="10" t="str">
        <f>"2170576936 "</f>
        <v xml:space="preserve">2170576936 </v>
      </c>
      <c r="G110" s="10" t="str">
        <f t="shared" si="2"/>
        <v>ON1</v>
      </c>
      <c r="H110" s="10" t="s">
        <v>21</v>
      </c>
      <c r="I110" s="10" t="s">
        <v>147</v>
      </c>
      <c r="J110" s="10"/>
      <c r="K110" s="10" t="str">
        <f>"PFES1162559975_0002"</f>
        <v>PFES1162559975_0002</v>
      </c>
      <c r="L110" s="10">
        <v>2</v>
      </c>
      <c r="M110" s="10">
        <v>4</v>
      </c>
    </row>
    <row r="111" spans="1:13">
      <c r="A111" s="8">
        <v>42920</v>
      </c>
      <c r="B111" s="9">
        <v>0.56597222222222221</v>
      </c>
      <c r="C111" s="10" t="str">
        <f>"FES1162560302"</f>
        <v>FES1162560302</v>
      </c>
      <c r="D111" s="10" t="s">
        <v>19</v>
      </c>
      <c r="E111" s="10" t="s">
        <v>165</v>
      </c>
      <c r="F111" s="10" t="str">
        <f>"2170570449 "</f>
        <v xml:space="preserve">2170570449 </v>
      </c>
      <c r="G111" s="10" t="str">
        <f t="shared" ref="G111:G174" si="3">"ON1"</f>
        <v>ON1</v>
      </c>
      <c r="H111" s="10" t="s">
        <v>21</v>
      </c>
      <c r="I111" s="10" t="s">
        <v>166</v>
      </c>
      <c r="J111" s="10" t="str">
        <f>""</f>
        <v/>
      </c>
      <c r="K111" s="10" t="str">
        <f>"PFES1162560302_0001"</f>
        <v>PFES1162560302_0001</v>
      </c>
      <c r="L111" s="10">
        <v>1</v>
      </c>
      <c r="M111" s="10">
        <v>6</v>
      </c>
    </row>
    <row r="112" spans="1:13">
      <c r="A112" s="8">
        <v>42920</v>
      </c>
      <c r="B112" s="9">
        <v>0.56458333333333333</v>
      </c>
      <c r="C112" s="10" t="str">
        <f>"FES1162560063"</f>
        <v>FES1162560063</v>
      </c>
      <c r="D112" s="10" t="s">
        <v>19</v>
      </c>
      <c r="E112" s="10" t="s">
        <v>167</v>
      </c>
      <c r="F112" s="10" t="str">
        <f>"2170574787 "</f>
        <v xml:space="preserve">2170574787 </v>
      </c>
      <c r="G112" s="10" t="str">
        <f t="shared" si="3"/>
        <v>ON1</v>
      </c>
      <c r="H112" s="10" t="s">
        <v>21</v>
      </c>
      <c r="I112" s="10" t="s">
        <v>168</v>
      </c>
      <c r="J112" s="10" t="str">
        <f>""</f>
        <v/>
      </c>
      <c r="K112" s="10" t="str">
        <f>"PFES1162560063_0001"</f>
        <v>PFES1162560063_0001</v>
      </c>
      <c r="L112" s="10">
        <v>1</v>
      </c>
      <c r="M112" s="10">
        <v>1</v>
      </c>
    </row>
    <row r="113" spans="1:13">
      <c r="A113" s="8">
        <v>42920</v>
      </c>
      <c r="B113" s="9">
        <v>0.56388888888888888</v>
      </c>
      <c r="C113" s="10" t="str">
        <f>"FES1162560208"</f>
        <v>FES1162560208</v>
      </c>
      <c r="D113" s="10" t="s">
        <v>19</v>
      </c>
      <c r="E113" s="10" t="s">
        <v>78</v>
      </c>
      <c r="F113" s="10" t="str">
        <f>"2170577026 "</f>
        <v xml:space="preserve">2170577026 </v>
      </c>
      <c r="G113" s="10" t="str">
        <f t="shared" si="3"/>
        <v>ON1</v>
      </c>
      <c r="H113" s="10" t="s">
        <v>21</v>
      </c>
      <c r="I113" s="10" t="s">
        <v>79</v>
      </c>
      <c r="J113" s="10" t="str">
        <f>""</f>
        <v/>
      </c>
      <c r="K113" s="10" t="str">
        <f>"PFES1162560208_0001"</f>
        <v>PFES1162560208_0001</v>
      </c>
      <c r="L113" s="10">
        <v>1</v>
      </c>
      <c r="M113" s="10">
        <v>10</v>
      </c>
    </row>
    <row r="114" spans="1:13">
      <c r="A114" s="8">
        <v>42920</v>
      </c>
      <c r="B114" s="9">
        <v>0.56388888888888888</v>
      </c>
      <c r="C114" s="10" t="str">
        <f>"FES1162560196"</f>
        <v>FES1162560196</v>
      </c>
      <c r="D114" s="10" t="s">
        <v>19</v>
      </c>
      <c r="E114" s="10" t="s">
        <v>118</v>
      </c>
      <c r="F114" s="10" t="str">
        <f>"2170577009 "</f>
        <v xml:space="preserve">2170577009 </v>
      </c>
      <c r="G114" s="10" t="str">
        <f t="shared" si="3"/>
        <v>ON1</v>
      </c>
      <c r="H114" s="10" t="s">
        <v>21</v>
      </c>
      <c r="I114" s="10" t="s">
        <v>119</v>
      </c>
      <c r="J114" s="10" t="str">
        <f>""</f>
        <v/>
      </c>
      <c r="K114" s="10" t="str">
        <f>"PFES1162560196_0001"</f>
        <v>PFES1162560196_0001</v>
      </c>
      <c r="L114" s="10">
        <v>1</v>
      </c>
      <c r="M114" s="10">
        <v>1</v>
      </c>
    </row>
    <row r="115" spans="1:13">
      <c r="A115" s="8">
        <v>42920</v>
      </c>
      <c r="B115" s="9">
        <v>0.56388888888888888</v>
      </c>
      <c r="C115" s="10" t="str">
        <f>"FES1162560115"</f>
        <v>FES1162560115</v>
      </c>
      <c r="D115" s="10" t="s">
        <v>19</v>
      </c>
      <c r="E115" s="10" t="s">
        <v>169</v>
      </c>
      <c r="F115" s="10" t="str">
        <f>"2170575836 "</f>
        <v xml:space="preserve">2170575836 </v>
      </c>
      <c r="G115" s="10" t="str">
        <f t="shared" si="3"/>
        <v>ON1</v>
      </c>
      <c r="H115" s="10" t="s">
        <v>21</v>
      </c>
      <c r="I115" s="10" t="s">
        <v>170</v>
      </c>
      <c r="J115" s="10" t="str">
        <f>""</f>
        <v/>
      </c>
      <c r="K115" s="10" t="str">
        <f>"PFES1162560115_0001"</f>
        <v>PFES1162560115_0001</v>
      </c>
      <c r="L115" s="10">
        <v>1</v>
      </c>
      <c r="M115" s="10">
        <v>1</v>
      </c>
    </row>
    <row r="116" spans="1:13">
      <c r="A116" s="8">
        <v>42920</v>
      </c>
      <c r="B116" s="9">
        <v>0.56319444444444444</v>
      </c>
      <c r="C116" s="10" t="str">
        <f>"FES1162560242"</f>
        <v>FES1162560242</v>
      </c>
      <c r="D116" s="10" t="s">
        <v>19</v>
      </c>
      <c r="E116" s="10" t="s">
        <v>171</v>
      </c>
      <c r="F116" s="10" t="str">
        <f>"2170577069 "</f>
        <v xml:space="preserve">2170577069 </v>
      </c>
      <c r="G116" s="10" t="str">
        <f t="shared" si="3"/>
        <v>ON1</v>
      </c>
      <c r="H116" s="10" t="s">
        <v>21</v>
      </c>
      <c r="I116" s="10" t="s">
        <v>172</v>
      </c>
      <c r="J116" s="10" t="str">
        <f>""</f>
        <v/>
      </c>
      <c r="K116" s="10" t="str">
        <f>"PFES1162560242_0001"</f>
        <v>PFES1162560242_0001</v>
      </c>
      <c r="L116" s="10">
        <v>1</v>
      </c>
      <c r="M116" s="10">
        <v>2</v>
      </c>
    </row>
    <row r="117" spans="1:13">
      <c r="A117" s="8">
        <v>42920</v>
      </c>
      <c r="B117" s="9">
        <v>0.5625</v>
      </c>
      <c r="C117" s="10" t="str">
        <f>"FES1162560055"</f>
        <v>FES1162560055</v>
      </c>
      <c r="D117" s="10" t="s">
        <v>19</v>
      </c>
      <c r="E117" s="10" t="s">
        <v>72</v>
      </c>
      <c r="F117" s="10" t="str">
        <f>"2170574719 "</f>
        <v xml:space="preserve">2170574719 </v>
      </c>
      <c r="G117" s="10" t="str">
        <f t="shared" si="3"/>
        <v>ON1</v>
      </c>
      <c r="H117" s="10" t="s">
        <v>21</v>
      </c>
      <c r="I117" s="10" t="s">
        <v>73</v>
      </c>
      <c r="J117" s="10" t="str">
        <f>""</f>
        <v/>
      </c>
      <c r="K117" s="10" t="str">
        <f>"PFES1162560055_0001"</f>
        <v>PFES1162560055_0001</v>
      </c>
      <c r="L117" s="10">
        <v>1</v>
      </c>
      <c r="M117" s="10">
        <v>1</v>
      </c>
    </row>
    <row r="118" spans="1:13">
      <c r="A118" s="8">
        <v>42920</v>
      </c>
      <c r="B118" s="9">
        <v>0.5625</v>
      </c>
      <c r="C118" s="10" t="str">
        <f>"FES1162559989"</f>
        <v>FES1162559989</v>
      </c>
      <c r="D118" s="10" t="s">
        <v>19</v>
      </c>
      <c r="E118" s="10" t="s">
        <v>173</v>
      </c>
      <c r="F118" s="10" t="str">
        <f>"2170571826 "</f>
        <v xml:space="preserve">2170571826 </v>
      </c>
      <c r="G118" s="10" t="str">
        <f t="shared" si="3"/>
        <v>ON1</v>
      </c>
      <c r="H118" s="10" t="s">
        <v>21</v>
      </c>
      <c r="I118" s="10" t="s">
        <v>174</v>
      </c>
      <c r="J118" s="10" t="str">
        <f>""</f>
        <v/>
      </c>
      <c r="K118" s="10" t="str">
        <f>"PFES1162559989_0001"</f>
        <v>PFES1162559989_0001</v>
      </c>
      <c r="L118" s="10">
        <v>1</v>
      </c>
      <c r="M118" s="10">
        <v>5</v>
      </c>
    </row>
    <row r="119" spans="1:13">
      <c r="A119" s="8">
        <v>42920</v>
      </c>
      <c r="B119" s="9">
        <v>0.56180555555555556</v>
      </c>
      <c r="C119" s="10" t="str">
        <f>"FES1162560030"</f>
        <v>FES1162560030</v>
      </c>
      <c r="D119" s="10" t="s">
        <v>19</v>
      </c>
      <c r="E119" s="10" t="s">
        <v>175</v>
      </c>
      <c r="F119" s="10" t="str">
        <f>"2170574420 "</f>
        <v xml:space="preserve">2170574420 </v>
      </c>
      <c r="G119" s="10" t="str">
        <f t="shared" si="3"/>
        <v>ON1</v>
      </c>
      <c r="H119" s="10" t="s">
        <v>21</v>
      </c>
      <c r="I119" s="10" t="s">
        <v>168</v>
      </c>
      <c r="J119" s="10" t="str">
        <f>""</f>
        <v/>
      </c>
      <c r="K119" s="10" t="str">
        <f>"PFES1162560030_0001"</f>
        <v>PFES1162560030_0001</v>
      </c>
      <c r="L119" s="10">
        <v>1</v>
      </c>
      <c r="M119" s="10">
        <v>3</v>
      </c>
    </row>
    <row r="120" spans="1:13">
      <c r="A120" s="8">
        <v>42920</v>
      </c>
      <c r="B120" s="9">
        <v>0.56111111111111112</v>
      </c>
      <c r="C120" s="10" t="str">
        <f>"FES1162560031"</f>
        <v>FES1162560031</v>
      </c>
      <c r="D120" s="10" t="s">
        <v>19</v>
      </c>
      <c r="E120" s="10" t="s">
        <v>176</v>
      </c>
      <c r="F120" s="10" t="str">
        <f>"2170574434 "</f>
        <v xml:space="preserve">2170574434 </v>
      </c>
      <c r="G120" s="10" t="str">
        <f t="shared" si="3"/>
        <v>ON1</v>
      </c>
      <c r="H120" s="10" t="s">
        <v>21</v>
      </c>
      <c r="I120" s="10" t="s">
        <v>177</v>
      </c>
      <c r="J120" s="10" t="str">
        <f>""</f>
        <v/>
      </c>
      <c r="K120" s="10" t="str">
        <f>"PFES1162560031_0001"</f>
        <v>PFES1162560031_0001</v>
      </c>
      <c r="L120" s="10">
        <v>1</v>
      </c>
      <c r="M120" s="10">
        <v>1</v>
      </c>
    </row>
    <row r="121" spans="1:13">
      <c r="A121" s="8">
        <v>42920</v>
      </c>
      <c r="B121" s="9">
        <v>0.56111111111111112</v>
      </c>
      <c r="C121" s="10" t="str">
        <f>"FES1162560002"</f>
        <v>FES1162560002</v>
      </c>
      <c r="D121" s="10" t="s">
        <v>19</v>
      </c>
      <c r="E121" s="10" t="s">
        <v>178</v>
      </c>
      <c r="F121" s="10" t="str">
        <f>"2170573265 "</f>
        <v xml:space="preserve">2170573265 </v>
      </c>
      <c r="G121" s="10" t="str">
        <f t="shared" si="3"/>
        <v>ON1</v>
      </c>
      <c r="H121" s="10" t="s">
        <v>21</v>
      </c>
      <c r="I121" s="10" t="s">
        <v>179</v>
      </c>
      <c r="J121" s="10" t="str">
        <f>""</f>
        <v/>
      </c>
      <c r="K121" s="10" t="str">
        <f>"PFES1162560002_0001"</f>
        <v>PFES1162560002_0001</v>
      </c>
      <c r="L121" s="10">
        <v>1</v>
      </c>
      <c r="M121" s="10">
        <v>1.5</v>
      </c>
    </row>
    <row r="122" spans="1:13">
      <c r="A122" s="8">
        <v>42920</v>
      </c>
      <c r="B122" s="9">
        <v>0.56111111111111112</v>
      </c>
      <c r="C122" s="10" t="str">
        <f>"FES1162560057"</f>
        <v>FES1162560057</v>
      </c>
      <c r="D122" s="10" t="s">
        <v>19</v>
      </c>
      <c r="E122" s="10" t="s">
        <v>180</v>
      </c>
      <c r="F122" s="10" t="str">
        <f>"2170574743 "</f>
        <v xml:space="preserve">2170574743 </v>
      </c>
      <c r="G122" s="10" t="str">
        <f t="shared" si="3"/>
        <v>ON1</v>
      </c>
      <c r="H122" s="10" t="s">
        <v>21</v>
      </c>
      <c r="I122" s="10" t="s">
        <v>168</v>
      </c>
      <c r="J122" s="10" t="str">
        <f>""</f>
        <v/>
      </c>
      <c r="K122" s="10" t="str">
        <f>"PFES1162560057_0001"</f>
        <v>PFES1162560057_0001</v>
      </c>
      <c r="L122" s="10">
        <v>1</v>
      </c>
      <c r="M122" s="10">
        <v>1</v>
      </c>
    </row>
    <row r="123" spans="1:13">
      <c r="A123" s="8">
        <v>42920</v>
      </c>
      <c r="B123" s="9">
        <v>0.56041666666666667</v>
      </c>
      <c r="C123" s="10" t="str">
        <f>"FES1162560131"</f>
        <v>FES1162560131</v>
      </c>
      <c r="D123" s="10" t="s">
        <v>19</v>
      </c>
      <c r="E123" s="10" t="s">
        <v>72</v>
      </c>
      <c r="F123" s="10" t="str">
        <f>"2170576248 "</f>
        <v xml:space="preserve">2170576248 </v>
      </c>
      <c r="G123" s="10" t="str">
        <f t="shared" si="3"/>
        <v>ON1</v>
      </c>
      <c r="H123" s="10" t="s">
        <v>21</v>
      </c>
      <c r="I123" s="10" t="s">
        <v>73</v>
      </c>
      <c r="J123" s="10" t="str">
        <f>""</f>
        <v/>
      </c>
      <c r="K123" s="10" t="str">
        <f>"PFES1162560131_0001"</f>
        <v>PFES1162560131_0001</v>
      </c>
      <c r="L123" s="10">
        <v>1</v>
      </c>
      <c r="M123" s="10">
        <v>1</v>
      </c>
    </row>
    <row r="124" spans="1:13">
      <c r="A124" s="8">
        <v>42920</v>
      </c>
      <c r="B124" s="9">
        <v>0.56041666666666667</v>
      </c>
      <c r="C124" s="10" t="str">
        <f>"FES1162560011"</f>
        <v>FES1162560011</v>
      </c>
      <c r="D124" s="10" t="s">
        <v>19</v>
      </c>
      <c r="E124" s="10" t="s">
        <v>181</v>
      </c>
      <c r="F124" s="10" t="str">
        <f>"2170573846 "</f>
        <v xml:space="preserve">2170573846 </v>
      </c>
      <c r="G124" s="10" t="str">
        <f t="shared" si="3"/>
        <v>ON1</v>
      </c>
      <c r="H124" s="10" t="s">
        <v>21</v>
      </c>
      <c r="I124" s="10" t="s">
        <v>179</v>
      </c>
      <c r="J124" s="10" t="str">
        <f>""</f>
        <v/>
      </c>
      <c r="K124" s="10" t="str">
        <f>"PFES1162560011_0001"</f>
        <v>PFES1162560011_0001</v>
      </c>
      <c r="L124" s="10">
        <v>1</v>
      </c>
      <c r="M124" s="10">
        <v>11</v>
      </c>
    </row>
    <row r="125" spans="1:13">
      <c r="A125" s="8">
        <v>42920</v>
      </c>
      <c r="B125" s="9">
        <v>0.55902777777777779</v>
      </c>
      <c r="C125" s="10" t="str">
        <f>"FES1162560001"</f>
        <v>FES1162560001</v>
      </c>
      <c r="D125" s="10" t="s">
        <v>19</v>
      </c>
      <c r="E125" s="10" t="s">
        <v>182</v>
      </c>
      <c r="F125" s="10" t="str">
        <f>"2170573225 "</f>
        <v xml:space="preserve">2170573225 </v>
      </c>
      <c r="G125" s="10" t="str">
        <f t="shared" si="3"/>
        <v>ON1</v>
      </c>
      <c r="H125" s="10" t="s">
        <v>21</v>
      </c>
      <c r="I125" s="10" t="s">
        <v>183</v>
      </c>
      <c r="J125" s="10" t="str">
        <f>""</f>
        <v/>
      </c>
      <c r="K125" s="10" t="str">
        <f>"PFES1162560001_0001"</f>
        <v>PFES1162560001_0001</v>
      </c>
      <c r="L125" s="10">
        <v>1</v>
      </c>
      <c r="M125" s="10">
        <v>1</v>
      </c>
    </row>
    <row r="126" spans="1:13">
      <c r="A126" s="8">
        <v>42920</v>
      </c>
      <c r="B126" s="9">
        <v>0.55833333333333335</v>
      </c>
      <c r="C126" s="10" t="str">
        <f>"FES1162559997"</f>
        <v>FES1162559997</v>
      </c>
      <c r="D126" s="10" t="s">
        <v>19</v>
      </c>
      <c r="E126" s="10" t="s">
        <v>184</v>
      </c>
      <c r="F126" s="10" t="str">
        <f>"2170572765 "</f>
        <v xml:space="preserve">2170572765 </v>
      </c>
      <c r="G126" s="10" t="str">
        <f t="shared" si="3"/>
        <v>ON1</v>
      </c>
      <c r="H126" s="10" t="s">
        <v>21</v>
      </c>
      <c r="I126" s="10" t="s">
        <v>185</v>
      </c>
      <c r="J126" s="10" t="str">
        <f>""</f>
        <v/>
      </c>
      <c r="K126" s="10" t="str">
        <f>"PFES1162559997_0001"</f>
        <v>PFES1162559997_0001</v>
      </c>
      <c r="L126" s="10">
        <v>1</v>
      </c>
      <c r="M126" s="10">
        <v>6</v>
      </c>
    </row>
    <row r="127" spans="1:13">
      <c r="A127" s="8">
        <v>42920</v>
      </c>
      <c r="B127" s="9">
        <v>0.55763888888888891</v>
      </c>
      <c r="C127" s="10" t="str">
        <f>"FES1162560026"</f>
        <v>FES1162560026</v>
      </c>
      <c r="D127" s="10" t="s">
        <v>19</v>
      </c>
      <c r="E127" s="10" t="s">
        <v>186</v>
      </c>
      <c r="F127" s="10" t="str">
        <f>"2170574363 "</f>
        <v xml:space="preserve">2170574363 </v>
      </c>
      <c r="G127" s="10" t="str">
        <f t="shared" si="3"/>
        <v>ON1</v>
      </c>
      <c r="H127" s="10" t="s">
        <v>21</v>
      </c>
      <c r="I127" s="10" t="s">
        <v>187</v>
      </c>
      <c r="J127" s="10" t="str">
        <f>""</f>
        <v/>
      </c>
      <c r="K127" s="10" t="str">
        <f>"PFES1162560026_0001"</f>
        <v>PFES1162560026_0001</v>
      </c>
      <c r="L127" s="10">
        <v>1</v>
      </c>
      <c r="M127" s="10">
        <v>1</v>
      </c>
    </row>
    <row r="128" spans="1:13">
      <c r="A128" s="8">
        <v>42920</v>
      </c>
      <c r="B128" s="9">
        <v>0.55763888888888891</v>
      </c>
      <c r="C128" s="10" t="str">
        <f>"FES1162560207"</f>
        <v>FES1162560207</v>
      </c>
      <c r="D128" s="10" t="s">
        <v>19</v>
      </c>
      <c r="E128" s="10" t="s">
        <v>188</v>
      </c>
      <c r="F128" s="10" t="str">
        <f>"2170577025 "</f>
        <v xml:space="preserve">2170577025 </v>
      </c>
      <c r="G128" s="10" t="str">
        <f t="shared" si="3"/>
        <v>ON1</v>
      </c>
      <c r="H128" s="10" t="s">
        <v>21</v>
      </c>
      <c r="I128" s="10" t="s">
        <v>189</v>
      </c>
      <c r="J128" s="10" t="str">
        <f>""</f>
        <v/>
      </c>
      <c r="K128" s="10" t="str">
        <f>"PFES1162560207_0001"</f>
        <v>PFES1162560207_0001</v>
      </c>
      <c r="L128" s="10">
        <v>1</v>
      </c>
      <c r="M128" s="10">
        <v>1</v>
      </c>
    </row>
    <row r="129" spans="1:13">
      <c r="A129" s="8">
        <v>42920</v>
      </c>
      <c r="B129" s="9">
        <v>0.55763888888888891</v>
      </c>
      <c r="C129" s="10" t="str">
        <f>"FES1162560019"</f>
        <v>FES1162560019</v>
      </c>
      <c r="D129" s="10" t="s">
        <v>19</v>
      </c>
      <c r="E129" s="10" t="s">
        <v>181</v>
      </c>
      <c r="F129" s="10" t="str">
        <f>"2170574248 "</f>
        <v xml:space="preserve">2170574248 </v>
      </c>
      <c r="G129" s="10" t="str">
        <f t="shared" si="3"/>
        <v>ON1</v>
      </c>
      <c r="H129" s="10" t="s">
        <v>21</v>
      </c>
      <c r="I129" s="10" t="s">
        <v>179</v>
      </c>
      <c r="J129" s="10" t="str">
        <f>""</f>
        <v/>
      </c>
      <c r="K129" s="10" t="str">
        <f>"PFES1162560019_0001"</f>
        <v>PFES1162560019_0001</v>
      </c>
      <c r="L129" s="10">
        <v>1</v>
      </c>
      <c r="M129" s="10">
        <v>1</v>
      </c>
    </row>
    <row r="130" spans="1:13">
      <c r="A130" s="8">
        <v>42920</v>
      </c>
      <c r="B130" s="9">
        <v>0.55694444444444446</v>
      </c>
      <c r="C130" s="10" t="str">
        <f>"FES1162560283"</f>
        <v>FES1162560283</v>
      </c>
      <c r="D130" s="10" t="s">
        <v>19</v>
      </c>
      <c r="E130" s="10" t="s">
        <v>190</v>
      </c>
      <c r="F130" s="10" t="str">
        <f>"2170577106 "</f>
        <v xml:space="preserve">2170577106 </v>
      </c>
      <c r="G130" s="10" t="str">
        <f t="shared" si="3"/>
        <v>ON1</v>
      </c>
      <c r="H130" s="10" t="s">
        <v>21</v>
      </c>
      <c r="I130" s="10" t="s">
        <v>52</v>
      </c>
      <c r="J130" s="10" t="str">
        <f>""</f>
        <v/>
      </c>
      <c r="K130" s="10" t="str">
        <f>"PFES1162560283_0001"</f>
        <v>PFES1162560283_0001</v>
      </c>
      <c r="L130" s="10">
        <v>1</v>
      </c>
      <c r="M130" s="10">
        <v>1</v>
      </c>
    </row>
    <row r="131" spans="1:13">
      <c r="A131" s="8">
        <v>42920</v>
      </c>
      <c r="B131" s="9">
        <v>0.55694444444444446</v>
      </c>
      <c r="C131" s="10" t="str">
        <f>"FES1162560158"</f>
        <v>FES1162560158</v>
      </c>
      <c r="D131" s="10" t="s">
        <v>19</v>
      </c>
      <c r="E131" s="10" t="s">
        <v>191</v>
      </c>
      <c r="F131" s="10" t="str">
        <f>"2170576678 "</f>
        <v xml:space="preserve">2170576678 </v>
      </c>
      <c r="G131" s="10" t="str">
        <f t="shared" si="3"/>
        <v>ON1</v>
      </c>
      <c r="H131" s="10" t="s">
        <v>21</v>
      </c>
      <c r="I131" s="10" t="s">
        <v>192</v>
      </c>
      <c r="J131" s="10" t="str">
        <f>""</f>
        <v/>
      </c>
      <c r="K131" s="10" t="str">
        <f>"PFES1162560158_0001"</f>
        <v>PFES1162560158_0001</v>
      </c>
      <c r="L131" s="10">
        <v>1</v>
      </c>
      <c r="M131" s="10">
        <v>1</v>
      </c>
    </row>
    <row r="132" spans="1:13">
      <c r="A132" s="8">
        <v>42920</v>
      </c>
      <c r="B132" s="9">
        <v>0.55694444444444446</v>
      </c>
      <c r="C132" s="10" t="str">
        <f>"FES1162560070"</f>
        <v>FES1162560070</v>
      </c>
      <c r="D132" s="10" t="s">
        <v>19</v>
      </c>
      <c r="E132" s="10" t="s">
        <v>193</v>
      </c>
      <c r="F132" s="10" t="str">
        <f>"2170574925 "</f>
        <v xml:space="preserve">2170574925 </v>
      </c>
      <c r="G132" s="10" t="str">
        <f t="shared" si="3"/>
        <v>ON1</v>
      </c>
      <c r="H132" s="10" t="s">
        <v>21</v>
      </c>
      <c r="I132" s="10" t="s">
        <v>183</v>
      </c>
      <c r="J132" s="10" t="str">
        <f>""</f>
        <v/>
      </c>
      <c r="K132" s="10" t="str">
        <f>"PFES1162560070_0001"</f>
        <v>PFES1162560070_0001</v>
      </c>
      <c r="L132" s="10">
        <v>1</v>
      </c>
      <c r="M132" s="10">
        <v>1</v>
      </c>
    </row>
    <row r="133" spans="1:13">
      <c r="A133" s="8">
        <v>42920</v>
      </c>
      <c r="B133" s="9">
        <v>0.55625000000000002</v>
      </c>
      <c r="C133" s="10" t="str">
        <f>"FES1162560039"</f>
        <v>FES1162560039</v>
      </c>
      <c r="D133" s="10" t="s">
        <v>19</v>
      </c>
      <c r="E133" s="10" t="s">
        <v>194</v>
      </c>
      <c r="F133" s="10" t="str">
        <f>"2170574526 "</f>
        <v xml:space="preserve">2170574526 </v>
      </c>
      <c r="G133" s="10" t="str">
        <f t="shared" si="3"/>
        <v>ON1</v>
      </c>
      <c r="H133" s="10" t="s">
        <v>21</v>
      </c>
      <c r="I133" s="10" t="s">
        <v>170</v>
      </c>
      <c r="J133" s="10" t="str">
        <f>""</f>
        <v/>
      </c>
      <c r="K133" s="10" t="str">
        <f>"PFES1162560039_0001"</f>
        <v>PFES1162560039_0001</v>
      </c>
      <c r="L133" s="10">
        <v>1</v>
      </c>
      <c r="M133" s="10">
        <v>1</v>
      </c>
    </row>
    <row r="134" spans="1:13">
      <c r="A134" s="8">
        <v>42920</v>
      </c>
      <c r="B134" s="9">
        <v>0.55625000000000002</v>
      </c>
      <c r="C134" s="10" t="str">
        <f>"FES1162560090"</f>
        <v>FES1162560090</v>
      </c>
      <c r="D134" s="10" t="s">
        <v>19</v>
      </c>
      <c r="E134" s="10" t="s">
        <v>87</v>
      </c>
      <c r="F134" s="10" t="str">
        <f>"2170575264 "</f>
        <v xml:space="preserve">2170575264 </v>
      </c>
      <c r="G134" s="10" t="str">
        <f t="shared" si="3"/>
        <v>ON1</v>
      </c>
      <c r="H134" s="10" t="s">
        <v>21</v>
      </c>
      <c r="I134" s="10" t="s">
        <v>88</v>
      </c>
      <c r="J134" s="10" t="str">
        <f>""</f>
        <v/>
      </c>
      <c r="K134" s="10" t="str">
        <f>"PFES1162560090_0001"</f>
        <v>PFES1162560090_0001</v>
      </c>
      <c r="L134" s="10">
        <v>1</v>
      </c>
      <c r="M134" s="10">
        <v>1</v>
      </c>
    </row>
    <row r="135" spans="1:13">
      <c r="A135" s="8">
        <v>42920</v>
      </c>
      <c r="B135" s="9">
        <v>0.55555555555555558</v>
      </c>
      <c r="C135" s="10" t="str">
        <f>"FES1162560155"</f>
        <v>FES1162560155</v>
      </c>
      <c r="D135" s="10" t="s">
        <v>19</v>
      </c>
      <c r="E135" s="10" t="s">
        <v>195</v>
      </c>
      <c r="F135" s="10" t="str">
        <f>"2170576625 "</f>
        <v xml:space="preserve">2170576625 </v>
      </c>
      <c r="G135" s="10" t="str">
        <f t="shared" si="3"/>
        <v>ON1</v>
      </c>
      <c r="H135" s="10" t="s">
        <v>21</v>
      </c>
      <c r="I135" s="10" t="s">
        <v>196</v>
      </c>
      <c r="J135" s="10" t="str">
        <f>""</f>
        <v/>
      </c>
      <c r="K135" s="10" t="str">
        <f>"PFES1162560155_0001"</f>
        <v>PFES1162560155_0001</v>
      </c>
      <c r="L135" s="10">
        <v>1</v>
      </c>
      <c r="M135" s="10">
        <v>1</v>
      </c>
    </row>
    <row r="136" spans="1:13">
      <c r="A136" s="8">
        <v>42920</v>
      </c>
      <c r="B136" s="9">
        <v>0.55555555555555558</v>
      </c>
      <c r="C136" s="10" t="str">
        <f>"FES1162560092"</f>
        <v>FES1162560092</v>
      </c>
      <c r="D136" s="10" t="s">
        <v>19</v>
      </c>
      <c r="E136" s="10" t="s">
        <v>87</v>
      </c>
      <c r="F136" s="10" t="str">
        <f>"2170575277 "</f>
        <v xml:space="preserve">2170575277 </v>
      </c>
      <c r="G136" s="10" t="str">
        <f t="shared" si="3"/>
        <v>ON1</v>
      </c>
      <c r="H136" s="10" t="s">
        <v>21</v>
      </c>
      <c r="I136" s="10" t="s">
        <v>88</v>
      </c>
      <c r="J136" s="10" t="str">
        <f>""</f>
        <v/>
      </c>
      <c r="K136" s="10" t="str">
        <f>"PFES1162560092_0001"</f>
        <v>PFES1162560092_0001</v>
      </c>
      <c r="L136" s="10">
        <v>1</v>
      </c>
      <c r="M136" s="10">
        <v>1</v>
      </c>
    </row>
    <row r="137" spans="1:13">
      <c r="A137" s="8">
        <v>42920</v>
      </c>
      <c r="B137" s="9">
        <v>0.55486111111111114</v>
      </c>
      <c r="C137" s="10" t="str">
        <f>"FES1162560088"</f>
        <v>FES1162560088</v>
      </c>
      <c r="D137" s="10" t="s">
        <v>19</v>
      </c>
      <c r="E137" s="10" t="s">
        <v>87</v>
      </c>
      <c r="F137" s="10" t="str">
        <f>"2170575260 "</f>
        <v xml:space="preserve">2170575260 </v>
      </c>
      <c r="G137" s="10" t="str">
        <f t="shared" si="3"/>
        <v>ON1</v>
      </c>
      <c r="H137" s="10" t="s">
        <v>21</v>
      </c>
      <c r="I137" s="10" t="s">
        <v>88</v>
      </c>
      <c r="J137" s="10" t="str">
        <f>""</f>
        <v/>
      </c>
      <c r="K137" s="10" t="str">
        <f>"PFES1162560088_0001"</f>
        <v>PFES1162560088_0001</v>
      </c>
      <c r="L137" s="10">
        <v>1</v>
      </c>
      <c r="M137" s="10">
        <v>1</v>
      </c>
    </row>
    <row r="138" spans="1:13">
      <c r="A138" s="8">
        <v>42920</v>
      </c>
      <c r="B138" s="9">
        <v>0.55486111111111114</v>
      </c>
      <c r="C138" s="10" t="str">
        <f>"FES1162560082"</f>
        <v>FES1162560082</v>
      </c>
      <c r="D138" s="10" t="s">
        <v>19</v>
      </c>
      <c r="E138" s="10" t="s">
        <v>87</v>
      </c>
      <c r="F138" s="10" t="str">
        <f>"2170575223 "</f>
        <v xml:space="preserve">2170575223 </v>
      </c>
      <c r="G138" s="10" t="str">
        <f t="shared" si="3"/>
        <v>ON1</v>
      </c>
      <c r="H138" s="10" t="s">
        <v>21</v>
      </c>
      <c r="I138" s="10" t="s">
        <v>88</v>
      </c>
      <c r="J138" s="10" t="str">
        <f>""</f>
        <v/>
      </c>
      <c r="K138" s="10" t="str">
        <f>"PFES1162560082_0001"</f>
        <v>PFES1162560082_0001</v>
      </c>
      <c r="L138" s="10">
        <v>1</v>
      </c>
      <c r="M138" s="10">
        <v>1</v>
      </c>
    </row>
    <row r="139" spans="1:13">
      <c r="A139" s="8">
        <v>42920</v>
      </c>
      <c r="B139" s="9">
        <v>0.55277777777777781</v>
      </c>
      <c r="C139" s="10" t="str">
        <f>"FES1162560205"</f>
        <v>FES1162560205</v>
      </c>
      <c r="D139" s="10" t="s">
        <v>19</v>
      </c>
      <c r="E139" s="10" t="s">
        <v>197</v>
      </c>
      <c r="F139" s="10" t="str">
        <f>"2170577023 "</f>
        <v xml:space="preserve">2170577023 </v>
      </c>
      <c r="G139" s="10" t="str">
        <f t="shared" si="3"/>
        <v>ON1</v>
      </c>
      <c r="H139" s="10" t="s">
        <v>21</v>
      </c>
      <c r="I139" s="10" t="s">
        <v>198</v>
      </c>
      <c r="J139" s="10" t="str">
        <f>""</f>
        <v/>
      </c>
      <c r="K139" s="10" t="str">
        <f>"PFES1162560205_0001"</f>
        <v>PFES1162560205_0001</v>
      </c>
      <c r="L139" s="10">
        <v>1</v>
      </c>
      <c r="M139" s="10">
        <v>1</v>
      </c>
    </row>
    <row r="140" spans="1:13">
      <c r="A140" s="8">
        <v>42920</v>
      </c>
      <c r="B140" s="9">
        <v>0.55208333333333337</v>
      </c>
      <c r="C140" s="10" t="str">
        <f>"FES1162560077"</f>
        <v>FES1162560077</v>
      </c>
      <c r="D140" s="10" t="s">
        <v>19</v>
      </c>
      <c r="E140" s="10" t="s">
        <v>199</v>
      </c>
      <c r="F140" s="10" t="str">
        <f>"2170575051 "</f>
        <v xml:space="preserve">2170575051 </v>
      </c>
      <c r="G140" s="10" t="str">
        <f t="shared" si="3"/>
        <v>ON1</v>
      </c>
      <c r="H140" s="10" t="s">
        <v>21</v>
      </c>
      <c r="I140" s="10" t="s">
        <v>200</v>
      </c>
      <c r="J140" s="10" t="str">
        <f>""</f>
        <v/>
      </c>
      <c r="K140" s="10" t="str">
        <f>"PFES1162560077_0001"</f>
        <v>PFES1162560077_0001</v>
      </c>
      <c r="L140" s="10">
        <v>1</v>
      </c>
      <c r="M140" s="10">
        <v>1</v>
      </c>
    </row>
    <row r="141" spans="1:13">
      <c r="A141" s="8">
        <v>42920</v>
      </c>
      <c r="B141" s="9">
        <v>0.55208333333333337</v>
      </c>
      <c r="C141" s="10" t="str">
        <f>"FES1162560035"</f>
        <v>FES1162560035</v>
      </c>
      <c r="D141" s="10" t="s">
        <v>19</v>
      </c>
      <c r="E141" s="10" t="s">
        <v>99</v>
      </c>
      <c r="F141" s="10" t="str">
        <f>"2170574473 "</f>
        <v xml:space="preserve">2170574473 </v>
      </c>
      <c r="G141" s="10" t="str">
        <f t="shared" si="3"/>
        <v>ON1</v>
      </c>
      <c r="H141" s="10" t="s">
        <v>21</v>
      </c>
      <c r="I141" s="10" t="s">
        <v>100</v>
      </c>
      <c r="J141" s="10" t="str">
        <f>""</f>
        <v/>
      </c>
      <c r="K141" s="10" t="str">
        <f>"PFES1162560035_0001"</f>
        <v>PFES1162560035_0001</v>
      </c>
      <c r="L141" s="10">
        <v>1</v>
      </c>
      <c r="M141" s="10">
        <v>1</v>
      </c>
    </row>
    <row r="142" spans="1:13">
      <c r="A142" s="8">
        <v>42920</v>
      </c>
      <c r="B142" s="9">
        <v>0.55138888888888882</v>
      </c>
      <c r="C142" s="10" t="str">
        <f>"FES1162560119"</f>
        <v>FES1162560119</v>
      </c>
      <c r="D142" s="10" t="s">
        <v>19</v>
      </c>
      <c r="E142" s="10" t="s">
        <v>201</v>
      </c>
      <c r="F142" s="10" t="str">
        <f>"2170575943 "</f>
        <v xml:space="preserve">2170575943 </v>
      </c>
      <c r="G142" s="10" t="str">
        <f t="shared" si="3"/>
        <v>ON1</v>
      </c>
      <c r="H142" s="10" t="s">
        <v>21</v>
      </c>
      <c r="I142" s="10" t="s">
        <v>202</v>
      </c>
      <c r="J142" s="10" t="str">
        <f>""</f>
        <v/>
      </c>
      <c r="K142" s="10" t="str">
        <f>"PFES1162560119_0001"</f>
        <v>PFES1162560119_0001</v>
      </c>
      <c r="L142" s="10">
        <v>1</v>
      </c>
      <c r="M142" s="10">
        <v>1</v>
      </c>
    </row>
    <row r="143" spans="1:13">
      <c r="A143" s="8">
        <v>42920</v>
      </c>
      <c r="B143" s="9">
        <v>0.55138888888888882</v>
      </c>
      <c r="C143" s="10" t="str">
        <f>"FES1162560049"</f>
        <v>FES1162560049</v>
      </c>
      <c r="D143" s="10" t="s">
        <v>19</v>
      </c>
      <c r="E143" s="10" t="s">
        <v>203</v>
      </c>
      <c r="F143" s="10" t="str">
        <f>"21705746425 "</f>
        <v xml:space="preserve">21705746425 </v>
      </c>
      <c r="G143" s="10" t="str">
        <f t="shared" si="3"/>
        <v>ON1</v>
      </c>
      <c r="H143" s="10" t="s">
        <v>21</v>
      </c>
      <c r="I143" s="10" t="s">
        <v>84</v>
      </c>
      <c r="J143" s="10" t="str">
        <f>""</f>
        <v/>
      </c>
      <c r="K143" s="10" t="str">
        <f>"PFES1162560049_0001"</f>
        <v>PFES1162560049_0001</v>
      </c>
      <c r="L143" s="10">
        <v>1</v>
      </c>
      <c r="M143" s="10">
        <v>1</v>
      </c>
    </row>
    <row r="144" spans="1:13">
      <c r="A144" s="8">
        <v>42920</v>
      </c>
      <c r="B144" s="9">
        <v>0.5444444444444444</v>
      </c>
      <c r="C144" s="10" t="str">
        <f>"FES1162560051"</f>
        <v>FES1162560051</v>
      </c>
      <c r="D144" s="10" t="s">
        <v>19</v>
      </c>
      <c r="E144" s="10" t="s">
        <v>89</v>
      </c>
      <c r="F144" s="10" t="str">
        <f>"2170574672 "</f>
        <v xml:space="preserve">2170574672 </v>
      </c>
      <c r="G144" s="10" t="str">
        <f t="shared" si="3"/>
        <v>ON1</v>
      </c>
      <c r="H144" s="10" t="s">
        <v>21</v>
      </c>
      <c r="I144" s="10" t="s">
        <v>66</v>
      </c>
      <c r="J144" s="10" t="str">
        <f>""</f>
        <v/>
      </c>
      <c r="K144" s="10" t="str">
        <f>"PFES1162560051_0001"</f>
        <v>PFES1162560051_0001</v>
      </c>
      <c r="L144" s="10">
        <v>1</v>
      </c>
      <c r="M144" s="10">
        <v>1</v>
      </c>
    </row>
    <row r="145" spans="1:13">
      <c r="A145" s="8">
        <v>42920</v>
      </c>
      <c r="B145" s="9">
        <v>0.5444444444444444</v>
      </c>
      <c r="C145" s="10" t="str">
        <f>"FES1162560083"</f>
        <v>FES1162560083</v>
      </c>
      <c r="D145" s="10" t="s">
        <v>19</v>
      </c>
      <c r="E145" s="10" t="s">
        <v>87</v>
      </c>
      <c r="F145" s="10" t="str">
        <f>"217057239 "</f>
        <v xml:space="preserve">217057239 </v>
      </c>
      <c r="G145" s="10" t="str">
        <f t="shared" si="3"/>
        <v>ON1</v>
      </c>
      <c r="H145" s="10" t="s">
        <v>21</v>
      </c>
      <c r="I145" s="10" t="s">
        <v>88</v>
      </c>
      <c r="J145" s="10" t="str">
        <f>""</f>
        <v/>
      </c>
      <c r="K145" s="10" t="str">
        <f>"PFES1162560083_0001"</f>
        <v>PFES1162560083_0001</v>
      </c>
      <c r="L145" s="10">
        <v>1</v>
      </c>
      <c r="M145" s="10">
        <v>1</v>
      </c>
    </row>
    <row r="146" spans="1:13">
      <c r="A146" s="8">
        <v>42920</v>
      </c>
      <c r="B146" s="9">
        <v>0.54375000000000007</v>
      </c>
      <c r="C146" s="10" t="str">
        <f>"FES1162560084"</f>
        <v>FES1162560084</v>
      </c>
      <c r="D146" s="10" t="s">
        <v>19</v>
      </c>
      <c r="E146" s="10" t="s">
        <v>87</v>
      </c>
      <c r="F146" s="10" t="str">
        <f>"2170575241 "</f>
        <v xml:space="preserve">2170575241 </v>
      </c>
      <c r="G146" s="10" t="str">
        <f t="shared" si="3"/>
        <v>ON1</v>
      </c>
      <c r="H146" s="10" t="s">
        <v>21</v>
      </c>
      <c r="I146" s="10" t="s">
        <v>88</v>
      </c>
      <c r="J146" s="10" t="str">
        <f>""</f>
        <v/>
      </c>
      <c r="K146" s="10" t="str">
        <f>"PFES1162560084_0001"</f>
        <v>PFES1162560084_0001</v>
      </c>
      <c r="L146" s="10">
        <v>1</v>
      </c>
      <c r="M146" s="10">
        <v>1</v>
      </c>
    </row>
    <row r="147" spans="1:13">
      <c r="A147" s="8">
        <v>42920</v>
      </c>
      <c r="B147" s="9">
        <v>0.54236111111111118</v>
      </c>
      <c r="C147" s="10" t="str">
        <f>"FES1162560085"</f>
        <v>FES1162560085</v>
      </c>
      <c r="D147" s="10" t="s">
        <v>19</v>
      </c>
      <c r="E147" s="10" t="s">
        <v>87</v>
      </c>
      <c r="F147" s="10" t="str">
        <f>"2170575246 "</f>
        <v xml:space="preserve">2170575246 </v>
      </c>
      <c r="G147" s="10" t="str">
        <f t="shared" si="3"/>
        <v>ON1</v>
      </c>
      <c r="H147" s="10" t="s">
        <v>21</v>
      </c>
      <c r="I147" s="10" t="s">
        <v>88</v>
      </c>
      <c r="J147" s="10" t="str">
        <f>""</f>
        <v/>
      </c>
      <c r="K147" s="10" t="str">
        <f>"PFES1162560085_0001"</f>
        <v>PFES1162560085_0001</v>
      </c>
      <c r="L147" s="10">
        <v>1</v>
      </c>
      <c r="M147" s="10">
        <v>1</v>
      </c>
    </row>
    <row r="148" spans="1:13">
      <c r="A148" s="8">
        <v>42920</v>
      </c>
      <c r="B148" s="9">
        <v>0.54236111111111118</v>
      </c>
      <c r="C148" s="10" t="str">
        <f>"FES1162560086"</f>
        <v>FES1162560086</v>
      </c>
      <c r="D148" s="10" t="s">
        <v>19</v>
      </c>
      <c r="E148" s="10" t="s">
        <v>87</v>
      </c>
      <c r="F148" s="10" t="str">
        <f>"2170575250 "</f>
        <v xml:space="preserve">2170575250 </v>
      </c>
      <c r="G148" s="10" t="str">
        <f t="shared" si="3"/>
        <v>ON1</v>
      </c>
      <c r="H148" s="10" t="s">
        <v>21</v>
      </c>
      <c r="I148" s="10" t="s">
        <v>88</v>
      </c>
      <c r="J148" s="10" t="str">
        <f>""</f>
        <v/>
      </c>
      <c r="K148" s="10" t="str">
        <f>"PFES1162560086_0001"</f>
        <v>PFES1162560086_0001</v>
      </c>
      <c r="L148" s="10">
        <v>1</v>
      </c>
      <c r="M148" s="10">
        <v>1</v>
      </c>
    </row>
    <row r="149" spans="1:13">
      <c r="A149" s="8">
        <v>42920</v>
      </c>
      <c r="B149" s="9">
        <v>0.54166666666666663</v>
      </c>
      <c r="C149" s="10" t="str">
        <f>"FES1162560173"</f>
        <v>FES1162560173</v>
      </c>
      <c r="D149" s="10" t="s">
        <v>19</v>
      </c>
      <c r="E149" s="10" t="s">
        <v>23</v>
      </c>
      <c r="F149" s="10" t="str">
        <f>"2170576843 "</f>
        <v xml:space="preserve">2170576843 </v>
      </c>
      <c r="G149" s="10" t="str">
        <f t="shared" si="3"/>
        <v>ON1</v>
      </c>
      <c r="H149" s="10" t="s">
        <v>21</v>
      </c>
      <c r="I149" s="10" t="s">
        <v>24</v>
      </c>
      <c r="J149" s="10" t="str">
        <f>""</f>
        <v/>
      </c>
      <c r="K149" s="10" t="str">
        <f>"PFES1162560173_0001"</f>
        <v>PFES1162560173_0001</v>
      </c>
      <c r="L149" s="10">
        <v>1</v>
      </c>
      <c r="M149" s="10">
        <v>3</v>
      </c>
    </row>
    <row r="150" spans="1:13">
      <c r="A150" s="8">
        <v>42920</v>
      </c>
      <c r="B150" s="9">
        <v>0.54097222222222219</v>
      </c>
      <c r="C150" s="10" t="str">
        <f>"FES1162560185"</f>
        <v>FES1162560185</v>
      </c>
      <c r="D150" s="10" t="s">
        <v>19</v>
      </c>
      <c r="E150" s="10" t="s">
        <v>204</v>
      </c>
      <c r="F150" s="10" t="str">
        <f>"2170576993 "</f>
        <v xml:space="preserve">2170576993 </v>
      </c>
      <c r="G150" s="10" t="str">
        <f t="shared" si="3"/>
        <v>ON1</v>
      </c>
      <c r="H150" s="10" t="s">
        <v>21</v>
      </c>
      <c r="I150" s="10" t="s">
        <v>205</v>
      </c>
      <c r="J150" s="10" t="str">
        <f>""</f>
        <v/>
      </c>
      <c r="K150" s="10" t="str">
        <f>"PFES1162560185_0001"</f>
        <v>PFES1162560185_0001</v>
      </c>
      <c r="L150" s="10">
        <v>1</v>
      </c>
      <c r="M150" s="10">
        <v>3</v>
      </c>
    </row>
    <row r="151" spans="1:13">
      <c r="A151" s="8">
        <v>42920</v>
      </c>
      <c r="B151" s="9">
        <v>0.52847222222222223</v>
      </c>
      <c r="C151" s="10" t="str">
        <f>"FES1162560025"</f>
        <v>FES1162560025</v>
      </c>
      <c r="D151" s="10" t="s">
        <v>19</v>
      </c>
      <c r="E151" s="10" t="s">
        <v>118</v>
      </c>
      <c r="F151" s="10" t="str">
        <f>"2170574355 "</f>
        <v xml:space="preserve">2170574355 </v>
      </c>
      <c r="G151" s="10" t="str">
        <f t="shared" si="3"/>
        <v>ON1</v>
      </c>
      <c r="H151" s="10" t="s">
        <v>21</v>
      </c>
      <c r="I151" s="10" t="s">
        <v>119</v>
      </c>
      <c r="J151" s="10" t="str">
        <f>""</f>
        <v/>
      </c>
      <c r="K151" s="10" t="str">
        <f>"PFES1162560025_0001"</f>
        <v>PFES1162560025_0001</v>
      </c>
      <c r="L151" s="10">
        <v>1</v>
      </c>
      <c r="M151" s="10">
        <v>1</v>
      </c>
    </row>
    <row r="152" spans="1:13">
      <c r="A152" s="8">
        <v>42920</v>
      </c>
      <c r="B152" s="9">
        <v>0.52777777777777779</v>
      </c>
      <c r="C152" s="10" t="str">
        <f>"FES1162560042"</f>
        <v>FES1162560042</v>
      </c>
      <c r="D152" s="10" t="s">
        <v>19</v>
      </c>
      <c r="E152" s="10" t="s">
        <v>206</v>
      </c>
      <c r="F152" s="10" t="str">
        <f>"2170574548 "</f>
        <v xml:space="preserve">2170574548 </v>
      </c>
      <c r="G152" s="10" t="str">
        <f t="shared" si="3"/>
        <v>ON1</v>
      </c>
      <c r="H152" s="10" t="s">
        <v>21</v>
      </c>
      <c r="I152" s="10" t="s">
        <v>22</v>
      </c>
      <c r="J152" s="10" t="str">
        <f>""</f>
        <v/>
      </c>
      <c r="K152" s="10" t="str">
        <f>"PFES1162560042_0001"</f>
        <v>PFES1162560042_0001</v>
      </c>
      <c r="L152" s="10">
        <v>1</v>
      </c>
      <c r="M152" s="10">
        <v>1</v>
      </c>
    </row>
    <row r="153" spans="1:13">
      <c r="A153" s="8">
        <v>42920</v>
      </c>
      <c r="B153" s="9">
        <v>0.52708333333333335</v>
      </c>
      <c r="C153" s="10" t="str">
        <f>"FES1162560038"</f>
        <v>FES1162560038</v>
      </c>
      <c r="D153" s="10" t="s">
        <v>19</v>
      </c>
      <c r="E153" s="10" t="s">
        <v>207</v>
      </c>
      <c r="F153" s="10" t="str">
        <f>"2170574521 "</f>
        <v xml:space="preserve">2170574521 </v>
      </c>
      <c r="G153" s="10" t="str">
        <f t="shared" si="3"/>
        <v>ON1</v>
      </c>
      <c r="H153" s="10" t="s">
        <v>21</v>
      </c>
      <c r="I153" s="10" t="s">
        <v>22</v>
      </c>
      <c r="J153" s="10" t="str">
        <f>""</f>
        <v/>
      </c>
      <c r="K153" s="10" t="str">
        <f>"PFES1162560038_0001"</f>
        <v>PFES1162560038_0001</v>
      </c>
      <c r="L153" s="10">
        <v>1</v>
      </c>
      <c r="M153" s="10">
        <v>1</v>
      </c>
    </row>
    <row r="154" spans="1:13">
      <c r="A154" s="8">
        <v>42920</v>
      </c>
      <c r="B154" s="9">
        <v>0.52708333333333335</v>
      </c>
      <c r="C154" s="10" t="str">
        <f>"FES1162560091"</f>
        <v>FES1162560091</v>
      </c>
      <c r="D154" s="10" t="s">
        <v>19</v>
      </c>
      <c r="E154" s="10" t="s">
        <v>87</v>
      </c>
      <c r="F154" s="10" t="str">
        <f>"2170575269 "</f>
        <v xml:space="preserve">2170575269 </v>
      </c>
      <c r="G154" s="10" t="str">
        <f t="shared" si="3"/>
        <v>ON1</v>
      </c>
      <c r="H154" s="10" t="s">
        <v>21</v>
      </c>
      <c r="I154" s="10" t="s">
        <v>88</v>
      </c>
      <c r="J154" s="10" t="str">
        <f>""</f>
        <v/>
      </c>
      <c r="K154" s="10" t="str">
        <f>"PFES1162560091_0001"</f>
        <v>PFES1162560091_0001</v>
      </c>
      <c r="L154" s="10">
        <v>1</v>
      </c>
      <c r="M154" s="10">
        <v>1</v>
      </c>
    </row>
    <row r="155" spans="1:13">
      <c r="A155" s="8">
        <v>42920</v>
      </c>
      <c r="B155" s="9">
        <v>0.52708333333333335</v>
      </c>
      <c r="C155" s="10" t="str">
        <f>"FES1162560118"</f>
        <v>FES1162560118</v>
      </c>
      <c r="D155" s="10" t="s">
        <v>19</v>
      </c>
      <c r="E155" s="10" t="s">
        <v>208</v>
      </c>
      <c r="F155" s="10" t="str">
        <f>"2170575930 "</f>
        <v xml:space="preserve">2170575930 </v>
      </c>
      <c r="G155" s="10" t="str">
        <f t="shared" si="3"/>
        <v>ON1</v>
      </c>
      <c r="H155" s="10" t="s">
        <v>21</v>
      </c>
      <c r="I155" s="10" t="s">
        <v>28</v>
      </c>
      <c r="J155" s="10" t="str">
        <f>""</f>
        <v/>
      </c>
      <c r="K155" s="10" t="str">
        <f>"PFES1162560118_0001"</f>
        <v>PFES1162560118_0001</v>
      </c>
      <c r="L155" s="10">
        <v>1</v>
      </c>
      <c r="M155" s="10">
        <v>1</v>
      </c>
    </row>
    <row r="156" spans="1:13">
      <c r="A156" s="8">
        <v>42920</v>
      </c>
      <c r="B156" s="9">
        <v>0.52708333333333335</v>
      </c>
      <c r="C156" s="10" t="str">
        <f>"FES1162560095"</f>
        <v>FES1162560095</v>
      </c>
      <c r="D156" s="10" t="s">
        <v>19</v>
      </c>
      <c r="E156" s="10" t="s">
        <v>181</v>
      </c>
      <c r="F156" s="10" t="str">
        <f>"2170575328 "</f>
        <v xml:space="preserve">2170575328 </v>
      </c>
      <c r="G156" s="10" t="str">
        <f t="shared" si="3"/>
        <v>ON1</v>
      </c>
      <c r="H156" s="10" t="s">
        <v>21</v>
      </c>
      <c r="I156" s="10" t="s">
        <v>179</v>
      </c>
      <c r="J156" s="10" t="str">
        <f>""</f>
        <v/>
      </c>
      <c r="K156" s="10" t="str">
        <f>"PFES1162560095_0001"</f>
        <v>PFES1162560095_0001</v>
      </c>
      <c r="L156" s="10">
        <v>1</v>
      </c>
      <c r="M156" s="10">
        <v>1</v>
      </c>
    </row>
    <row r="157" spans="1:13">
      <c r="A157" s="8">
        <v>42920</v>
      </c>
      <c r="B157" s="9">
        <v>0.52638888888888891</v>
      </c>
      <c r="C157" s="10" t="str">
        <f>"FES1162560159"</f>
        <v>FES1162560159</v>
      </c>
      <c r="D157" s="10" t="s">
        <v>19</v>
      </c>
      <c r="E157" s="10" t="s">
        <v>209</v>
      </c>
      <c r="F157" s="10" t="str">
        <f>"2170576702 "</f>
        <v xml:space="preserve">2170576702 </v>
      </c>
      <c r="G157" s="10" t="str">
        <f t="shared" si="3"/>
        <v>ON1</v>
      </c>
      <c r="H157" s="10" t="s">
        <v>21</v>
      </c>
      <c r="I157" s="10" t="s">
        <v>196</v>
      </c>
      <c r="J157" s="10" t="str">
        <f>""</f>
        <v/>
      </c>
      <c r="K157" s="10" t="str">
        <f>"PFES1162560159_0001"</f>
        <v>PFES1162560159_0001</v>
      </c>
      <c r="L157" s="10">
        <v>1</v>
      </c>
      <c r="M157" s="10">
        <v>1</v>
      </c>
    </row>
    <row r="158" spans="1:13">
      <c r="A158" s="8">
        <v>42920</v>
      </c>
      <c r="B158" s="9">
        <v>0.52638888888888891</v>
      </c>
      <c r="C158" s="10" t="str">
        <f>"FES1162560109"</f>
        <v>FES1162560109</v>
      </c>
      <c r="D158" s="10" t="s">
        <v>19</v>
      </c>
      <c r="E158" s="10" t="s">
        <v>210</v>
      </c>
      <c r="F158" s="10" t="str">
        <f>"2170575641 "</f>
        <v xml:space="preserve">2170575641 </v>
      </c>
      <c r="G158" s="10" t="str">
        <f t="shared" si="3"/>
        <v>ON1</v>
      </c>
      <c r="H158" s="10" t="s">
        <v>21</v>
      </c>
      <c r="I158" s="10" t="s">
        <v>32</v>
      </c>
      <c r="J158" s="10" t="str">
        <f>""</f>
        <v/>
      </c>
      <c r="K158" s="10" t="str">
        <f>"PFES1162560109_0001"</f>
        <v>PFES1162560109_0001</v>
      </c>
      <c r="L158" s="10">
        <v>1</v>
      </c>
      <c r="M158" s="10">
        <v>1</v>
      </c>
    </row>
    <row r="159" spans="1:13">
      <c r="A159" s="8">
        <v>42920</v>
      </c>
      <c r="B159" s="9">
        <v>0.52638888888888891</v>
      </c>
      <c r="C159" s="10" t="str">
        <f>"FES1162560022"</f>
        <v>FES1162560022</v>
      </c>
      <c r="D159" s="10" t="s">
        <v>19</v>
      </c>
      <c r="E159" s="10" t="s">
        <v>211</v>
      </c>
      <c r="F159" s="10" t="str">
        <f>"2170574330 "</f>
        <v xml:space="preserve">2170574330 </v>
      </c>
      <c r="G159" s="10" t="str">
        <f t="shared" si="3"/>
        <v>ON1</v>
      </c>
      <c r="H159" s="10" t="s">
        <v>21</v>
      </c>
      <c r="I159" s="10" t="s">
        <v>56</v>
      </c>
      <c r="J159" s="10" t="str">
        <f>""</f>
        <v/>
      </c>
      <c r="K159" s="10" t="str">
        <f>"PFES1162560022_0001"</f>
        <v>PFES1162560022_0001</v>
      </c>
      <c r="L159" s="10">
        <v>1</v>
      </c>
      <c r="M159" s="10">
        <v>2</v>
      </c>
    </row>
    <row r="160" spans="1:13">
      <c r="A160" s="8">
        <v>42920</v>
      </c>
      <c r="B160" s="9">
        <v>0.52638888888888891</v>
      </c>
      <c r="C160" s="10" t="str">
        <f>"FES1162560140"</f>
        <v>FES1162560140</v>
      </c>
      <c r="D160" s="10" t="s">
        <v>19</v>
      </c>
      <c r="E160" s="10" t="s">
        <v>204</v>
      </c>
      <c r="F160" s="10" t="str">
        <f>"2170576383 "</f>
        <v xml:space="preserve">2170576383 </v>
      </c>
      <c r="G160" s="10" t="str">
        <f t="shared" si="3"/>
        <v>ON1</v>
      </c>
      <c r="H160" s="10" t="s">
        <v>21</v>
      </c>
      <c r="I160" s="10" t="s">
        <v>205</v>
      </c>
      <c r="J160" s="10" t="str">
        <f>""</f>
        <v/>
      </c>
      <c r="K160" s="10" t="str">
        <f>"PFES1162560140_0001"</f>
        <v>PFES1162560140_0001</v>
      </c>
      <c r="L160" s="10">
        <v>1</v>
      </c>
      <c r="M160" s="10">
        <v>1</v>
      </c>
    </row>
    <row r="161" spans="1:13">
      <c r="A161" s="8">
        <v>42920</v>
      </c>
      <c r="B161" s="9">
        <v>0.52569444444444446</v>
      </c>
      <c r="C161" s="10" t="str">
        <f>"FES1162560124"</f>
        <v>FES1162560124</v>
      </c>
      <c r="D161" s="10" t="s">
        <v>19</v>
      </c>
      <c r="E161" s="10" t="s">
        <v>212</v>
      </c>
      <c r="F161" s="10" t="str">
        <f>"2170576021 "</f>
        <v xml:space="preserve">2170576021 </v>
      </c>
      <c r="G161" s="10" t="str">
        <f t="shared" si="3"/>
        <v>ON1</v>
      </c>
      <c r="H161" s="10" t="s">
        <v>21</v>
      </c>
      <c r="I161" s="10" t="s">
        <v>213</v>
      </c>
      <c r="J161" s="10" t="str">
        <f>""</f>
        <v/>
      </c>
      <c r="K161" s="10" t="str">
        <f>"PFES1162560124_0001"</f>
        <v>PFES1162560124_0001</v>
      </c>
      <c r="L161" s="10">
        <v>1</v>
      </c>
      <c r="M161" s="10">
        <v>1</v>
      </c>
    </row>
    <row r="162" spans="1:13">
      <c r="A162" s="8">
        <v>42920</v>
      </c>
      <c r="B162" s="9">
        <v>0.52569444444444446</v>
      </c>
      <c r="C162" s="10" t="str">
        <f>"FES116260175"</f>
        <v>FES116260175</v>
      </c>
      <c r="D162" s="10" t="s">
        <v>19</v>
      </c>
      <c r="E162" s="10" t="s">
        <v>214</v>
      </c>
      <c r="F162" s="10" t="str">
        <f>"2170576876 "</f>
        <v xml:space="preserve">2170576876 </v>
      </c>
      <c r="G162" s="10" t="str">
        <f t="shared" si="3"/>
        <v>ON1</v>
      </c>
      <c r="H162" s="10" t="s">
        <v>21</v>
      </c>
      <c r="I162" s="10" t="s">
        <v>215</v>
      </c>
      <c r="J162" s="10" t="str">
        <f>""</f>
        <v/>
      </c>
      <c r="K162" s="10" t="str">
        <f>"PFES116260175_0001"</f>
        <v>PFES116260175_0001</v>
      </c>
      <c r="L162" s="10">
        <v>1</v>
      </c>
      <c r="M162" s="10">
        <v>5</v>
      </c>
    </row>
    <row r="163" spans="1:13">
      <c r="A163" s="8">
        <v>42920</v>
      </c>
      <c r="B163" s="9">
        <v>0.52569444444444446</v>
      </c>
      <c r="C163" s="10" t="str">
        <f>"FES1162560108"</f>
        <v>FES1162560108</v>
      </c>
      <c r="D163" s="10" t="s">
        <v>19</v>
      </c>
      <c r="E163" s="10" t="s">
        <v>210</v>
      </c>
      <c r="F163" s="10" t="str">
        <f>"2170575640 "</f>
        <v xml:space="preserve">2170575640 </v>
      </c>
      <c r="G163" s="10" t="str">
        <f t="shared" si="3"/>
        <v>ON1</v>
      </c>
      <c r="H163" s="10" t="s">
        <v>21</v>
      </c>
      <c r="I163" s="10" t="s">
        <v>32</v>
      </c>
      <c r="J163" s="10" t="str">
        <f>""</f>
        <v/>
      </c>
      <c r="K163" s="10" t="str">
        <f>"PFES1162560108_0001"</f>
        <v>PFES1162560108_0001</v>
      </c>
      <c r="L163" s="10">
        <v>1</v>
      </c>
      <c r="M163" s="10">
        <v>1</v>
      </c>
    </row>
    <row r="164" spans="1:13">
      <c r="A164" s="8">
        <v>42920</v>
      </c>
      <c r="B164" s="9">
        <v>0.52500000000000002</v>
      </c>
      <c r="C164" s="10" t="str">
        <f>"FES1162560178"</f>
        <v>FES1162560178</v>
      </c>
      <c r="D164" s="10" t="s">
        <v>19</v>
      </c>
      <c r="E164" s="10" t="s">
        <v>216</v>
      </c>
      <c r="F164" s="10" t="str">
        <f>"2170576952 "</f>
        <v xml:space="preserve">2170576952 </v>
      </c>
      <c r="G164" s="10" t="str">
        <f t="shared" si="3"/>
        <v>ON1</v>
      </c>
      <c r="H164" s="10" t="s">
        <v>21</v>
      </c>
      <c r="I164" s="10" t="s">
        <v>217</v>
      </c>
      <c r="J164" s="10" t="str">
        <f>""</f>
        <v/>
      </c>
      <c r="K164" s="10" t="str">
        <f>"PFES1162560178_0001"</f>
        <v>PFES1162560178_0001</v>
      </c>
      <c r="L164" s="10">
        <v>1</v>
      </c>
      <c r="M164" s="10">
        <v>1</v>
      </c>
    </row>
    <row r="165" spans="1:13">
      <c r="A165" s="8">
        <v>42920</v>
      </c>
      <c r="B165" s="9">
        <v>0.52500000000000002</v>
      </c>
      <c r="C165" s="10" t="str">
        <f>"FES1162560067"</f>
        <v>FES1162560067</v>
      </c>
      <c r="D165" s="10" t="s">
        <v>19</v>
      </c>
      <c r="E165" s="10" t="s">
        <v>218</v>
      </c>
      <c r="F165" s="10" t="str">
        <f>"2170574835 "</f>
        <v xml:space="preserve">2170574835 </v>
      </c>
      <c r="G165" s="10" t="str">
        <f t="shared" si="3"/>
        <v>ON1</v>
      </c>
      <c r="H165" s="10" t="s">
        <v>21</v>
      </c>
      <c r="I165" s="10" t="s">
        <v>219</v>
      </c>
      <c r="J165" s="10" t="str">
        <f>""</f>
        <v/>
      </c>
      <c r="K165" s="10" t="str">
        <f>"PFES1162560067_0001"</f>
        <v>PFES1162560067_0001</v>
      </c>
      <c r="L165" s="10">
        <v>1</v>
      </c>
      <c r="M165" s="10">
        <v>1</v>
      </c>
    </row>
    <row r="166" spans="1:13">
      <c r="A166" s="8">
        <v>42920</v>
      </c>
      <c r="B166" s="9">
        <v>0.52500000000000002</v>
      </c>
      <c r="C166" s="10" t="str">
        <f>"FES1162560129"</f>
        <v>FES1162560129</v>
      </c>
      <c r="D166" s="10" t="s">
        <v>19</v>
      </c>
      <c r="E166" s="10" t="s">
        <v>133</v>
      </c>
      <c r="F166" s="10" t="str">
        <f>"2170576118 "</f>
        <v xml:space="preserve">2170576118 </v>
      </c>
      <c r="G166" s="10" t="str">
        <f t="shared" si="3"/>
        <v>ON1</v>
      </c>
      <c r="H166" s="10" t="s">
        <v>21</v>
      </c>
      <c r="I166" s="10" t="s">
        <v>134</v>
      </c>
      <c r="J166" s="10" t="str">
        <f>""</f>
        <v/>
      </c>
      <c r="K166" s="10" t="str">
        <f>"PFES1162560129_0001"</f>
        <v>PFES1162560129_0001</v>
      </c>
      <c r="L166" s="10">
        <v>1</v>
      </c>
      <c r="M166" s="10">
        <v>1</v>
      </c>
    </row>
    <row r="167" spans="1:13">
      <c r="A167" s="8">
        <v>42920</v>
      </c>
      <c r="B167" s="9">
        <v>0.52430555555555558</v>
      </c>
      <c r="C167" s="10" t="str">
        <f>"FES1162560054"</f>
        <v>FES1162560054</v>
      </c>
      <c r="D167" s="10" t="s">
        <v>19</v>
      </c>
      <c r="E167" s="10" t="s">
        <v>204</v>
      </c>
      <c r="F167" s="10" t="str">
        <f>"2170574711 "</f>
        <v xml:space="preserve">2170574711 </v>
      </c>
      <c r="G167" s="10" t="str">
        <f t="shared" si="3"/>
        <v>ON1</v>
      </c>
      <c r="H167" s="10" t="s">
        <v>21</v>
      </c>
      <c r="I167" s="10" t="s">
        <v>205</v>
      </c>
      <c r="J167" s="10" t="str">
        <f>""</f>
        <v/>
      </c>
      <c r="K167" s="10" t="str">
        <f>"PFES1162560054_0001"</f>
        <v>PFES1162560054_0001</v>
      </c>
      <c r="L167" s="10">
        <v>1</v>
      </c>
      <c r="M167" s="10">
        <v>1</v>
      </c>
    </row>
    <row r="168" spans="1:13">
      <c r="A168" s="8">
        <v>42920</v>
      </c>
      <c r="B168" s="9">
        <v>0.52430555555555558</v>
      </c>
      <c r="C168" s="10" t="str">
        <f>"FES1162560135"</f>
        <v>FES1162560135</v>
      </c>
      <c r="D168" s="10" t="s">
        <v>19</v>
      </c>
      <c r="E168" s="10" t="s">
        <v>220</v>
      </c>
      <c r="F168" s="10" t="str">
        <f>"2170576294 "</f>
        <v xml:space="preserve">2170576294 </v>
      </c>
      <c r="G168" s="10" t="str">
        <f t="shared" si="3"/>
        <v>ON1</v>
      </c>
      <c r="H168" s="10" t="s">
        <v>21</v>
      </c>
      <c r="I168" s="10" t="s">
        <v>24</v>
      </c>
      <c r="J168" s="10" t="str">
        <f>""</f>
        <v/>
      </c>
      <c r="K168" s="10" t="str">
        <f>"PFES1162560135_0001"</f>
        <v>PFES1162560135_0001</v>
      </c>
      <c r="L168" s="10">
        <v>1</v>
      </c>
      <c r="M168" s="10">
        <v>1</v>
      </c>
    </row>
    <row r="169" spans="1:13">
      <c r="A169" s="8">
        <v>42920</v>
      </c>
      <c r="B169" s="9">
        <v>0.52361111111111114</v>
      </c>
      <c r="C169" s="10" t="str">
        <f>"FES1162560023"</f>
        <v>FES1162560023</v>
      </c>
      <c r="D169" s="10" t="s">
        <v>19</v>
      </c>
      <c r="E169" s="10" t="s">
        <v>221</v>
      </c>
      <c r="F169" s="10" t="str">
        <f>"2170574352 "</f>
        <v xml:space="preserve">2170574352 </v>
      </c>
      <c r="G169" s="10" t="str">
        <f t="shared" si="3"/>
        <v>ON1</v>
      </c>
      <c r="H169" s="10" t="s">
        <v>21</v>
      </c>
      <c r="I169" s="10" t="s">
        <v>222</v>
      </c>
      <c r="J169" s="10" t="str">
        <f>""</f>
        <v/>
      </c>
      <c r="K169" s="10" t="str">
        <f>"PFES1162560023_0001"</f>
        <v>PFES1162560023_0001</v>
      </c>
      <c r="L169" s="10">
        <v>1</v>
      </c>
      <c r="M169" s="10">
        <v>1</v>
      </c>
    </row>
    <row r="170" spans="1:13">
      <c r="A170" s="8">
        <v>42920</v>
      </c>
      <c r="B170" s="9">
        <v>0.52361111111111114</v>
      </c>
      <c r="C170" s="10" t="str">
        <f>"FES1162560016"</f>
        <v>FES1162560016</v>
      </c>
      <c r="D170" s="10" t="s">
        <v>19</v>
      </c>
      <c r="E170" s="10" t="s">
        <v>223</v>
      </c>
      <c r="F170" s="10" t="str">
        <f>"2170574092 "</f>
        <v xml:space="preserve">2170574092 </v>
      </c>
      <c r="G170" s="10" t="str">
        <f t="shared" si="3"/>
        <v>ON1</v>
      </c>
      <c r="H170" s="10" t="s">
        <v>21</v>
      </c>
      <c r="I170" s="10" t="s">
        <v>224</v>
      </c>
      <c r="J170" s="10" t="str">
        <f>""</f>
        <v/>
      </c>
      <c r="K170" s="10" t="str">
        <f>"PFES1162560016_0001"</f>
        <v>PFES1162560016_0001</v>
      </c>
      <c r="L170" s="10">
        <v>1</v>
      </c>
      <c r="M170" s="10">
        <v>1</v>
      </c>
    </row>
    <row r="171" spans="1:13">
      <c r="A171" s="8">
        <v>42920</v>
      </c>
      <c r="B171" s="9">
        <v>0.52361111111111114</v>
      </c>
      <c r="C171" s="10" t="str">
        <f>"FES1162560182"</f>
        <v>FES1162560182</v>
      </c>
      <c r="D171" s="10" t="s">
        <v>19</v>
      </c>
      <c r="E171" s="10" t="s">
        <v>162</v>
      </c>
      <c r="F171" s="10" t="str">
        <f>"2170576982 "</f>
        <v xml:space="preserve">2170576982 </v>
      </c>
      <c r="G171" s="10" t="str">
        <f t="shared" si="3"/>
        <v>ON1</v>
      </c>
      <c r="H171" s="10" t="s">
        <v>21</v>
      </c>
      <c r="I171" s="10" t="s">
        <v>163</v>
      </c>
      <c r="J171" s="10" t="str">
        <f>""</f>
        <v/>
      </c>
      <c r="K171" s="10" t="str">
        <f>"PFES1162560182_0001"</f>
        <v>PFES1162560182_0001</v>
      </c>
      <c r="L171" s="10">
        <v>1</v>
      </c>
      <c r="M171" s="10">
        <v>1</v>
      </c>
    </row>
    <row r="172" spans="1:13">
      <c r="A172" s="8">
        <v>42920</v>
      </c>
      <c r="B172" s="9">
        <v>0.5229166666666667</v>
      </c>
      <c r="C172" s="10" t="str">
        <f>"FES1162560043"</f>
        <v>FES1162560043</v>
      </c>
      <c r="D172" s="10" t="s">
        <v>19</v>
      </c>
      <c r="E172" s="10" t="s">
        <v>154</v>
      </c>
      <c r="F172" s="10" t="str">
        <f>"2170574573 "</f>
        <v xml:space="preserve">2170574573 </v>
      </c>
      <c r="G172" s="10" t="str">
        <f t="shared" si="3"/>
        <v>ON1</v>
      </c>
      <c r="H172" s="10" t="s">
        <v>21</v>
      </c>
      <c r="I172" s="10" t="s">
        <v>130</v>
      </c>
      <c r="J172" s="10" t="str">
        <f>""</f>
        <v/>
      </c>
      <c r="K172" s="10" t="str">
        <f>"PFES1162560043_0001"</f>
        <v>PFES1162560043_0001</v>
      </c>
      <c r="L172" s="10">
        <v>1</v>
      </c>
      <c r="M172" s="10">
        <v>1</v>
      </c>
    </row>
    <row r="173" spans="1:13">
      <c r="A173" s="8">
        <v>42920</v>
      </c>
      <c r="B173" s="9">
        <v>0.5229166666666667</v>
      </c>
      <c r="C173" s="10" t="str">
        <f>"FES1162560130"</f>
        <v>FES1162560130</v>
      </c>
      <c r="D173" s="10" t="s">
        <v>19</v>
      </c>
      <c r="E173" s="10" t="s">
        <v>225</v>
      </c>
      <c r="F173" s="10" t="str">
        <f>"2170576151 "</f>
        <v xml:space="preserve">2170576151 </v>
      </c>
      <c r="G173" s="10" t="str">
        <f t="shared" si="3"/>
        <v>ON1</v>
      </c>
      <c r="H173" s="10" t="s">
        <v>21</v>
      </c>
      <c r="I173" s="10" t="s">
        <v>226</v>
      </c>
      <c r="J173" s="10" t="str">
        <f>""</f>
        <v/>
      </c>
      <c r="K173" s="10" t="str">
        <f>"PFES1162560130_0001"</f>
        <v>PFES1162560130_0001</v>
      </c>
      <c r="L173" s="10">
        <v>1</v>
      </c>
      <c r="M173" s="10">
        <v>1</v>
      </c>
    </row>
    <row r="174" spans="1:13">
      <c r="A174" s="8">
        <v>42920</v>
      </c>
      <c r="B174" s="9">
        <v>0.5229166666666667</v>
      </c>
      <c r="C174" s="10" t="str">
        <f>"FES1162560127"</f>
        <v>FES1162560127</v>
      </c>
      <c r="D174" s="10" t="s">
        <v>19</v>
      </c>
      <c r="E174" s="10" t="s">
        <v>227</v>
      </c>
      <c r="F174" s="10" t="str">
        <f>"2170576107 "</f>
        <v xml:space="preserve">2170576107 </v>
      </c>
      <c r="G174" s="10" t="str">
        <f t="shared" si="3"/>
        <v>ON1</v>
      </c>
      <c r="H174" s="10" t="s">
        <v>21</v>
      </c>
      <c r="I174" s="10" t="s">
        <v>228</v>
      </c>
      <c r="J174" s="10" t="str">
        <f>""</f>
        <v/>
      </c>
      <c r="K174" s="10" t="str">
        <f>"PFES1162560127_0001"</f>
        <v>PFES1162560127_0001</v>
      </c>
      <c r="L174" s="10">
        <v>1</v>
      </c>
      <c r="M174" s="10">
        <v>1</v>
      </c>
    </row>
    <row r="175" spans="1:13">
      <c r="A175" s="8">
        <v>42920</v>
      </c>
      <c r="B175" s="9">
        <v>0.52222222222222225</v>
      </c>
      <c r="C175" s="10" t="str">
        <f>"FES1162559993"</f>
        <v>FES1162559993</v>
      </c>
      <c r="D175" s="10" t="s">
        <v>19</v>
      </c>
      <c r="E175" s="10" t="s">
        <v>110</v>
      </c>
      <c r="F175" s="10" t="str">
        <f>"2170572660 "</f>
        <v xml:space="preserve">2170572660 </v>
      </c>
      <c r="G175" s="10" t="str">
        <f t="shared" ref="G175:G238" si="4">"ON1"</f>
        <v>ON1</v>
      </c>
      <c r="H175" s="10" t="s">
        <v>21</v>
      </c>
      <c r="I175" s="10" t="s">
        <v>111</v>
      </c>
      <c r="J175" s="10" t="str">
        <f>""</f>
        <v/>
      </c>
      <c r="K175" s="10" t="str">
        <f>"PFES1162559993_0001"</f>
        <v>PFES1162559993_0001</v>
      </c>
      <c r="L175" s="10">
        <v>1</v>
      </c>
      <c r="M175" s="10">
        <v>4</v>
      </c>
    </row>
    <row r="176" spans="1:13">
      <c r="A176" s="8">
        <v>42920</v>
      </c>
      <c r="B176" s="9">
        <v>0.52222222222222225</v>
      </c>
      <c r="C176" s="10" t="str">
        <f>"FES1162560145"</f>
        <v>FES1162560145</v>
      </c>
      <c r="D176" s="10" t="s">
        <v>19</v>
      </c>
      <c r="E176" s="10" t="s">
        <v>229</v>
      </c>
      <c r="F176" s="10" t="str">
        <f>"2170576469 "</f>
        <v xml:space="preserve">2170576469 </v>
      </c>
      <c r="G176" s="10" t="str">
        <f t="shared" si="4"/>
        <v>ON1</v>
      </c>
      <c r="H176" s="10" t="s">
        <v>21</v>
      </c>
      <c r="I176" s="10" t="s">
        <v>230</v>
      </c>
      <c r="J176" s="10" t="str">
        <f>""</f>
        <v/>
      </c>
      <c r="K176" s="10" t="str">
        <f>"PFES1162560145_0001"</f>
        <v>PFES1162560145_0001</v>
      </c>
      <c r="L176" s="10">
        <v>1</v>
      </c>
      <c r="M176" s="10">
        <v>1</v>
      </c>
    </row>
    <row r="177" spans="1:13">
      <c r="A177" s="8">
        <v>42920</v>
      </c>
      <c r="B177" s="9">
        <v>0.52222222222222225</v>
      </c>
      <c r="C177" s="10" t="str">
        <f>"FES1162560154"</f>
        <v>FES1162560154</v>
      </c>
      <c r="D177" s="10" t="s">
        <v>19</v>
      </c>
      <c r="E177" s="10" t="s">
        <v>231</v>
      </c>
      <c r="F177" s="10" t="str">
        <f>"2170576616 "</f>
        <v xml:space="preserve">2170576616 </v>
      </c>
      <c r="G177" s="10" t="str">
        <f t="shared" si="4"/>
        <v>ON1</v>
      </c>
      <c r="H177" s="10" t="s">
        <v>21</v>
      </c>
      <c r="I177" s="10" t="s">
        <v>232</v>
      </c>
      <c r="J177" s="10" t="str">
        <f>""</f>
        <v/>
      </c>
      <c r="K177" s="10" t="str">
        <f>"PFES1162560154_0001"</f>
        <v>PFES1162560154_0001</v>
      </c>
      <c r="L177" s="10">
        <v>1</v>
      </c>
      <c r="M177" s="10">
        <v>1</v>
      </c>
    </row>
    <row r="178" spans="1:13">
      <c r="A178" s="8">
        <v>42920</v>
      </c>
      <c r="B178" s="9">
        <v>0.52152777777777781</v>
      </c>
      <c r="C178" s="10" t="str">
        <f>"FES1162560081"</f>
        <v>FES1162560081</v>
      </c>
      <c r="D178" s="10" t="s">
        <v>19</v>
      </c>
      <c r="E178" s="10" t="s">
        <v>233</v>
      </c>
      <c r="F178" s="10" t="str">
        <f>"2170575205 "</f>
        <v xml:space="preserve">2170575205 </v>
      </c>
      <c r="G178" s="10" t="str">
        <f t="shared" si="4"/>
        <v>ON1</v>
      </c>
      <c r="H178" s="10" t="s">
        <v>21</v>
      </c>
      <c r="I178" s="10" t="s">
        <v>234</v>
      </c>
      <c r="J178" s="10" t="str">
        <f>""</f>
        <v/>
      </c>
      <c r="K178" s="10" t="str">
        <f>"PFES1162560081_0001"</f>
        <v>PFES1162560081_0001</v>
      </c>
      <c r="L178" s="10">
        <v>1</v>
      </c>
      <c r="M178" s="10">
        <v>1</v>
      </c>
    </row>
    <row r="179" spans="1:13">
      <c r="A179" s="8">
        <v>42920</v>
      </c>
      <c r="B179" s="9">
        <v>0.52152777777777781</v>
      </c>
      <c r="C179" s="10" t="str">
        <f>"FES1162560072"</f>
        <v>FES1162560072</v>
      </c>
      <c r="D179" s="10" t="s">
        <v>19</v>
      </c>
      <c r="E179" s="10" t="s">
        <v>160</v>
      </c>
      <c r="F179" s="10" t="str">
        <f>"2170574949 "</f>
        <v xml:space="preserve">2170574949 </v>
      </c>
      <c r="G179" s="10" t="str">
        <f t="shared" si="4"/>
        <v>ON1</v>
      </c>
      <c r="H179" s="10" t="s">
        <v>21</v>
      </c>
      <c r="I179" s="10" t="s">
        <v>161</v>
      </c>
      <c r="J179" s="10" t="str">
        <f>""</f>
        <v/>
      </c>
      <c r="K179" s="10" t="str">
        <f>"PFES1162560072_0001"</f>
        <v>PFES1162560072_0001</v>
      </c>
      <c r="L179" s="10">
        <v>1</v>
      </c>
      <c r="M179" s="10">
        <v>1</v>
      </c>
    </row>
    <row r="180" spans="1:13">
      <c r="A180" s="8">
        <v>42920</v>
      </c>
      <c r="B180" s="9">
        <v>0.52152777777777781</v>
      </c>
      <c r="C180" s="10" t="str">
        <f>"FES1162560125"</f>
        <v>FES1162560125</v>
      </c>
      <c r="D180" s="10" t="s">
        <v>19</v>
      </c>
      <c r="E180" s="10" t="s">
        <v>235</v>
      </c>
      <c r="F180" s="10" t="str">
        <f>"2170576022 "</f>
        <v xml:space="preserve">2170576022 </v>
      </c>
      <c r="G180" s="10" t="str">
        <f t="shared" si="4"/>
        <v>ON1</v>
      </c>
      <c r="H180" s="10" t="s">
        <v>21</v>
      </c>
      <c r="I180" s="10" t="s">
        <v>236</v>
      </c>
      <c r="J180" s="10" t="str">
        <f>""</f>
        <v/>
      </c>
      <c r="K180" s="10" t="str">
        <f>"PFES1162560125_0001"</f>
        <v>PFES1162560125_0001</v>
      </c>
      <c r="L180" s="10">
        <v>1</v>
      </c>
      <c r="M180" s="10">
        <v>1</v>
      </c>
    </row>
    <row r="181" spans="1:13">
      <c r="A181" s="8">
        <v>42920</v>
      </c>
      <c r="B181" s="9">
        <v>0.52083333333333337</v>
      </c>
      <c r="C181" s="10" t="str">
        <f>"FES1162560184"</f>
        <v>FES1162560184</v>
      </c>
      <c r="D181" s="10" t="s">
        <v>19</v>
      </c>
      <c r="E181" s="10" t="s">
        <v>146</v>
      </c>
      <c r="F181" s="10" t="str">
        <f>"2170576992 "</f>
        <v xml:space="preserve">2170576992 </v>
      </c>
      <c r="G181" s="10" t="str">
        <f t="shared" si="4"/>
        <v>ON1</v>
      </c>
      <c r="H181" s="10" t="s">
        <v>21</v>
      </c>
      <c r="I181" s="10" t="s">
        <v>147</v>
      </c>
      <c r="J181" s="10" t="str">
        <f>""</f>
        <v/>
      </c>
      <c r="K181" s="10" t="str">
        <f>"PFES1162560184_0001"</f>
        <v>PFES1162560184_0001</v>
      </c>
      <c r="L181" s="10">
        <v>1</v>
      </c>
      <c r="M181" s="10">
        <v>1</v>
      </c>
    </row>
    <row r="182" spans="1:13">
      <c r="A182" s="8">
        <v>42920</v>
      </c>
      <c r="B182" s="9">
        <v>0.52083333333333337</v>
      </c>
      <c r="C182" s="10" t="str">
        <f>"FES1162560250"</f>
        <v>FES1162560250</v>
      </c>
      <c r="D182" s="10" t="s">
        <v>19</v>
      </c>
      <c r="E182" s="10" t="s">
        <v>237</v>
      </c>
      <c r="F182" s="10" t="str">
        <f>"2170577073 "</f>
        <v xml:space="preserve">2170577073 </v>
      </c>
      <c r="G182" s="10" t="str">
        <f t="shared" si="4"/>
        <v>ON1</v>
      </c>
      <c r="H182" s="10" t="s">
        <v>21</v>
      </c>
      <c r="I182" s="10" t="s">
        <v>238</v>
      </c>
      <c r="J182" s="10" t="str">
        <f>""</f>
        <v/>
      </c>
      <c r="K182" s="10" t="str">
        <f>"PFES1162560250_0001"</f>
        <v>PFES1162560250_0001</v>
      </c>
      <c r="L182" s="10">
        <v>1</v>
      </c>
      <c r="M182" s="10">
        <v>2</v>
      </c>
    </row>
    <row r="183" spans="1:13">
      <c r="A183" s="8">
        <v>42920</v>
      </c>
      <c r="B183" s="9">
        <v>0.52083333333333337</v>
      </c>
      <c r="C183" s="10" t="str">
        <f>"FES1162560183"</f>
        <v>FES1162560183</v>
      </c>
      <c r="D183" s="10" t="s">
        <v>19</v>
      </c>
      <c r="E183" s="10" t="s">
        <v>143</v>
      </c>
      <c r="F183" s="10" t="str">
        <f>"2170576983 "</f>
        <v xml:space="preserve">2170576983 </v>
      </c>
      <c r="G183" s="10" t="str">
        <f t="shared" si="4"/>
        <v>ON1</v>
      </c>
      <c r="H183" s="10" t="s">
        <v>21</v>
      </c>
      <c r="I183" s="10" t="s">
        <v>121</v>
      </c>
      <c r="J183" s="10" t="str">
        <f>""</f>
        <v/>
      </c>
      <c r="K183" s="10" t="str">
        <f>"PFES1162560183_0001"</f>
        <v>PFES1162560183_0001</v>
      </c>
      <c r="L183" s="10">
        <v>1</v>
      </c>
      <c r="M183" s="10">
        <v>1</v>
      </c>
    </row>
    <row r="184" spans="1:13">
      <c r="A184" s="8">
        <v>42920</v>
      </c>
      <c r="B184" s="9">
        <v>0.52013888888888882</v>
      </c>
      <c r="C184" s="10" t="str">
        <f>"FES1162560040"</f>
        <v>FES1162560040</v>
      </c>
      <c r="D184" s="10" t="s">
        <v>19</v>
      </c>
      <c r="E184" s="10" t="s">
        <v>62</v>
      </c>
      <c r="F184" s="10" t="str">
        <f>"2170574553 "</f>
        <v xml:space="preserve">2170574553 </v>
      </c>
      <c r="G184" s="10" t="str">
        <f t="shared" si="4"/>
        <v>ON1</v>
      </c>
      <c r="H184" s="10" t="s">
        <v>21</v>
      </c>
      <c r="I184" s="10" t="s">
        <v>40</v>
      </c>
      <c r="J184" s="10" t="str">
        <f>""</f>
        <v/>
      </c>
      <c r="K184" s="10" t="str">
        <f>"PFES1162560040_0001"</f>
        <v>PFES1162560040_0001</v>
      </c>
      <c r="L184" s="10">
        <v>1</v>
      </c>
      <c r="M184" s="10">
        <v>1</v>
      </c>
    </row>
    <row r="185" spans="1:13">
      <c r="A185" s="8">
        <v>42920</v>
      </c>
      <c r="B185" s="9">
        <v>0.52013888888888882</v>
      </c>
      <c r="C185" s="10" t="str">
        <f>"FES1162560219"</f>
        <v>FES1162560219</v>
      </c>
      <c r="D185" s="10" t="s">
        <v>19</v>
      </c>
      <c r="E185" s="10" t="s">
        <v>239</v>
      </c>
      <c r="F185" s="10" t="str">
        <f>"2170577038 "</f>
        <v xml:space="preserve">2170577038 </v>
      </c>
      <c r="G185" s="10" t="str">
        <f t="shared" si="4"/>
        <v>ON1</v>
      </c>
      <c r="H185" s="10" t="s">
        <v>21</v>
      </c>
      <c r="I185" s="10" t="s">
        <v>240</v>
      </c>
      <c r="J185" s="10" t="str">
        <f>""</f>
        <v/>
      </c>
      <c r="K185" s="10" t="str">
        <f>"PFES1162560219_0001"</f>
        <v>PFES1162560219_0001</v>
      </c>
      <c r="L185" s="10">
        <v>1</v>
      </c>
      <c r="M185" s="10">
        <v>3</v>
      </c>
    </row>
    <row r="186" spans="1:13">
      <c r="A186" s="8">
        <v>42920</v>
      </c>
      <c r="B186" s="9">
        <v>0.52013888888888882</v>
      </c>
      <c r="C186" s="10" t="str">
        <f>"FES1162560202"</f>
        <v>FES1162560202</v>
      </c>
      <c r="D186" s="10" t="s">
        <v>19</v>
      </c>
      <c r="E186" s="10" t="s">
        <v>62</v>
      </c>
      <c r="F186" s="10" t="str">
        <f>"2170577018 "</f>
        <v xml:space="preserve">2170577018 </v>
      </c>
      <c r="G186" s="10" t="str">
        <f t="shared" si="4"/>
        <v>ON1</v>
      </c>
      <c r="H186" s="10" t="s">
        <v>21</v>
      </c>
      <c r="I186" s="10" t="s">
        <v>40</v>
      </c>
      <c r="J186" s="10" t="str">
        <f>""</f>
        <v/>
      </c>
      <c r="K186" s="10" t="str">
        <f>"PFES1162560202_0001"</f>
        <v>PFES1162560202_0001</v>
      </c>
      <c r="L186" s="10">
        <v>1</v>
      </c>
      <c r="M186" s="10">
        <v>1</v>
      </c>
    </row>
    <row r="187" spans="1:13">
      <c r="A187" s="8">
        <v>42920</v>
      </c>
      <c r="B187" s="9">
        <v>0.51944444444444449</v>
      </c>
      <c r="C187" s="10" t="str">
        <f>"FES1162560103"</f>
        <v>FES1162560103</v>
      </c>
      <c r="D187" s="10" t="s">
        <v>19</v>
      </c>
      <c r="E187" s="10" t="s">
        <v>231</v>
      </c>
      <c r="F187" s="10" t="str">
        <f>"2170575512 "</f>
        <v xml:space="preserve">2170575512 </v>
      </c>
      <c r="G187" s="10" t="str">
        <f t="shared" si="4"/>
        <v>ON1</v>
      </c>
      <c r="H187" s="10" t="s">
        <v>21</v>
      </c>
      <c r="I187" s="10" t="s">
        <v>232</v>
      </c>
      <c r="J187" s="10" t="str">
        <f>""</f>
        <v/>
      </c>
      <c r="K187" s="10" t="str">
        <f>"PFES1162560103_0001"</f>
        <v>PFES1162560103_0001</v>
      </c>
      <c r="L187" s="10">
        <v>1</v>
      </c>
      <c r="M187" s="10">
        <v>1</v>
      </c>
    </row>
    <row r="188" spans="1:13">
      <c r="A188" s="8">
        <v>42920</v>
      </c>
      <c r="B188" s="9">
        <v>0.51944444444444449</v>
      </c>
      <c r="C188" s="10" t="str">
        <f>"FES1162560160"</f>
        <v>FES1162560160</v>
      </c>
      <c r="D188" s="10" t="s">
        <v>19</v>
      </c>
      <c r="E188" s="10" t="s">
        <v>223</v>
      </c>
      <c r="F188" s="10" t="str">
        <f>"2170576712 "</f>
        <v xml:space="preserve">2170576712 </v>
      </c>
      <c r="G188" s="10" t="str">
        <f t="shared" si="4"/>
        <v>ON1</v>
      </c>
      <c r="H188" s="10" t="s">
        <v>21</v>
      </c>
      <c r="I188" s="10" t="s">
        <v>224</v>
      </c>
      <c r="J188" s="10" t="str">
        <f>""</f>
        <v/>
      </c>
      <c r="K188" s="10" t="str">
        <f>"PFES1162560160_0001"</f>
        <v>PFES1162560160_0001</v>
      </c>
      <c r="L188" s="10">
        <v>1</v>
      </c>
      <c r="M188" s="10">
        <v>1</v>
      </c>
    </row>
    <row r="189" spans="1:13">
      <c r="A189" s="8">
        <v>42920</v>
      </c>
      <c r="B189" s="9">
        <v>0.51944444444444449</v>
      </c>
      <c r="C189" s="10" t="str">
        <f>"FES1162560240"</f>
        <v>FES1162560240</v>
      </c>
      <c r="D189" s="10" t="s">
        <v>19</v>
      </c>
      <c r="E189" s="10" t="s">
        <v>241</v>
      </c>
      <c r="F189" s="10" t="str">
        <f>"2170577068 "</f>
        <v xml:space="preserve">2170577068 </v>
      </c>
      <c r="G189" s="10" t="str">
        <f t="shared" si="4"/>
        <v>ON1</v>
      </c>
      <c r="H189" s="10" t="s">
        <v>21</v>
      </c>
      <c r="I189" s="10" t="s">
        <v>242</v>
      </c>
      <c r="J189" s="10" t="str">
        <f>""</f>
        <v/>
      </c>
      <c r="K189" s="10" t="str">
        <f>"PFES1162560240_0001"</f>
        <v>PFES1162560240_0001</v>
      </c>
      <c r="L189" s="10">
        <v>1</v>
      </c>
      <c r="M189" s="10">
        <v>1</v>
      </c>
    </row>
    <row r="190" spans="1:13">
      <c r="A190" s="8">
        <v>42920</v>
      </c>
      <c r="B190" s="9">
        <v>0.51874999999999993</v>
      </c>
      <c r="C190" s="10" t="str">
        <f>"FES1162560236"</f>
        <v>FES1162560236</v>
      </c>
      <c r="D190" s="10" t="s">
        <v>19</v>
      </c>
      <c r="E190" s="10" t="s">
        <v>243</v>
      </c>
      <c r="F190" s="10" t="str">
        <f>"2170577057 "</f>
        <v xml:space="preserve">2170577057 </v>
      </c>
      <c r="G190" s="10" t="str">
        <f t="shared" si="4"/>
        <v>ON1</v>
      </c>
      <c r="H190" s="10" t="s">
        <v>21</v>
      </c>
      <c r="I190" s="10" t="s">
        <v>244</v>
      </c>
      <c r="J190" s="10" t="str">
        <f>""</f>
        <v/>
      </c>
      <c r="K190" s="10" t="str">
        <f>"PFES1162560236_0001"</f>
        <v>PFES1162560236_0001</v>
      </c>
      <c r="L190" s="10">
        <v>1</v>
      </c>
      <c r="M190" s="10">
        <v>1</v>
      </c>
    </row>
    <row r="191" spans="1:13">
      <c r="A191" s="8">
        <v>42920</v>
      </c>
      <c r="B191" s="9">
        <v>0.51874999999999993</v>
      </c>
      <c r="C191" s="10" t="str">
        <f>"FES1162560252"</f>
        <v>FES1162560252</v>
      </c>
      <c r="D191" s="10" t="s">
        <v>19</v>
      </c>
      <c r="E191" s="10" t="s">
        <v>245</v>
      </c>
      <c r="F191" s="10" t="str">
        <f>"21705777077 "</f>
        <v xml:space="preserve">21705777077 </v>
      </c>
      <c r="G191" s="10" t="str">
        <f t="shared" si="4"/>
        <v>ON1</v>
      </c>
      <c r="H191" s="10" t="s">
        <v>21</v>
      </c>
      <c r="I191" s="10" t="s">
        <v>246</v>
      </c>
      <c r="J191" s="10" t="str">
        <f>""</f>
        <v/>
      </c>
      <c r="K191" s="10" t="str">
        <f>"PFES1162560252_0001"</f>
        <v>PFES1162560252_0001</v>
      </c>
      <c r="L191" s="10">
        <v>1</v>
      </c>
      <c r="M191" s="10">
        <v>1</v>
      </c>
    </row>
    <row r="192" spans="1:13">
      <c r="A192" s="8">
        <v>42920</v>
      </c>
      <c r="B192" s="9">
        <v>0.5180555555555556</v>
      </c>
      <c r="C192" s="10" t="str">
        <f>"FES1162560008"</f>
        <v>FES1162560008</v>
      </c>
      <c r="D192" s="10" t="s">
        <v>19</v>
      </c>
      <c r="E192" s="10" t="s">
        <v>155</v>
      </c>
      <c r="F192" s="10" t="str">
        <f>"21705737711 "</f>
        <v xml:space="preserve">21705737711 </v>
      </c>
      <c r="G192" s="10" t="str">
        <f t="shared" si="4"/>
        <v>ON1</v>
      </c>
      <c r="H192" s="10" t="s">
        <v>21</v>
      </c>
      <c r="I192" s="10" t="s">
        <v>121</v>
      </c>
      <c r="J192" s="10" t="str">
        <f>""</f>
        <v/>
      </c>
      <c r="K192" s="10" t="str">
        <f>"PFES1162560008_0001"</f>
        <v>PFES1162560008_0001</v>
      </c>
      <c r="L192" s="10">
        <v>1</v>
      </c>
      <c r="M192" s="10">
        <v>1</v>
      </c>
    </row>
    <row r="193" spans="1:13">
      <c r="A193" s="8">
        <v>42920</v>
      </c>
      <c r="B193" s="9">
        <v>0.51736111111111105</v>
      </c>
      <c r="C193" s="10" t="str">
        <f>"FES1162560157"</f>
        <v>FES1162560157</v>
      </c>
      <c r="D193" s="10" t="s">
        <v>19</v>
      </c>
      <c r="E193" s="10" t="s">
        <v>247</v>
      </c>
      <c r="F193" s="10" t="str">
        <f>"2170576663 "</f>
        <v xml:space="preserve">2170576663 </v>
      </c>
      <c r="G193" s="10" t="str">
        <f t="shared" si="4"/>
        <v>ON1</v>
      </c>
      <c r="H193" s="10" t="s">
        <v>21</v>
      </c>
      <c r="I193" s="10" t="s">
        <v>248</v>
      </c>
      <c r="J193" s="10" t="str">
        <f>""</f>
        <v/>
      </c>
      <c r="K193" s="10" t="str">
        <f>"PFES1162560157_0001"</f>
        <v>PFES1162560157_0001</v>
      </c>
      <c r="L193" s="10">
        <v>1</v>
      </c>
      <c r="M193" s="10">
        <v>4</v>
      </c>
    </row>
    <row r="194" spans="1:13">
      <c r="A194" s="8">
        <v>42920</v>
      </c>
      <c r="B194" s="9">
        <v>0.50902777777777775</v>
      </c>
      <c r="C194" s="10" t="str">
        <f>"FES1162560066"</f>
        <v>FES1162560066</v>
      </c>
      <c r="D194" s="10" t="s">
        <v>19</v>
      </c>
      <c r="E194" s="10" t="s">
        <v>249</v>
      </c>
      <c r="F194" s="10" t="str">
        <f>"2170574803 "</f>
        <v xml:space="preserve">2170574803 </v>
      </c>
      <c r="G194" s="10" t="str">
        <f t="shared" si="4"/>
        <v>ON1</v>
      </c>
      <c r="H194" s="10" t="s">
        <v>21</v>
      </c>
      <c r="I194" s="10" t="s">
        <v>166</v>
      </c>
      <c r="J194" s="10" t="str">
        <f>""</f>
        <v/>
      </c>
      <c r="K194" s="10" t="str">
        <f>"PFES1162560066_0001"</f>
        <v>PFES1162560066_0001</v>
      </c>
      <c r="L194" s="10">
        <v>1</v>
      </c>
      <c r="M194" s="10">
        <v>1</v>
      </c>
    </row>
    <row r="195" spans="1:13">
      <c r="A195" s="8">
        <v>42920</v>
      </c>
      <c r="B195" s="9">
        <v>0.5083333333333333</v>
      </c>
      <c r="C195" s="10" t="str">
        <f>"FES1162560217"</f>
        <v>FES1162560217</v>
      </c>
      <c r="D195" s="10" t="s">
        <v>19</v>
      </c>
      <c r="E195" s="10" t="s">
        <v>210</v>
      </c>
      <c r="F195" s="10" t="str">
        <f>"2170577035 "</f>
        <v xml:space="preserve">2170577035 </v>
      </c>
      <c r="G195" s="10" t="str">
        <f t="shared" si="4"/>
        <v>ON1</v>
      </c>
      <c r="H195" s="10" t="s">
        <v>21</v>
      </c>
      <c r="I195" s="10" t="s">
        <v>32</v>
      </c>
      <c r="J195" s="10" t="str">
        <f>""</f>
        <v/>
      </c>
      <c r="K195" s="10" t="str">
        <f>"PFES1162560217_0001"</f>
        <v>PFES1162560217_0001</v>
      </c>
      <c r="L195" s="10">
        <v>1</v>
      </c>
      <c r="M195" s="10">
        <v>1</v>
      </c>
    </row>
    <row r="196" spans="1:13">
      <c r="A196" s="8">
        <v>42920</v>
      </c>
      <c r="B196" s="9">
        <v>0.5083333333333333</v>
      </c>
      <c r="C196" s="10" t="str">
        <f>"FES1162560096"</f>
        <v>FES1162560096</v>
      </c>
      <c r="D196" s="10" t="s">
        <v>19</v>
      </c>
      <c r="E196" s="10" t="s">
        <v>87</v>
      </c>
      <c r="F196" s="10" t="str">
        <f>"2170575330 "</f>
        <v xml:space="preserve">2170575330 </v>
      </c>
      <c r="G196" s="10" t="str">
        <f t="shared" si="4"/>
        <v>ON1</v>
      </c>
      <c r="H196" s="10" t="s">
        <v>21</v>
      </c>
      <c r="I196" s="10" t="s">
        <v>88</v>
      </c>
      <c r="J196" s="10" t="str">
        <f>""</f>
        <v/>
      </c>
      <c r="K196" s="10" t="str">
        <f>"PFES1162560096_0001"</f>
        <v>PFES1162560096_0001</v>
      </c>
      <c r="L196" s="10">
        <v>1</v>
      </c>
      <c r="M196" s="10">
        <v>1</v>
      </c>
    </row>
    <row r="197" spans="1:13">
      <c r="A197" s="8">
        <v>42920</v>
      </c>
      <c r="B197" s="9">
        <v>0.5083333333333333</v>
      </c>
      <c r="C197" s="10" t="str">
        <f>"FES1162560106"</f>
        <v>FES1162560106</v>
      </c>
      <c r="D197" s="10" t="s">
        <v>19</v>
      </c>
      <c r="E197" s="10" t="s">
        <v>233</v>
      </c>
      <c r="F197" s="10" t="str">
        <f>"2170575609 "</f>
        <v xml:space="preserve">2170575609 </v>
      </c>
      <c r="G197" s="10" t="str">
        <f t="shared" si="4"/>
        <v>ON1</v>
      </c>
      <c r="H197" s="10" t="s">
        <v>21</v>
      </c>
      <c r="I197" s="10" t="s">
        <v>234</v>
      </c>
      <c r="J197" s="10" t="str">
        <f>""</f>
        <v/>
      </c>
      <c r="K197" s="10" t="str">
        <f>"PFES1162560106_0001"</f>
        <v>PFES1162560106_0001</v>
      </c>
      <c r="L197" s="10">
        <v>1</v>
      </c>
      <c r="M197" s="10">
        <v>3</v>
      </c>
    </row>
    <row r="198" spans="1:13">
      <c r="A198" s="8">
        <v>42920</v>
      </c>
      <c r="B198" s="9">
        <v>0.50763888888888886</v>
      </c>
      <c r="C198" s="10" t="str">
        <f>"FES1162559976"</f>
        <v>FES1162559976</v>
      </c>
      <c r="D198" s="10" t="s">
        <v>19</v>
      </c>
      <c r="E198" s="10" t="s">
        <v>250</v>
      </c>
      <c r="F198" s="10" t="str">
        <f>"2170576974 "</f>
        <v xml:space="preserve">2170576974 </v>
      </c>
      <c r="G198" s="10" t="str">
        <f t="shared" si="4"/>
        <v>ON1</v>
      </c>
      <c r="H198" s="10" t="s">
        <v>21</v>
      </c>
      <c r="I198" s="10" t="s">
        <v>70</v>
      </c>
      <c r="J198" s="10" t="str">
        <f>""</f>
        <v/>
      </c>
      <c r="K198" s="10" t="str">
        <f>"PFES1162559976_0001"</f>
        <v>PFES1162559976_0001</v>
      </c>
      <c r="L198" s="10">
        <v>1</v>
      </c>
      <c r="M198" s="10">
        <v>1</v>
      </c>
    </row>
    <row r="199" spans="1:13">
      <c r="A199" s="8">
        <v>42920</v>
      </c>
      <c r="B199" s="9">
        <v>0.50763888888888886</v>
      </c>
      <c r="C199" s="10" t="str">
        <f>"FES1162560150"</f>
        <v>FES1162560150</v>
      </c>
      <c r="D199" s="10" t="s">
        <v>19</v>
      </c>
      <c r="E199" s="10" t="s">
        <v>251</v>
      </c>
      <c r="F199" s="10" t="str">
        <f>"2170576580 "</f>
        <v xml:space="preserve">2170576580 </v>
      </c>
      <c r="G199" s="10" t="str">
        <f t="shared" si="4"/>
        <v>ON1</v>
      </c>
      <c r="H199" s="10" t="s">
        <v>21</v>
      </c>
      <c r="I199" s="10" t="s">
        <v>252</v>
      </c>
      <c r="J199" s="10" t="str">
        <f>""</f>
        <v/>
      </c>
      <c r="K199" s="10" t="str">
        <f>"PFES1162560150_0001"</f>
        <v>PFES1162560150_0001</v>
      </c>
      <c r="L199" s="10">
        <v>1</v>
      </c>
      <c r="M199" s="10">
        <v>1</v>
      </c>
    </row>
    <row r="200" spans="1:13">
      <c r="A200" s="8">
        <v>42920</v>
      </c>
      <c r="B200" s="9">
        <v>0.50694444444444442</v>
      </c>
      <c r="C200" s="10" t="str">
        <f>"FES1162560064"</f>
        <v>FES1162560064</v>
      </c>
      <c r="D200" s="10" t="s">
        <v>19</v>
      </c>
      <c r="E200" s="10" t="s">
        <v>253</v>
      </c>
      <c r="F200" s="10" t="str">
        <f>"2170574795 "</f>
        <v xml:space="preserve">2170574795 </v>
      </c>
      <c r="G200" s="10" t="str">
        <f t="shared" si="4"/>
        <v>ON1</v>
      </c>
      <c r="H200" s="10" t="s">
        <v>21</v>
      </c>
      <c r="I200" s="10" t="s">
        <v>254</v>
      </c>
      <c r="J200" s="10" t="str">
        <f>""</f>
        <v/>
      </c>
      <c r="K200" s="10" t="str">
        <f>"PFES1162560064_0001"</f>
        <v>PFES1162560064_0001</v>
      </c>
      <c r="L200" s="10">
        <v>1</v>
      </c>
      <c r="M200" s="10">
        <v>1</v>
      </c>
    </row>
    <row r="201" spans="1:13">
      <c r="A201" s="8">
        <v>42920</v>
      </c>
      <c r="B201" s="9">
        <v>0.50624999999999998</v>
      </c>
      <c r="C201" s="10" t="str">
        <f>"FES1162560169"</f>
        <v>FES1162560169</v>
      </c>
      <c r="D201" s="10" t="s">
        <v>19</v>
      </c>
      <c r="E201" s="10" t="s">
        <v>255</v>
      </c>
      <c r="F201" s="10" t="str">
        <f>"2170576828 "</f>
        <v xml:space="preserve">2170576828 </v>
      </c>
      <c r="G201" s="10" t="str">
        <f t="shared" si="4"/>
        <v>ON1</v>
      </c>
      <c r="H201" s="10" t="s">
        <v>21</v>
      </c>
      <c r="I201" s="10" t="s">
        <v>256</v>
      </c>
      <c r="J201" s="10" t="str">
        <f>""</f>
        <v/>
      </c>
      <c r="K201" s="10" t="str">
        <f>"PFES1162560169_0001"</f>
        <v>PFES1162560169_0001</v>
      </c>
      <c r="L201" s="10">
        <v>1</v>
      </c>
      <c r="M201" s="10">
        <v>1</v>
      </c>
    </row>
    <row r="202" spans="1:13">
      <c r="A202" s="8">
        <v>42920</v>
      </c>
      <c r="B202" s="9">
        <v>0.50555555555555554</v>
      </c>
      <c r="C202" s="10" t="str">
        <f>"FES1162560210"</f>
        <v>FES1162560210</v>
      </c>
      <c r="D202" s="10" t="s">
        <v>19</v>
      </c>
      <c r="E202" s="10" t="s">
        <v>257</v>
      </c>
      <c r="F202" s="10" t="str">
        <f>"2170577028 "</f>
        <v xml:space="preserve">2170577028 </v>
      </c>
      <c r="G202" s="10" t="str">
        <f t="shared" si="4"/>
        <v>ON1</v>
      </c>
      <c r="H202" s="10" t="s">
        <v>21</v>
      </c>
      <c r="I202" s="10" t="s">
        <v>24</v>
      </c>
      <c r="J202" s="10" t="str">
        <f>""</f>
        <v/>
      </c>
      <c r="K202" s="10" t="str">
        <f>"PFES1162560210_0001"</f>
        <v>PFES1162560210_0001</v>
      </c>
      <c r="L202" s="10">
        <v>1</v>
      </c>
      <c r="M202" s="10">
        <v>1</v>
      </c>
    </row>
    <row r="203" spans="1:13">
      <c r="A203" s="8">
        <v>42920</v>
      </c>
      <c r="B203" s="9">
        <v>0.50555555555555554</v>
      </c>
      <c r="C203" s="10" t="str">
        <f>"FES1162560018"</f>
        <v>FES1162560018</v>
      </c>
      <c r="D203" s="10" t="s">
        <v>19</v>
      </c>
      <c r="E203" s="10" t="s">
        <v>258</v>
      </c>
      <c r="F203" s="10" t="str">
        <f>"2170574179 "</f>
        <v xml:space="preserve">2170574179 </v>
      </c>
      <c r="G203" s="10" t="str">
        <f t="shared" si="4"/>
        <v>ON1</v>
      </c>
      <c r="H203" s="10" t="s">
        <v>21</v>
      </c>
      <c r="I203" s="10" t="s">
        <v>259</v>
      </c>
      <c r="J203" s="10" t="str">
        <f>""</f>
        <v/>
      </c>
      <c r="K203" s="10" t="str">
        <f>"PFES1162560018_0001"</f>
        <v>PFES1162560018_0001</v>
      </c>
      <c r="L203" s="10">
        <v>1</v>
      </c>
      <c r="M203" s="10">
        <v>1</v>
      </c>
    </row>
    <row r="204" spans="1:13">
      <c r="A204" s="8">
        <v>42920</v>
      </c>
      <c r="B204" s="9">
        <v>0.50486111111111109</v>
      </c>
      <c r="C204" s="10" t="str">
        <f>"FES1162560000"</f>
        <v>FES1162560000</v>
      </c>
      <c r="D204" s="10" t="s">
        <v>19</v>
      </c>
      <c r="E204" s="10" t="s">
        <v>158</v>
      </c>
      <c r="F204" s="10" t="str">
        <f>"2170573141 "</f>
        <v xml:space="preserve">2170573141 </v>
      </c>
      <c r="G204" s="10" t="str">
        <f t="shared" si="4"/>
        <v>ON1</v>
      </c>
      <c r="H204" s="10" t="s">
        <v>21</v>
      </c>
      <c r="I204" s="10" t="s">
        <v>159</v>
      </c>
      <c r="J204" s="10" t="str">
        <f>""</f>
        <v/>
      </c>
      <c r="K204" s="10" t="str">
        <f>"PFES1162560000_0001"</f>
        <v>PFES1162560000_0001</v>
      </c>
      <c r="L204" s="10">
        <v>1</v>
      </c>
      <c r="M204" s="10">
        <v>1</v>
      </c>
    </row>
    <row r="205" spans="1:13">
      <c r="A205" s="8">
        <v>42920</v>
      </c>
      <c r="B205" s="9">
        <v>0.50486111111111109</v>
      </c>
      <c r="C205" s="10" t="str">
        <f>"FES1162560168"</f>
        <v>FES1162560168</v>
      </c>
      <c r="D205" s="10" t="s">
        <v>19</v>
      </c>
      <c r="E205" s="10" t="s">
        <v>260</v>
      </c>
      <c r="F205" s="10" t="str">
        <f>"2170576791 "</f>
        <v xml:space="preserve">2170576791 </v>
      </c>
      <c r="G205" s="10" t="str">
        <f t="shared" si="4"/>
        <v>ON1</v>
      </c>
      <c r="H205" s="10" t="s">
        <v>21</v>
      </c>
      <c r="I205" s="10" t="s">
        <v>261</v>
      </c>
      <c r="J205" s="10" t="str">
        <f>""</f>
        <v/>
      </c>
      <c r="K205" s="10" t="str">
        <f>"PFES1162560168_0001"</f>
        <v>PFES1162560168_0001</v>
      </c>
      <c r="L205" s="10">
        <v>1</v>
      </c>
      <c r="M205" s="10">
        <v>1</v>
      </c>
    </row>
    <row r="206" spans="1:13">
      <c r="A206" s="8">
        <v>42920</v>
      </c>
      <c r="B206" s="9">
        <v>0.50416666666666665</v>
      </c>
      <c r="C206" s="10" t="str">
        <f>"FES1162560149"</f>
        <v>FES1162560149</v>
      </c>
      <c r="D206" s="10" t="s">
        <v>19</v>
      </c>
      <c r="E206" s="10" t="s">
        <v>249</v>
      </c>
      <c r="F206" s="10" t="str">
        <f>"2170576540 "</f>
        <v xml:space="preserve">2170576540 </v>
      </c>
      <c r="G206" s="10" t="str">
        <f t="shared" si="4"/>
        <v>ON1</v>
      </c>
      <c r="H206" s="10" t="s">
        <v>21</v>
      </c>
      <c r="I206" s="10" t="s">
        <v>166</v>
      </c>
      <c r="J206" s="10" t="str">
        <f>""</f>
        <v/>
      </c>
      <c r="K206" s="10" t="str">
        <f>"PFES1162560149_0001"</f>
        <v>PFES1162560149_0001</v>
      </c>
      <c r="L206" s="10">
        <v>1</v>
      </c>
      <c r="M206" s="10">
        <v>1</v>
      </c>
    </row>
    <row r="207" spans="1:13">
      <c r="A207" s="8">
        <v>42920</v>
      </c>
      <c r="B207" s="9">
        <v>0.50347222222222221</v>
      </c>
      <c r="C207" s="10" t="str">
        <f>"FES1162560121"</f>
        <v>FES1162560121</v>
      </c>
      <c r="D207" s="10" t="s">
        <v>19</v>
      </c>
      <c r="E207" s="10" t="s">
        <v>262</v>
      </c>
      <c r="F207" s="10" t="str">
        <f>"2170575981 "</f>
        <v xml:space="preserve">2170575981 </v>
      </c>
      <c r="G207" s="10" t="str">
        <f t="shared" si="4"/>
        <v>ON1</v>
      </c>
      <c r="H207" s="10" t="s">
        <v>21</v>
      </c>
      <c r="I207" s="10" t="s">
        <v>263</v>
      </c>
      <c r="J207" s="10" t="str">
        <f>""</f>
        <v/>
      </c>
      <c r="K207" s="10" t="str">
        <f>"PFES1162560121_0001"</f>
        <v>PFES1162560121_0001</v>
      </c>
      <c r="L207" s="10">
        <v>1</v>
      </c>
      <c r="M207" s="10">
        <v>1</v>
      </c>
    </row>
    <row r="208" spans="1:13">
      <c r="A208" s="8">
        <v>42920</v>
      </c>
      <c r="B208" s="9">
        <v>0.50347222222222221</v>
      </c>
      <c r="C208" s="10" t="str">
        <f>"FES1162560005"</f>
        <v>FES1162560005</v>
      </c>
      <c r="D208" s="10" t="s">
        <v>19</v>
      </c>
      <c r="E208" s="10" t="s">
        <v>264</v>
      </c>
      <c r="F208" s="10" t="str">
        <f>"2170573439 "</f>
        <v xml:space="preserve">2170573439 </v>
      </c>
      <c r="G208" s="10" t="str">
        <f t="shared" si="4"/>
        <v>ON1</v>
      </c>
      <c r="H208" s="10" t="s">
        <v>21</v>
      </c>
      <c r="I208" s="10" t="s">
        <v>240</v>
      </c>
      <c r="J208" s="10" t="str">
        <f>""</f>
        <v/>
      </c>
      <c r="K208" s="10" t="str">
        <f>"PFES1162560005_0001"</f>
        <v>PFES1162560005_0001</v>
      </c>
      <c r="L208" s="10">
        <v>1</v>
      </c>
      <c r="M208" s="10">
        <v>1</v>
      </c>
    </row>
    <row r="209" spans="1:13" s="14" customFormat="1">
      <c r="A209" s="11">
        <v>42920</v>
      </c>
      <c r="B209" s="12">
        <v>0.50277777777777777</v>
      </c>
      <c r="C209" s="13" t="str">
        <f>"FES1162560144"</f>
        <v>FES1162560144</v>
      </c>
      <c r="D209" s="13" t="s">
        <v>19</v>
      </c>
      <c r="E209" s="13" t="s">
        <v>71</v>
      </c>
      <c r="F209" s="13" t="str">
        <f>"2170576457 "</f>
        <v xml:space="preserve">2170576457 </v>
      </c>
      <c r="G209" s="13" t="str">
        <f t="shared" si="4"/>
        <v>ON1</v>
      </c>
      <c r="H209" s="13" t="s">
        <v>21</v>
      </c>
      <c r="I209" s="13" t="s">
        <v>26</v>
      </c>
      <c r="J209" s="13" t="str">
        <f>""</f>
        <v/>
      </c>
      <c r="K209" s="13" t="str">
        <f>"PFES1162560144_A001"</f>
        <v>PFES1162560144_A001</v>
      </c>
      <c r="L209" s="13">
        <v>1</v>
      </c>
      <c r="M209" s="13">
        <v>3</v>
      </c>
    </row>
    <row r="210" spans="1:13">
      <c r="A210" s="8">
        <v>42920</v>
      </c>
      <c r="B210" s="9">
        <v>0.50277777777777777</v>
      </c>
      <c r="C210" s="10" t="str">
        <f>"FES1162560243"</f>
        <v>FES1162560243</v>
      </c>
      <c r="D210" s="10" t="s">
        <v>19</v>
      </c>
      <c r="E210" s="10" t="s">
        <v>190</v>
      </c>
      <c r="F210" s="10" t="str">
        <f>"2170577070 "</f>
        <v xml:space="preserve">2170577070 </v>
      </c>
      <c r="G210" s="10" t="str">
        <f t="shared" si="4"/>
        <v>ON1</v>
      </c>
      <c r="H210" s="10" t="s">
        <v>21</v>
      </c>
      <c r="I210" s="10" t="s">
        <v>52</v>
      </c>
      <c r="J210" s="10" t="str">
        <f>""</f>
        <v/>
      </c>
      <c r="K210" s="10" t="str">
        <f>"PFES1162560243_0001"</f>
        <v>PFES1162560243_0001</v>
      </c>
      <c r="L210" s="10">
        <v>1</v>
      </c>
      <c r="M210" s="10">
        <v>3</v>
      </c>
    </row>
    <row r="211" spans="1:13">
      <c r="A211" s="8">
        <v>42920</v>
      </c>
      <c r="B211" s="9">
        <v>0.50208333333333333</v>
      </c>
      <c r="C211" s="10" t="str">
        <f>"FES1162559985"</f>
        <v>FES1162559985</v>
      </c>
      <c r="D211" s="10" t="s">
        <v>19</v>
      </c>
      <c r="E211" s="10" t="s">
        <v>39</v>
      </c>
      <c r="F211" s="10" t="str">
        <f>"2170570663 "</f>
        <v xml:space="preserve">2170570663 </v>
      </c>
      <c r="G211" s="10" t="str">
        <f t="shared" si="4"/>
        <v>ON1</v>
      </c>
      <c r="H211" s="10" t="s">
        <v>21</v>
      </c>
      <c r="I211" s="10" t="s">
        <v>40</v>
      </c>
      <c r="J211" s="10" t="str">
        <f>""</f>
        <v/>
      </c>
      <c r="K211" s="10" t="str">
        <f>"PFES1162559985_0001"</f>
        <v>PFES1162559985_0001</v>
      </c>
      <c r="L211" s="10">
        <v>1</v>
      </c>
      <c r="M211" s="10">
        <v>2</v>
      </c>
    </row>
    <row r="212" spans="1:13">
      <c r="A212" s="8">
        <v>42920</v>
      </c>
      <c r="B212" s="9">
        <v>0.50138888888888888</v>
      </c>
      <c r="C212" s="10" t="str">
        <f>"FES1162560037"</f>
        <v>FES1162560037</v>
      </c>
      <c r="D212" s="10" t="s">
        <v>19</v>
      </c>
      <c r="E212" s="10" t="s">
        <v>158</v>
      </c>
      <c r="F212" s="10" t="str">
        <f>"2170574519 "</f>
        <v xml:space="preserve">2170574519 </v>
      </c>
      <c r="G212" s="10" t="str">
        <f t="shared" si="4"/>
        <v>ON1</v>
      </c>
      <c r="H212" s="10" t="s">
        <v>21</v>
      </c>
      <c r="I212" s="10" t="s">
        <v>159</v>
      </c>
      <c r="J212" s="10" t="str">
        <f>""</f>
        <v/>
      </c>
      <c r="K212" s="10" t="str">
        <f>"PFES1162560037_0001"</f>
        <v>PFES1162560037_0001</v>
      </c>
      <c r="L212" s="10">
        <v>1</v>
      </c>
      <c r="M212" s="10">
        <v>2</v>
      </c>
    </row>
    <row r="213" spans="1:13">
      <c r="A213" s="8">
        <v>42920</v>
      </c>
      <c r="B213" s="9">
        <v>0.50138888888888888</v>
      </c>
      <c r="C213" s="10" t="str">
        <f>"FES1162560089"</f>
        <v>FES1162560089</v>
      </c>
      <c r="D213" s="10" t="s">
        <v>19</v>
      </c>
      <c r="E213" s="10" t="s">
        <v>265</v>
      </c>
      <c r="F213" s="10" t="str">
        <f>"2170575263 "</f>
        <v xml:space="preserve">2170575263 </v>
      </c>
      <c r="G213" s="10" t="str">
        <f t="shared" si="4"/>
        <v>ON1</v>
      </c>
      <c r="H213" s="10" t="s">
        <v>21</v>
      </c>
      <c r="I213" s="10" t="s">
        <v>230</v>
      </c>
      <c r="J213" s="10" t="str">
        <f>""</f>
        <v/>
      </c>
      <c r="K213" s="10" t="str">
        <f>"PFES1162560089_0001"</f>
        <v>PFES1162560089_0001</v>
      </c>
      <c r="L213" s="10">
        <v>1</v>
      </c>
      <c r="M213" s="10">
        <v>2</v>
      </c>
    </row>
    <row r="214" spans="1:13">
      <c r="A214" s="8">
        <v>42920</v>
      </c>
      <c r="B214" s="9">
        <v>0.50069444444444444</v>
      </c>
      <c r="C214" s="10" t="str">
        <f>"FES1162559998"</f>
        <v>FES1162559998</v>
      </c>
      <c r="D214" s="10" t="s">
        <v>19</v>
      </c>
      <c r="E214" s="10" t="s">
        <v>127</v>
      </c>
      <c r="F214" s="10" t="str">
        <f>"2170572997 "</f>
        <v xml:space="preserve">2170572997 </v>
      </c>
      <c r="G214" s="10" t="str">
        <f t="shared" si="4"/>
        <v>ON1</v>
      </c>
      <c r="H214" s="10" t="s">
        <v>21</v>
      </c>
      <c r="I214" s="10" t="s">
        <v>128</v>
      </c>
      <c r="J214" s="10" t="str">
        <f>""</f>
        <v/>
      </c>
      <c r="K214" s="10" t="str">
        <f>"PFES1162559998_0001"</f>
        <v>PFES1162559998_0001</v>
      </c>
      <c r="L214" s="10">
        <v>1</v>
      </c>
      <c r="M214" s="10">
        <v>2</v>
      </c>
    </row>
    <row r="215" spans="1:13">
      <c r="A215" s="8">
        <v>42920</v>
      </c>
      <c r="B215" s="9">
        <v>0.5</v>
      </c>
      <c r="C215" s="10" t="str">
        <f>"FES1162559986"</f>
        <v>FES1162559986</v>
      </c>
      <c r="D215" s="10" t="s">
        <v>19</v>
      </c>
      <c r="E215" s="10" t="s">
        <v>99</v>
      </c>
      <c r="F215" s="10" t="str">
        <f>"2170570928 "</f>
        <v xml:space="preserve">2170570928 </v>
      </c>
      <c r="G215" s="10" t="str">
        <f t="shared" si="4"/>
        <v>ON1</v>
      </c>
      <c r="H215" s="10" t="s">
        <v>21</v>
      </c>
      <c r="I215" s="10" t="s">
        <v>100</v>
      </c>
      <c r="J215" s="10" t="str">
        <f>""</f>
        <v/>
      </c>
      <c r="K215" s="10" t="str">
        <f>"PFES1162559986_0001"</f>
        <v>PFES1162559986_0001</v>
      </c>
      <c r="L215" s="10">
        <v>1</v>
      </c>
      <c r="M215" s="10">
        <v>2</v>
      </c>
    </row>
    <row r="216" spans="1:13">
      <c r="A216" s="8">
        <v>42920</v>
      </c>
      <c r="B216" s="9">
        <v>0.4993055555555555</v>
      </c>
      <c r="C216" s="10" t="str">
        <f>"FES1162560189"</f>
        <v>FES1162560189</v>
      </c>
      <c r="D216" s="10" t="s">
        <v>19</v>
      </c>
      <c r="E216" s="10" t="s">
        <v>99</v>
      </c>
      <c r="F216" s="10" t="str">
        <f>"21705777003 "</f>
        <v xml:space="preserve">21705777003 </v>
      </c>
      <c r="G216" s="10" t="str">
        <f t="shared" si="4"/>
        <v>ON1</v>
      </c>
      <c r="H216" s="10" t="s">
        <v>21</v>
      </c>
      <c r="I216" s="10" t="s">
        <v>100</v>
      </c>
      <c r="J216" s="10" t="str">
        <f>""</f>
        <v/>
      </c>
      <c r="K216" s="10" t="str">
        <f>"PFES1162560189_0001"</f>
        <v>PFES1162560189_0001</v>
      </c>
      <c r="L216" s="10">
        <v>1</v>
      </c>
      <c r="M216" s="10">
        <v>5</v>
      </c>
    </row>
    <row r="217" spans="1:13">
      <c r="A217" s="8">
        <v>42920</v>
      </c>
      <c r="B217" s="9">
        <v>0.49791666666666662</v>
      </c>
      <c r="C217" s="10" t="str">
        <f>"FES1162559991"</f>
        <v>FES1162559991</v>
      </c>
      <c r="D217" s="10" t="s">
        <v>19</v>
      </c>
      <c r="E217" s="10" t="s">
        <v>266</v>
      </c>
      <c r="F217" s="10" t="str">
        <f>"21705472286 "</f>
        <v xml:space="preserve">21705472286 </v>
      </c>
      <c r="G217" s="10" t="str">
        <f t="shared" si="4"/>
        <v>ON1</v>
      </c>
      <c r="H217" s="10" t="s">
        <v>21</v>
      </c>
      <c r="I217" s="10" t="s">
        <v>267</v>
      </c>
      <c r="J217" s="10" t="str">
        <f>""</f>
        <v/>
      </c>
      <c r="K217" s="10" t="str">
        <f>"PFES1162559991_0001"</f>
        <v>PFES1162559991_0001</v>
      </c>
      <c r="L217" s="10">
        <v>1</v>
      </c>
      <c r="M217" s="10">
        <v>3</v>
      </c>
    </row>
    <row r="218" spans="1:13">
      <c r="A218" s="8">
        <v>42920</v>
      </c>
      <c r="B218" s="9">
        <v>0.49027777777777781</v>
      </c>
      <c r="C218" s="10" t="str">
        <f>"FES1162560009"</f>
        <v>FES1162560009</v>
      </c>
      <c r="D218" s="10" t="s">
        <v>19</v>
      </c>
      <c r="E218" s="10" t="s">
        <v>264</v>
      </c>
      <c r="F218" s="10" t="str">
        <f>"2170573770 "</f>
        <v xml:space="preserve">2170573770 </v>
      </c>
      <c r="G218" s="10" t="str">
        <f t="shared" si="4"/>
        <v>ON1</v>
      </c>
      <c r="H218" s="10" t="s">
        <v>21</v>
      </c>
      <c r="I218" s="10" t="s">
        <v>240</v>
      </c>
      <c r="J218" s="10" t="str">
        <f>""</f>
        <v/>
      </c>
      <c r="K218" s="10" t="str">
        <f>"PFES1162560009_0001"</f>
        <v>PFES1162560009_0001</v>
      </c>
      <c r="L218" s="10">
        <v>1</v>
      </c>
      <c r="M218" s="10">
        <v>1</v>
      </c>
    </row>
    <row r="219" spans="1:13">
      <c r="A219" s="8">
        <v>42920</v>
      </c>
      <c r="B219" s="9">
        <v>0.49027777777777781</v>
      </c>
      <c r="C219" s="10" t="str">
        <f>"FES1162560105"</f>
        <v>FES1162560105</v>
      </c>
      <c r="D219" s="10" t="s">
        <v>19</v>
      </c>
      <c r="E219" s="10" t="s">
        <v>268</v>
      </c>
      <c r="F219" s="10" t="str">
        <f>"2170575604 "</f>
        <v xml:space="preserve">2170575604 </v>
      </c>
      <c r="G219" s="10" t="str">
        <f t="shared" si="4"/>
        <v>ON1</v>
      </c>
      <c r="H219" s="10" t="s">
        <v>21</v>
      </c>
      <c r="I219" s="10" t="s">
        <v>185</v>
      </c>
      <c r="J219" s="10" t="str">
        <f>""</f>
        <v/>
      </c>
      <c r="K219" s="10" t="str">
        <f>"PFES1162560105_0001"</f>
        <v>PFES1162560105_0001</v>
      </c>
      <c r="L219" s="10">
        <v>1</v>
      </c>
      <c r="M219" s="10">
        <v>1</v>
      </c>
    </row>
    <row r="220" spans="1:13">
      <c r="A220" s="8">
        <v>42920</v>
      </c>
      <c r="B220" s="9">
        <v>0.48958333333333331</v>
      </c>
      <c r="C220" s="10" t="str">
        <f>"FES1162560238"</f>
        <v>FES1162560238</v>
      </c>
      <c r="D220" s="10" t="s">
        <v>19</v>
      </c>
      <c r="E220" s="10" t="s">
        <v>269</v>
      </c>
      <c r="F220" s="10" t="str">
        <f>"2170577063 "</f>
        <v xml:space="preserve">2170577063 </v>
      </c>
      <c r="G220" s="10" t="str">
        <f t="shared" si="4"/>
        <v>ON1</v>
      </c>
      <c r="H220" s="10" t="s">
        <v>21</v>
      </c>
      <c r="I220" s="10" t="s">
        <v>52</v>
      </c>
      <c r="J220" s="10" t="str">
        <f>""</f>
        <v/>
      </c>
      <c r="K220" s="10" t="str">
        <f>"PFES1162560238_0001"</f>
        <v>PFES1162560238_0001</v>
      </c>
      <c r="L220" s="10">
        <v>1</v>
      </c>
      <c r="M220" s="10">
        <v>1</v>
      </c>
    </row>
    <row r="221" spans="1:13">
      <c r="A221" s="8">
        <v>42920</v>
      </c>
      <c r="B221" s="9">
        <v>0.48888888888888887</v>
      </c>
      <c r="C221" s="10" t="str">
        <f>"FES1162560204"</f>
        <v>FES1162560204</v>
      </c>
      <c r="D221" s="10" t="s">
        <v>19</v>
      </c>
      <c r="E221" s="10" t="s">
        <v>270</v>
      </c>
      <c r="F221" s="10" t="str">
        <f>"2170577022 "</f>
        <v xml:space="preserve">2170577022 </v>
      </c>
      <c r="G221" s="10" t="str">
        <f t="shared" si="4"/>
        <v>ON1</v>
      </c>
      <c r="H221" s="10" t="s">
        <v>21</v>
      </c>
      <c r="I221" s="10" t="s">
        <v>271</v>
      </c>
      <c r="J221" s="10" t="str">
        <f>""</f>
        <v/>
      </c>
      <c r="K221" s="10" t="str">
        <f>"PFES1162560204_0001"</f>
        <v>PFES1162560204_0001</v>
      </c>
      <c r="L221" s="10">
        <v>1</v>
      </c>
      <c r="M221" s="10">
        <v>1</v>
      </c>
    </row>
    <row r="222" spans="1:13">
      <c r="A222" s="8">
        <v>42920</v>
      </c>
      <c r="B222" s="9">
        <v>0.48819444444444443</v>
      </c>
      <c r="C222" s="10" t="str">
        <f>"FES1162560007"</f>
        <v>FES1162560007</v>
      </c>
      <c r="D222" s="10" t="s">
        <v>19</v>
      </c>
      <c r="E222" s="10" t="s">
        <v>272</v>
      </c>
      <c r="F222" s="10" t="str">
        <f>"2170573617 "</f>
        <v xml:space="preserve">2170573617 </v>
      </c>
      <c r="G222" s="10" t="str">
        <f t="shared" si="4"/>
        <v>ON1</v>
      </c>
      <c r="H222" s="10" t="s">
        <v>21</v>
      </c>
      <c r="I222" s="10" t="s">
        <v>166</v>
      </c>
      <c r="J222" s="10" t="str">
        <f>""</f>
        <v/>
      </c>
      <c r="K222" s="10" t="str">
        <f>"PFES1162560007_0001"</f>
        <v>PFES1162560007_0001</v>
      </c>
      <c r="L222" s="10">
        <v>1</v>
      </c>
      <c r="M222" s="10">
        <v>2</v>
      </c>
    </row>
    <row r="223" spans="1:13">
      <c r="A223" s="8">
        <v>42920</v>
      </c>
      <c r="B223" s="9">
        <v>0.48749999999999999</v>
      </c>
      <c r="C223" s="10" t="str">
        <f>"FES1162560003"</f>
        <v>FES1162560003</v>
      </c>
      <c r="D223" s="10" t="s">
        <v>19</v>
      </c>
      <c r="E223" s="10" t="s">
        <v>273</v>
      </c>
      <c r="F223" s="10" t="str">
        <f>"2170573409 "</f>
        <v xml:space="preserve">2170573409 </v>
      </c>
      <c r="G223" s="10" t="str">
        <f t="shared" si="4"/>
        <v>ON1</v>
      </c>
      <c r="H223" s="10" t="s">
        <v>21</v>
      </c>
      <c r="I223" s="10" t="s">
        <v>52</v>
      </c>
      <c r="J223" s="10" t="str">
        <f>""</f>
        <v/>
      </c>
      <c r="K223" s="10" t="str">
        <f>"PFES1162560003_0001"</f>
        <v>PFES1162560003_0001</v>
      </c>
      <c r="L223" s="10">
        <v>1</v>
      </c>
      <c r="M223" s="10">
        <v>6</v>
      </c>
    </row>
    <row r="224" spans="1:13">
      <c r="A224" s="8">
        <v>42920</v>
      </c>
      <c r="B224" s="9">
        <v>0.48680555555555555</v>
      </c>
      <c r="C224" s="10" t="str">
        <f>"FES1162560143"</f>
        <v>FES1162560143</v>
      </c>
      <c r="D224" s="10" t="s">
        <v>19</v>
      </c>
      <c r="E224" s="10" t="s">
        <v>71</v>
      </c>
      <c r="F224" s="10" t="str">
        <f>"2170576456 "</f>
        <v xml:space="preserve">2170576456 </v>
      </c>
      <c r="G224" s="10" t="str">
        <f t="shared" si="4"/>
        <v>ON1</v>
      </c>
      <c r="H224" s="10" t="s">
        <v>21</v>
      </c>
      <c r="I224" s="10" t="s">
        <v>26</v>
      </c>
      <c r="J224" s="10" t="str">
        <f>""</f>
        <v/>
      </c>
      <c r="K224" s="10" t="str">
        <f>"PFES1162560143_0001"</f>
        <v>PFES1162560143_0001</v>
      </c>
      <c r="L224" s="10">
        <v>1</v>
      </c>
      <c r="M224" s="10">
        <v>1</v>
      </c>
    </row>
    <row r="225" spans="1:13">
      <c r="A225" s="8">
        <v>42920</v>
      </c>
      <c r="B225" s="9">
        <v>0.4861111111111111</v>
      </c>
      <c r="C225" s="10" t="str">
        <f>"FES1162560102"</f>
        <v>FES1162560102</v>
      </c>
      <c r="D225" s="10" t="s">
        <v>19</v>
      </c>
      <c r="E225" s="10" t="s">
        <v>184</v>
      </c>
      <c r="F225" s="10" t="str">
        <f>"2170575490 "</f>
        <v xml:space="preserve">2170575490 </v>
      </c>
      <c r="G225" s="10" t="str">
        <f t="shared" si="4"/>
        <v>ON1</v>
      </c>
      <c r="H225" s="10" t="s">
        <v>21</v>
      </c>
      <c r="I225" s="10" t="s">
        <v>185</v>
      </c>
      <c r="J225" s="10" t="str">
        <f>""</f>
        <v/>
      </c>
      <c r="K225" s="10" t="str">
        <f>"PFES1162560102_0001"</f>
        <v>PFES1162560102_0001</v>
      </c>
      <c r="L225" s="10">
        <v>1</v>
      </c>
      <c r="M225" s="10">
        <v>4</v>
      </c>
    </row>
    <row r="226" spans="1:13">
      <c r="A226" s="8">
        <v>42920</v>
      </c>
      <c r="B226" s="9">
        <v>0.48541666666666666</v>
      </c>
      <c r="C226" s="10" t="str">
        <f>"FES1162560014"</f>
        <v>FES1162560014</v>
      </c>
      <c r="D226" s="10" t="s">
        <v>19</v>
      </c>
      <c r="E226" s="10" t="s">
        <v>273</v>
      </c>
      <c r="F226" s="10" t="str">
        <f>"2170574059 "</f>
        <v xml:space="preserve">2170574059 </v>
      </c>
      <c r="G226" s="10" t="str">
        <f t="shared" si="4"/>
        <v>ON1</v>
      </c>
      <c r="H226" s="10" t="s">
        <v>21</v>
      </c>
      <c r="I226" s="10" t="s">
        <v>52</v>
      </c>
      <c r="J226" s="10" t="str">
        <f>""</f>
        <v/>
      </c>
      <c r="K226" s="10" t="str">
        <f>"PFES1162560014_0001"</f>
        <v>PFES1162560014_0001</v>
      </c>
      <c r="L226" s="10">
        <v>1</v>
      </c>
      <c r="M226" s="10">
        <v>1</v>
      </c>
    </row>
    <row r="227" spans="1:13">
      <c r="A227" s="8">
        <v>42920</v>
      </c>
      <c r="B227" s="9">
        <v>0.48472222222222222</v>
      </c>
      <c r="C227" s="10" t="str">
        <f>"FES1162559990"</f>
        <v>FES1162559990</v>
      </c>
      <c r="D227" s="10" t="s">
        <v>19</v>
      </c>
      <c r="E227" s="10" t="s">
        <v>184</v>
      </c>
      <c r="F227" s="10" t="str">
        <f>"2170572063 "</f>
        <v xml:space="preserve">2170572063 </v>
      </c>
      <c r="G227" s="10" t="str">
        <f t="shared" si="4"/>
        <v>ON1</v>
      </c>
      <c r="H227" s="10" t="s">
        <v>21</v>
      </c>
      <c r="I227" s="10" t="s">
        <v>185</v>
      </c>
      <c r="J227" s="10" t="str">
        <f>""</f>
        <v/>
      </c>
      <c r="K227" s="10" t="str">
        <f>"PFES1162559990_0001"</f>
        <v>PFES1162559990_0001</v>
      </c>
      <c r="L227" s="10">
        <v>1</v>
      </c>
      <c r="M227" s="10">
        <v>1</v>
      </c>
    </row>
    <row r="228" spans="1:13">
      <c r="A228" s="8">
        <v>42920</v>
      </c>
      <c r="B228" s="9">
        <v>0.48402777777777778</v>
      </c>
      <c r="C228" s="10" t="str">
        <f>"FES1162560006"</f>
        <v>FES1162560006</v>
      </c>
      <c r="D228" s="10" t="s">
        <v>19</v>
      </c>
      <c r="E228" s="10" t="s">
        <v>184</v>
      </c>
      <c r="F228" s="10" t="str">
        <f>"2170573457 "</f>
        <v xml:space="preserve">2170573457 </v>
      </c>
      <c r="G228" s="10" t="str">
        <f t="shared" si="4"/>
        <v>ON1</v>
      </c>
      <c r="H228" s="10" t="s">
        <v>21</v>
      </c>
      <c r="I228" s="10" t="s">
        <v>185</v>
      </c>
      <c r="J228" s="10" t="str">
        <f>""</f>
        <v/>
      </c>
      <c r="K228" s="10" t="str">
        <f>"PFES1162560006_0001"</f>
        <v>PFES1162560006_0001</v>
      </c>
      <c r="L228" s="10">
        <v>1</v>
      </c>
      <c r="M228" s="10">
        <v>1</v>
      </c>
    </row>
    <row r="229" spans="1:13">
      <c r="A229" s="8">
        <v>42920</v>
      </c>
      <c r="B229" s="9">
        <v>0.48333333333333334</v>
      </c>
      <c r="C229" s="10" t="str">
        <f>"FES1162559987"</f>
        <v>FES1162559987</v>
      </c>
      <c r="D229" s="10" t="s">
        <v>19</v>
      </c>
      <c r="E229" s="10" t="s">
        <v>272</v>
      </c>
      <c r="F229" s="10" t="str">
        <f>"2170571200 "</f>
        <v xml:space="preserve">2170571200 </v>
      </c>
      <c r="G229" s="10" t="str">
        <f t="shared" si="4"/>
        <v>ON1</v>
      </c>
      <c r="H229" s="10" t="s">
        <v>21</v>
      </c>
      <c r="I229" s="10" t="s">
        <v>166</v>
      </c>
      <c r="J229" s="10" t="str">
        <f>""</f>
        <v/>
      </c>
      <c r="K229" s="10" t="str">
        <f>"PFES1162559987_0001"</f>
        <v>PFES1162559987_0001</v>
      </c>
      <c r="L229" s="10">
        <v>1</v>
      </c>
      <c r="M229" s="10">
        <v>1</v>
      </c>
    </row>
    <row r="230" spans="1:13">
      <c r="A230" s="8">
        <v>42920</v>
      </c>
      <c r="B230" s="9">
        <v>0.4826388888888889</v>
      </c>
      <c r="C230" s="10" t="str">
        <f>"FES1162560004"</f>
        <v>FES1162560004</v>
      </c>
      <c r="D230" s="10" t="s">
        <v>19</v>
      </c>
      <c r="E230" s="10" t="s">
        <v>264</v>
      </c>
      <c r="F230" s="10" t="str">
        <f>"2170573437 "</f>
        <v xml:space="preserve">2170573437 </v>
      </c>
      <c r="G230" s="10" t="str">
        <f t="shared" si="4"/>
        <v>ON1</v>
      </c>
      <c r="H230" s="10" t="s">
        <v>21</v>
      </c>
      <c r="I230" s="10" t="s">
        <v>240</v>
      </c>
      <c r="J230" s="10" t="str">
        <f>""</f>
        <v/>
      </c>
      <c r="K230" s="10" t="str">
        <f>"PFES1162560004_0001"</f>
        <v>PFES1162560004_0001</v>
      </c>
      <c r="L230" s="10">
        <v>1</v>
      </c>
      <c r="M230" s="10">
        <v>1</v>
      </c>
    </row>
    <row r="231" spans="1:13">
      <c r="A231" s="8">
        <v>42920</v>
      </c>
      <c r="B231" s="9">
        <v>0.48194444444444445</v>
      </c>
      <c r="C231" s="10" t="str">
        <f>"FES1162560073"</f>
        <v>FES1162560073</v>
      </c>
      <c r="D231" s="10" t="s">
        <v>19</v>
      </c>
      <c r="E231" s="10" t="s">
        <v>51</v>
      </c>
      <c r="F231" s="10" t="str">
        <f>"2170574951 "</f>
        <v xml:space="preserve">2170574951 </v>
      </c>
      <c r="G231" s="10" t="str">
        <f t="shared" si="4"/>
        <v>ON1</v>
      </c>
      <c r="H231" s="10" t="s">
        <v>21</v>
      </c>
      <c r="I231" s="10" t="s">
        <v>52</v>
      </c>
      <c r="J231" s="10" t="str">
        <f>""</f>
        <v/>
      </c>
      <c r="K231" s="10" t="str">
        <f>"PFES1162560073_0001"</f>
        <v>PFES1162560073_0001</v>
      </c>
      <c r="L231" s="10">
        <v>1</v>
      </c>
      <c r="M231" s="10">
        <v>1</v>
      </c>
    </row>
    <row r="232" spans="1:13">
      <c r="A232" s="8">
        <v>42920</v>
      </c>
      <c r="B232" s="9">
        <v>0.48125000000000001</v>
      </c>
      <c r="C232" s="10" t="str">
        <f>"FES1162560206"</f>
        <v>FES1162560206</v>
      </c>
      <c r="D232" s="10" t="s">
        <v>19</v>
      </c>
      <c r="E232" s="10" t="s">
        <v>274</v>
      </c>
      <c r="F232" s="10" t="str">
        <f>"2170577024 "</f>
        <v xml:space="preserve">2170577024 </v>
      </c>
      <c r="G232" s="10" t="str">
        <f t="shared" si="4"/>
        <v>ON1</v>
      </c>
      <c r="H232" s="10" t="s">
        <v>21</v>
      </c>
      <c r="I232" s="10" t="s">
        <v>166</v>
      </c>
      <c r="J232" s="10" t="str">
        <f>""</f>
        <v/>
      </c>
      <c r="K232" s="10" t="str">
        <f>"PFES1162560206_0001"</f>
        <v>PFES1162560206_0001</v>
      </c>
      <c r="L232" s="10">
        <v>1</v>
      </c>
      <c r="M232" s="10">
        <v>4</v>
      </c>
    </row>
    <row r="233" spans="1:13">
      <c r="A233" s="8">
        <v>42920</v>
      </c>
      <c r="B233" s="9">
        <v>0.48055555555555557</v>
      </c>
      <c r="C233" s="10" t="str">
        <f>"FES1162560235"</f>
        <v>FES1162560235</v>
      </c>
      <c r="D233" s="10" t="s">
        <v>19</v>
      </c>
      <c r="E233" s="10" t="s">
        <v>62</v>
      </c>
      <c r="F233" s="10" t="str">
        <f>"2170577056 "</f>
        <v xml:space="preserve">2170577056 </v>
      </c>
      <c r="G233" s="10" t="str">
        <f t="shared" si="4"/>
        <v>ON1</v>
      </c>
      <c r="H233" s="10" t="s">
        <v>21</v>
      </c>
      <c r="I233" s="10" t="s">
        <v>263</v>
      </c>
      <c r="J233" s="10" t="str">
        <f>""</f>
        <v/>
      </c>
      <c r="K233" s="10" t="str">
        <f>"PFES1162560235_0001"</f>
        <v>PFES1162560235_0001</v>
      </c>
      <c r="L233" s="10">
        <v>1</v>
      </c>
      <c r="M233" s="10">
        <v>1</v>
      </c>
    </row>
    <row r="234" spans="1:13">
      <c r="A234" s="8">
        <v>42920</v>
      </c>
      <c r="B234" s="9">
        <v>0.47986111111111113</v>
      </c>
      <c r="C234" s="10" t="str">
        <f>"FES1162560046"</f>
        <v>FES1162560046</v>
      </c>
      <c r="D234" s="10" t="s">
        <v>19</v>
      </c>
      <c r="E234" s="10" t="s">
        <v>275</v>
      </c>
      <c r="F234" s="10" t="str">
        <f>"2170574625 "</f>
        <v xml:space="preserve">2170574625 </v>
      </c>
      <c r="G234" s="10" t="str">
        <f t="shared" si="4"/>
        <v>ON1</v>
      </c>
      <c r="H234" s="10" t="s">
        <v>21</v>
      </c>
      <c r="I234" s="10" t="s">
        <v>276</v>
      </c>
      <c r="J234" s="10" t="str">
        <f>""</f>
        <v/>
      </c>
      <c r="K234" s="10" t="str">
        <f>"PFES1162560046_0001"</f>
        <v>PFES1162560046_0001</v>
      </c>
      <c r="L234" s="10">
        <v>1</v>
      </c>
      <c r="M234" s="10">
        <v>2</v>
      </c>
    </row>
    <row r="235" spans="1:13">
      <c r="A235" s="8">
        <v>42920</v>
      </c>
      <c r="B235" s="9">
        <v>0.47847222222222219</v>
      </c>
      <c r="C235" s="10" t="str">
        <f>"FES1162560152"</f>
        <v>FES1162560152</v>
      </c>
      <c r="D235" s="10" t="s">
        <v>19</v>
      </c>
      <c r="E235" s="10" t="s">
        <v>255</v>
      </c>
      <c r="F235" s="10" t="str">
        <f>"2170576613 "</f>
        <v xml:space="preserve">2170576613 </v>
      </c>
      <c r="G235" s="10" t="str">
        <f t="shared" si="4"/>
        <v>ON1</v>
      </c>
      <c r="H235" s="10" t="s">
        <v>21</v>
      </c>
      <c r="I235" s="10" t="s">
        <v>256</v>
      </c>
      <c r="J235" s="10" t="str">
        <f>""</f>
        <v/>
      </c>
      <c r="K235" s="10" t="str">
        <f>"PFES1162560152_0001"</f>
        <v>PFES1162560152_0001</v>
      </c>
      <c r="L235" s="10">
        <v>1</v>
      </c>
      <c r="M235" s="10">
        <v>1</v>
      </c>
    </row>
    <row r="236" spans="1:13">
      <c r="A236" s="8">
        <v>42920</v>
      </c>
      <c r="B236" s="9">
        <v>0.47847222222222219</v>
      </c>
      <c r="C236" s="10" t="str">
        <f>"FES1162560117"</f>
        <v>FES1162560117</v>
      </c>
      <c r="D236" s="10" t="s">
        <v>19</v>
      </c>
      <c r="E236" s="10" t="s">
        <v>277</v>
      </c>
      <c r="F236" s="10" t="str">
        <f>"2170575886 "</f>
        <v xml:space="preserve">2170575886 </v>
      </c>
      <c r="G236" s="10" t="str">
        <f t="shared" si="4"/>
        <v>ON1</v>
      </c>
      <c r="H236" s="10" t="s">
        <v>21</v>
      </c>
      <c r="I236" s="10" t="s">
        <v>234</v>
      </c>
      <c r="J236" s="10" t="str">
        <f>""</f>
        <v/>
      </c>
      <c r="K236" s="10" t="str">
        <f>"PFES1162560117_0001"</f>
        <v>PFES1162560117_0001</v>
      </c>
      <c r="L236" s="10">
        <v>1</v>
      </c>
      <c r="M236" s="10">
        <v>1</v>
      </c>
    </row>
    <row r="237" spans="1:13">
      <c r="A237" s="8">
        <v>42920</v>
      </c>
      <c r="B237" s="9">
        <v>0.4777777777777778</v>
      </c>
      <c r="C237" s="10" t="str">
        <f>"FES1162560136"</f>
        <v>FES1162560136</v>
      </c>
      <c r="D237" s="10" t="s">
        <v>19</v>
      </c>
      <c r="E237" s="10" t="s">
        <v>277</v>
      </c>
      <c r="F237" s="10" t="str">
        <f>"2170576295 "</f>
        <v xml:space="preserve">2170576295 </v>
      </c>
      <c r="G237" s="10" t="str">
        <f t="shared" si="4"/>
        <v>ON1</v>
      </c>
      <c r="H237" s="10" t="s">
        <v>21</v>
      </c>
      <c r="I237" s="10" t="s">
        <v>234</v>
      </c>
      <c r="J237" s="10" t="str">
        <f>""</f>
        <v/>
      </c>
      <c r="K237" s="10" t="str">
        <f>"PFES1162560136_0001"</f>
        <v>PFES1162560136_0001</v>
      </c>
      <c r="L237" s="10">
        <v>1</v>
      </c>
      <c r="M237" s="10">
        <v>1</v>
      </c>
    </row>
    <row r="238" spans="1:13">
      <c r="A238" s="8">
        <v>42920</v>
      </c>
      <c r="B238" s="9">
        <v>0.4770833333333333</v>
      </c>
      <c r="C238" s="10" t="str">
        <f>"FES1162560078"</f>
        <v>FES1162560078</v>
      </c>
      <c r="D238" s="10" t="s">
        <v>19</v>
      </c>
      <c r="E238" s="10" t="s">
        <v>278</v>
      </c>
      <c r="F238" s="10" t="str">
        <f>"2170575076 "</f>
        <v xml:space="preserve">2170575076 </v>
      </c>
      <c r="G238" s="10" t="str">
        <f t="shared" si="4"/>
        <v>ON1</v>
      </c>
      <c r="H238" s="10" t="s">
        <v>21</v>
      </c>
      <c r="I238" s="10" t="s">
        <v>234</v>
      </c>
      <c r="J238" s="10" t="str">
        <f>""</f>
        <v/>
      </c>
      <c r="K238" s="10" t="str">
        <f>"PFES1162560078_0001"</f>
        <v>PFES1162560078_0001</v>
      </c>
      <c r="L238" s="10">
        <v>1</v>
      </c>
      <c r="M238" s="10">
        <v>1</v>
      </c>
    </row>
    <row r="239" spans="1:13">
      <c r="A239" s="8">
        <v>42920</v>
      </c>
      <c r="B239" s="9">
        <v>0.47638888888888892</v>
      </c>
      <c r="C239" s="10" t="str">
        <f>"FES1162560104"</f>
        <v>FES1162560104</v>
      </c>
      <c r="D239" s="10" t="s">
        <v>19</v>
      </c>
      <c r="E239" s="10" t="s">
        <v>279</v>
      </c>
      <c r="F239" s="10" t="str">
        <f>"2170575542 "</f>
        <v xml:space="preserve">2170575542 </v>
      </c>
      <c r="G239" s="10" t="str">
        <f t="shared" ref="G239:G247" si="5">"ON1"</f>
        <v>ON1</v>
      </c>
      <c r="H239" s="10" t="s">
        <v>21</v>
      </c>
      <c r="I239" s="10" t="s">
        <v>240</v>
      </c>
      <c r="J239" s="10" t="str">
        <f>""</f>
        <v/>
      </c>
      <c r="K239" s="10" t="str">
        <f>"PFES1162560104_0001"</f>
        <v>PFES1162560104_0001</v>
      </c>
      <c r="L239" s="10">
        <v>1</v>
      </c>
      <c r="M239" s="10">
        <v>1</v>
      </c>
    </row>
    <row r="240" spans="1:13">
      <c r="A240" s="8">
        <v>42920</v>
      </c>
      <c r="B240" s="9">
        <v>0.47569444444444442</v>
      </c>
      <c r="C240" s="10" t="str">
        <f>"FES1162560029"</f>
        <v>FES1162560029</v>
      </c>
      <c r="D240" s="10" t="s">
        <v>19</v>
      </c>
      <c r="E240" s="10" t="s">
        <v>280</v>
      </c>
      <c r="F240" s="10" t="str">
        <f>"2170574400 "</f>
        <v xml:space="preserve">2170574400 </v>
      </c>
      <c r="G240" s="10" t="str">
        <f t="shared" si="5"/>
        <v>ON1</v>
      </c>
      <c r="H240" s="10" t="s">
        <v>21</v>
      </c>
      <c r="I240" s="10" t="s">
        <v>281</v>
      </c>
      <c r="J240" s="10" t="str">
        <f>""</f>
        <v/>
      </c>
      <c r="K240" s="10" t="str">
        <f>"PFES1162560029_0001"</f>
        <v>PFES1162560029_0001</v>
      </c>
      <c r="L240" s="10">
        <v>1</v>
      </c>
      <c r="M240" s="10">
        <v>1</v>
      </c>
    </row>
    <row r="241" spans="1:13">
      <c r="A241" s="8">
        <v>42920</v>
      </c>
      <c r="B241" s="9">
        <v>0.47500000000000003</v>
      </c>
      <c r="C241" s="10" t="str">
        <f>"FES1162559969"</f>
        <v>FES1162559969</v>
      </c>
      <c r="D241" s="10" t="s">
        <v>19</v>
      </c>
      <c r="E241" s="10" t="s">
        <v>25</v>
      </c>
      <c r="F241" s="10" t="str">
        <f>"2170576980 "</f>
        <v xml:space="preserve">2170576980 </v>
      </c>
      <c r="G241" s="10" t="str">
        <f t="shared" si="5"/>
        <v>ON1</v>
      </c>
      <c r="H241" s="10" t="s">
        <v>21</v>
      </c>
      <c r="I241" s="10" t="s">
        <v>26</v>
      </c>
      <c r="J241" s="10" t="str">
        <f>""</f>
        <v/>
      </c>
      <c r="K241" s="10" t="str">
        <f>"PFES1162559969_0001"</f>
        <v>PFES1162559969_0001</v>
      </c>
      <c r="L241" s="10">
        <v>1</v>
      </c>
      <c r="M241" s="10">
        <v>1</v>
      </c>
    </row>
    <row r="242" spans="1:13">
      <c r="A242" s="8">
        <v>42920</v>
      </c>
      <c r="B242" s="9">
        <v>0.47430555555555554</v>
      </c>
      <c r="C242" s="10" t="str">
        <f>"FES1162560079"</f>
        <v>FES1162560079</v>
      </c>
      <c r="D242" s="10" t="s">
        <v>19</v>
      </c>
      <c r="E242" s="10" t="s">
        <v>51</v>
      </c>
      <c r="F242" s="10" t="str">
        <f>"2170575123 "</f>
        <v xml:space="preserve">2170575123 </v>
      </c>
      <c r="G242" s="10" t="str">
        <f t="shared" si="5"/>
        <v>ON1</v>
      </c>
      <c r="H242" s="10" t="s">
        <v>21</v>
      </c>
      <c r="I242" s="10" t="s">
        <v>52</v>
      </c>
      <c r="J242" s="10" t="str">
        <f>""</f>
        <v/>
      </c>
      <c r="K242" s="10" t="str">
        <f>"PFES1162560079_0001"</f>
        <v>PFES1162560079_0001</v>
      </c>
      <c r="L242" s="10">
        <v>1</v>
      </c>
      <c r="M242" s="10">
        <v>1</v>
      </c>
    </row>
    <row r="243" spans="1:13">
      <c r="A243" s="8">
        <v>42920</v>
      </c>
      <c r="B243" s="9">
        <v>0.43541666666666662</v>
      </c>
      <c r="C243" s="10" t="str">
        <f>"FES1162559992"</f>
        <v>FES1162559992</v>
      </c>
      <c r="D243" s="10" t="s">
        <v>19</v>
      </c>
      <c r="E243" s="10" t="s">
        <v>272</v>
      </c>
      <c r="F243" s="10" t="str">
        <f>"2170572296 "</f>
        <v xml:space="preserve">2170572296 </v>
      </c>
      <c r="G243" s="10" t="str">
        <f t="shared" si="5"/>
        <v>ON1</v>
      </c>
      <c r="H243" s="10" t="s">
        <v>21</v>
      </c>
      <c r="I243" s="10" t="s">
        <v>166</v>
      </c>
      <c r="J243" s="10" t="str">
        <f>""</f>
        <v/>
      </c>
      <c r="K243" s="10" t="str">
        <f>"PFES1162559992_0001"</f>
        <v>PFES1162559992_0001</v>
      </c>
      <c r="L243" s="10">
        <v>1</v>
      </c>
      <c r="M243" s="10">
        <v>1</v>
      </c>
    </row>
    <row r="244" spans="1:13">
      <c r="A244" s="8">
        <v>42920</v>
      </c>
      <c r="B244" s="9">
        <v>0.43472222222222223</v>
      </c>
      <c r="C244" s="10" t="str">
        <f>"FES1162559973"</f>
        <v>FES1162559973</v>
      </c>
      <c r="D244" s="10" t="s">
        <v>19</v>
      </c>
      <c r="E244" s="10" t="s">
        <v>25</v>
      </c>
      <c r="F244" s="10" t="str">
        <f>"2170576985 "</f>
        <v xml:space="preserve">2170576985 </v>
      </c>
      <c r="G244" s="10" t="str">
        <f t="shared" si="5"/>
        <v>ON1</v>
      </c>
      <c r="H244" s="10" t="s">
        <v>21</v>
      </c>
      <c r="I244" s="10" t="s">
        <v>26</v>
      </c>
      <c r="J244" s="10" t="str">
        <f>""</f>
        <v/>
      </c>
      <c r="K244" s="10" t="str">
        <f>"PFES1162559973_0001"</f>
        <v>PFES1162559973_0001</v>
      </c>
      <c r="L244" s="10">
        <v>1</v>
      </c>
      <c r="M244" s="10">
        <v>1</v>
      </c>
    </row>
    <row r="245" spans="1:13">
      <c r="A245" s="8">
        <v>42920</v>
      </c>
      <c r="B245" s="9">
        <v>0.43333333333333335</v>
      </c>
      <c r="C245" s="10" t="str">
        <f>"FES1162560181"</f>
        <v>FES1162560181</v>
      </c>
      <c r="D245" s="10" t="s">
        <v>19</v>
      </c>
      <c r="E245" s="10" t="s">
        <v>282</v>
      </c>
      <c r="F245" s="10" t="str">
        <f>"2170576973 "</f>
        <v xml:space="preserve">2170576973 </v>
      </c>
      <c r="G245" s="10" t="str">
        <f t="shared" si="5"/>
        <v>ON1</v>
      </c>
      <c r="H245" s="10" t="s">
        <v>21</v>
      </c>
      <c r="I245" s="10" t="s">
        <v>252</v>
      </c>
      <c r="J245" s="10" t="str">
        <f>""</f>
        <v/>
      </c>
      <c r="K245" s="10" t="str">
        <f>"PFES1162560181_0001"</f>
        <v>PFES1162560181_0001</v>
      </c>
      <c r="L245" s="10">
        <v>1</v>
      </c>
      <c r="M245" s="10">
        <v>1</v>
      </c>
    </row>
    <row r="246" spans="1:13">
      <c r="A246" s="8">
        <v>42920</v>
      </c>
      <c r="B246" s="9">
        <v>0.43124999999999997</v>
      </c>
      <c r="C246" s="10" t="str">
        <f>"009935791513"</f>
        <v>009935791513</v>
      </c>
      <c r="D246" s="10" t="s">
        <v>19</v>
      </c>
      <c r="E246" s="10" t="s">
        <v>87</v>
      </c>
      <c r="F246" s="10" t="str">
        <f>"2170575276 1162559764 "</f>
        <v xml:space="preserve">2170575276 1162559764 </v>
      </c>
      <c r="G246" s="10" t="str">
        <f t="shared" si="5"/>
        <v>ON1</v>
      </c>
      <c r="H246" s="10" t="s">
        <v>21</v>
      </c>
      <c r="I246" s="10" t="s">
        <v>88</v>
      </c>
      <c r="J246" s="10" t="str">
        <f>""</f>
        <v/>
      </c>
      <c r="K246" s="10" t="str">
        <f>"P009935791513_0001"</f>
        <v>P009935791513_0001</v>
      </c>
      <c r="L246" s="10">
        <v>1</v>
      </c>
      <c r="M246" s="10">
        <v>1</v>
      </c>
    </row>
    <row r="247" spans="1:13">
      <c r="A247" s="8">
        <v>42920</v>
      </c>
      <c r="B247" s="9">
        <v>0.42499999999999999</v>
      </c>
      <c r="C247" s="10" t="str">
        <f>"FES1162559939"</f>
        <v>FES1162559939</v>
      </c>
      <c r="D247" s="10" t="s">
        <v>19</v>
      </c>
      <c r="E247" s="10" t="s">
        <v>45</v>
      </c>
      <c r="F247" s="10" t="str">
        <f>"2170576929 "</f>
        <v xml:space="preserve">2170576929 </v>
      </c>
      <c r="G247" s="10" t="str">
        <f t="shared" si="5"/>
        <v>ON1</v>
      </c>
      <c r="H247" s="10" t="s">
        <v>21</v>
      </c>
      <c r="I247" s="10" t="s">
        <v>46</v>
      </c>
      <c r="J247" s="10" t="str">
        <f>""</f>
        <v/>
      </c>
      <c r="K247" s="10" t="str">
        <f>"PFES1162559939_0001"</f>
        <v>PFES1162559939_0001</v>
      </c>
      <c r="L247" s="10">
        <v>1</v>
      </c>
      <c r="M247" s="10">
        <v>1</v>
      </c>
    </row>
    <row r="248" spans="1:13">
      <c r="A248" s="8">
        <v>42920</v>
      </c>
      <c r="B248" s="9">
        <v>0.39027777777777778</v>
      </c>
      <c r="C248" s="10" t="str">
        <f>"FES1162560200"</f>
        <v>FES1162560200</v>
      </c>
      <c r="D248" s="10" t="s">
        <v>19</v>
      </c>
      <c r="E248" s="10" t="s">
        <v>283</v>
      </c>
      <c r="F248" s="10" t="str">
        <f>"2170577017 "</f>
        <v xml:space="preserve">2170577017 </v>
      </c>
      <c r="G248" s="10" t="str">
        <f>"SDX"</f>
        <v>SDX</v>
      </c>
      <c r="H248" s="10" t="s">
        <v>21</v>
      </c>
      <c r="I248" s="10" t="s">
        <v>234</v>
      </c>
      <c r="J248" s="10" t="str">
        <f>"SAMEDAY DELIVERY"</f>
        <v>SAMEDAY DELIVERY</v>
      </c>
      <c r="K248" s="10" t="str">
        <f>"PFES1162560200_0001"</f>
        <v>PFES1162560200_0001</v>
      </c>
      <c r="L248" s="10">
        <v>1</v>
      </c>
      <c r="M248" s="10">
        <v>3</v>
      </c>
    </row>
    <row r="249" spans="1:13">
      <c r="A249" s="8">
        <v>42920</v>
      </c>
      <c r="B249" s="9">
        <v>0.69097222222222221</v>
      </c>
      <c r="C249" s="10" t="str">
        <f>"FES1162560349"</f>
        <v>FES1162560349</v>
      </c>
      <c r="D249" s="10" t="s">
        <v>19</v>
      </c>
      <c r="E249" s="10" t="s">
        <v>284</v>
      </c>
      <c r="F249" s="10" t="str">
        <f>"2170577165 "</f>
        <v xml:space="preserve">2170577165 </v>
      </c>
      <c r="G249" s="10" t="str">
        <f t="shared" ref="G249:G264" si="6">"ON1"</f>
        <v>ON1</v>
      </c>
      <c r="H249" s="10" t="s">
        <v>21</v>
      </c>
      <c r="I249" s="10" t="s">
        <v>285</v>
      </c>
      <c r="J249" s="10" t="str">
        <f>""</f>
        <v/>
      </c>
      <c r="K249" s="10" t="str">
        <f>"PFES1162560349_0001"</f>
        <v>PFES1162560349_0001</v>
      </c>
      <c r="L249" s="10">
        <v>1</v>
      </c>
      <c r="M249" s="10">
        <v>2</v>
      </c>
    </row>
    <row r="250" spans="1:13">
      <c r="A250" s="8">
        <v>42920</v>
      </c>
      <c r="B250" s="9">
        <v>0.69027777777777777</v>
      </c>
      <c r="C250" s="10" t="str">
        <f>"FES1162560330"</f>
        <v>FES1162560330</v>
      </c>
      <c r="D250" s="10" t="s">
        <v>19</v>
      </c>
      <c r="E250" s="10" t="s">
        <v>286</v>
      </c>
      <c r="F250" s="10" t="str">
        <f>"2170577145 "</f>
        <v xml:space="preserve">2170577145 </v>
      </c>
      <c r="G250" s="10" t="str">
        <f t="shared" si="6"/>
        <v>ON1</v>
      </c>
      <c r="H250" s="10" t="s">
        <v>21</v>
      </c>
      <c r="I250" s="10" t="s">
        <v>177</v>
      </c>
      <c r="J250" s="10" t="str">
        <f>""</f>
        <v/>
      </c>
      <c r="K250" s="10" t="str">
        <f>"PFES1162560330_0001"</f>
        <v>PFES1162560330_0001</v>
      </c>
      <c r="L250" s="10">
        <v>1</v>
      </c>
      <c r="M250" s="10">
        <v>1</v>
      </c>
    </row>
    <row r="251" spans="1:13">
      <c r="A251" s="8">
        <v>42920</v>
      </c>
      <c r="B251" s="9">
        <v>0.68958333333333333</v>
      </c>
      <c r="C251" s="10" t="str">
        <f>"FES1162560281"</f>
        <v>FES1162560281</v>
      </c>
      <c r="D251" s="10" t="s">
        <v>19</v>
      </c>
      <c r="E251" s="10" t="s">
        <v>287</v>
      </c>
      <c r="F251" s="10" t="str">
        <f>"2170577103 "</f>
        <v xml:space="preserve">2170577103 </v>
      </c>
      <c r="G251" s="10" t="str">
        <f t="shared" si="6"/>
        <v>ON1</v>
      </c>
      <c r="H251" s="10" t="s">
        <v>21</v>
      </c>
      <c r="I251" s="10" t="s">
        <v>177</v>
      </c>
      <c r="J251" s="10" t="str">
        <f>""</f>
        <v/>
      </c>
      <c r="K251" s="10" t="str">
        <f>"PFES1162560281_0001"</f>
        <v>PFES1162560281_0001</v>
      </c>
      <c r="L251" s="10">
        <v>1</v>
      </c>
      <c r="M251" s="10">
        <v>1</v>
      </c>
    </row>
    <row r="252" spans="1:13">
      <c r="A252" s="8">
        <v>42920</v>
      </c>
      <c r="B252" s="9">
        <v>0.68888888888888899</v>
      </c>
      <c r="C252" s="10" t="str">
        <f>"FES1162560288"</f>
        <v>FES1162560288</v>
      </c>
      <c r="D252" s="10" t="s">
        <v>19</v>
      </c>
      <c r="E252" s="10" t="s">
        <v>288</v>
      </c>
      <c r="F252" s="10" t="str">
        <f>"2170577114 "</f>
        <v xml:space="preserve">2170577114 </v>
      </c>
      <c r="G252" s="10" t="str">
        <f t="shared" si="6"/>
        <v>ON1</v>
      </c>
      <c r="H252" s="10" t="s">
        <v>21</v>
      </c>
      <c r="I252" s="10" t="s">
        <v>177</v>
      </c>
      <c r="J252" s="10" t="str">
        <f>""</f>
        <v/>
      </c>
      <c r="K252" s="10" t="str">
        <f>"PFES1162560288_0001"</f>
        <v>PFES1162560288_0001</v>
      </c>
      <c r="L252" s="10">
        <v>1</v>
      </c>
      <c r="M252" s="10">
        <v>1</v>
      </c>
    </row>
    <row r="253" spans="1:13">
      <c r="A253" s="8">
        <v>42920</v>
      </c>
      <c r="B253" s="9">
        <v>0.68819444444444444</v>
      </c>
      <c r="C253" s="10" t="str">
        <f>"FES1162560356"</f>
        <v>FES1162560356</v>
      </c>
      <c r="D253" s="10" t="s">
        <v>19</v>
      </c>
      <c r="E253" s="10" t="s">
        <v>105</v>
      </c>
      <c r="F253" s="10" t="str">
        <f>"2170576756 "</f>
        <v xml:space="preserve">2170576756 </v>
      </c>
      <c r="G253" s="10" t="str">
        <f t="shared" si="6"/>
        <v>ON1</v>
      </c>
      <c r="H253" s="10" t="s">
        <v>21</v>
      </c>
      <c r="I253" s="10" t="s">
        <v>106</v>
      </c>
      <c r="J253" s="10" t="str">
        <f>""</f>
        <v/>
      </c>
      <c r="K253" s="10" t="str">
        <f>"PFES1162560356_0001"</f>
        <v>PFES1162560356_0001</v>
      </c>
      <c r="L253" s="10">
        <v>1</v>
      </c>
      <c r="M253" s="10">
        <v>1</v>
      </c>
    </row>
    <row r="254" spans="1:13">
      <c r="A254" s="8">
        <v>42920</v>
      </c>
      <c r="B254" s="9">
        <v>0.6875</v>
      </c>
      <c r="C254" s="10" t="str">
        <f>"FES1162560315"</f>
        <v>FES1162560315</v>
      </c>
      <c r="D254" s="10" t="s">
        <v>19</v>
      </c>
      <c r="E254" s="10" t="s">
        <v>289</v>
      </c>
      <c r="F254" s="10" t="str">
        <f>"2170576593 "</f>
        <v xml:space="preserve">2170576593 </v>
      </c>
      <c r="G254" s="10" t="str">
        <f t="shared" si="6"/>
        <v>ON1</v>
      </c>
      <c r="H254" s="10" t="s">
        <v>21</v>
      </c>
      <c r="I254" s="10" t="s">
        <v>38</v>
      </c>
      <c r="J254" s="10" t="str">
        <f>""</f>
        <v/>
      </c>
      <c r="K254" s="10" t="str">
        <f>"PFES1162560315_0001"</f>
        <v>PFES1162560315_0001</v>
      </c>
      <c r="L254" s="10">
        <v>1</v>
      </c>
      <c r="M254" s="10">
        <v>7</v>
      </c>
    </row>
    <row r="255" spans="1:13">
      <c r="A255" s="8">
        <v>42920</v>
      </c>
      <c r="B255" s="9">
        <v>0.6875</v>
      </c>
      <c r="C255" s="10" t="str">
        <f>"FES1162560348"</f>
        <v>FES1162560348</v>
      </c>
      <c r="D255" s="10" t="s">
        <v>19</v>
      </c>
      <c r="E255" s="10" t="s">
        <v>266</v>
      </c>
      <c r="F255" s="10" t="str">
        <f>"2170577161 "</f>
        <v xml:space="preserve">2170577161 </v>
      </c>
      <c r="G255" s="10" t="str">
        <f t="shared" si="6"/>
        <v>ON1</v>
      </c>
      <c r="H255" s="10" t="s">
        <v>21</v>
      </c>
      <c r="I255" s="10" t="s">
        <v>290</v>
      </c>
      <c r="J255" s="10" t="str">
        <f>""</f>
        <v/>
      </c>
      <c r="K255" s="10" t="str">
        <f>"PFES1162560348_0001"</f>
        <v>PFES1162560348_0001</v>
      </c>
      <c r="L255" s="10">
        <v>1</v>
      </c>
      <c r="M255" s="10">
        <v>1</v>
      </c>
    </row>
    <row r="256" spans="1:13">
      <c r="A256" s="8">
        <v>42920</v>
      </c>
      <c r="B256" s="9">
        <v>0.6875</v>
      </c>
      <c r="C256" s="10" t="str">
        <f>"FES1162560347"</f>
        <v>FES1162560347</v>
      </c>
      <c r="D256" s="10" t="s">
        <v>19</v>
      </c>
      <c r="E256" s="10" t="s">
        <v>288</v>
      </c>
      <c r="F256" s="10" t="str">
        <f>"2170577160 "</f>
        <v xml:space="preserve">2170577160 </v>
      </c>
      <c r="G256" s="10" t="str">
        <f t="shared" si="6"/>
        <v>ON1</v>
      </c>
      <c r="H256" s="10" t="s">
        <v>21</v>
      </c>
      <c r="I256" s="10" t="s">
        <v>177</v>
      </c>
      <c r="J256" s="10" t="str">
        <f>""</f>
        <v/>
      </c>
      <c r="K256" s="10" t="str">
        <f>"PFES1162560347_0001"</f>
        <v>PFES1162560347_0001</v>
      </c>
      <c r="L256" s="10">
        <v>1</v>
      </c>
      <c r="M256" s="10">
        <v>1</v>
      </c>
    </row>
    <row r="257" spans="1:13">
      <c r="A257" s="8">
        <v>42920</v>
      </c>
      <c r="B257" s="9">
        <v>0.6875</v>
      </c>
      <c r="C257" s="10" t="str">
        <f>"FES1162560291"</f>
        <v>FES1162560291</v>
      </c>
      <c r="D257" s="10" t="s">
        <v>19</v>
      </c>
      <c r="E257" s="10" t="s">
        <v>291</v>
      </c>
      <c r="F257" s="10" t="str">
        <f>"2170577118 "</f>
        <v xml:space="preserve">2170577118 </v>
      </c>
      <c r="G257" s="10" t="str">
        <f t="shared" si="6"/>
        <v>ON1</v>
      </c>
      <c r="H257" s="10" t="s">
        <v>21</v>
      </c>
      <c r="I257" s="10" t="s">
        <v>109</v>
      </c>
      <c r="J257" s="10" t="str">
        <f>""</f>
        <v/>
      </c>
      <c r="K257" s="10" t="str">
        <f>"PFES1162560291_0001"</f>
        <v>PFES1162560291_0001</v>
      </c>
      <c r="L257" s="10">
        <v>1</v>
      </c>
      <c r="M257" s="10">
        <v>1</v>
      </c>
    </row>
    <row r="258" spans="1:13">
      <c r="A258" s="8">
        <v>42920</v>
      </c>
      <c r="B258" s="9">
        <v>0.68680555555555556</v>
      </c>
      <c r="C258" s="10" t="str">
        <f>"FES1162559996"</f>
        <v>FES1162559996</v>
      </c>
      <c r="D258" s="10" t="s">
        <v>19</v>
      </c>
      <c r="E258" s="10" t="s">
        <v>292</v>
      </c>
      <c r="F258" s="10" t="str">
        <f>"2170572761 "</f>
        <v xml:space="preserve">2170572761 </v>
      </c>
      <c r="G258" s="10" t="str">
        <f t="shared" si="6"/>
        <v>ON1</v>
      </c>
      <c r="H258" s="10" t="s">
        <v>21</v>
      </c>
      <c r="I258" s="10" t="s">
        <v>100</v>
      </c>
      <c r="J258" s="10" t="str">
        <f>""</f>
        <v/>
      </c>
      <c r="K258" s="10" t="str">
        <f>"PFES1162559996_0001"</f>
        <v>PFES1162559996_0001</v>
      </c>
      <c r="L258" s="10">
        <v>1</v>
      </c>
      <c r="M258" s="10">
        <v>1</v>
      </c>
    </row>
    <row r="259" spans="1:13">
      <c r="A259" s="8">
        <v>42920</v>
      </c>
      <c r="B259" s="9">
        <v>0.68680555555555556</v>
      </c>
      <c r="C259" s="10" t="str">
        <f>"FES1162560241"</f>
        <v>FES1162560241</v>
      </c>
      <c r="D259" s="10" t="s">
        <v>19</v>
      </c>
      <c r="E259" s="10" t="s">
        <v>108</v>
      </c>
      <c r="F259" s="10" t="str">
        <f>"2170577065 "</f>
        <v xml:space="preserve">2170577065 </v>
      </c>
      <c r="G259" s="10" t="str">
        <f t="shared" si="6"/>
        <v>ON1</v>
      </c>
      <c r="H259" s="10" t="s">
        <v>21</v>
      </c>
      <c r="I259" s="10" t="s">
        <v>109</v>
      </c>
      <c r="J259" s="10" t="str">
        <f>""</f>
        <v/>
      </c>
      <c r="K259" s="10" t="str">
        <f>"PFES1162560241_0001"</f>
        <v>PFES1162560241_0001</v>
      </c>
      <c r="L259" s="10">
        <v>1</v>
      </c>
      <c r="M259" s="10">
        <v>1</v>
      </c>
    </row>
    <row r="260" spans="1:13">
      <c r="A260" s="8">
        <v>42920</v>
      </c>
      <c r="B260" s="9">
        <v>0.68680555555555556</v>
      </c>
      <c r="C260" s="10" t="str">
        <f>"FES1162560382"</f>
        <v>FES1162560382</v>
      </c>
      <c r="D260" s="10" t="s">
        <v>19</v>
      </c>
      <c r="E260" s="10" t="s">
        <v>89</v>
      </c>
      <c r="F260" s="10" t="str">
        <f>"2170577222 "</f>
        <v xml:space="preserve">2170577222 </v>
      </c>
      <c r="G260" s="10" t="str">
        <f t="shared" si="6"/>
        <v>ON1</v>
      </c>
      <c r="H260" s="10" t="s">
        <v>21</v>
      </c>
      <c r="I260" s="10" t="s">
        <v>90</v>
      </c>
      <c r="J260" s="10" t="str">
        <f>""</f>
        <v/>
      </c>
      <c r="K260" s="10" t="str">
        <f>"PFES1162560382_0001"</f>
        <v>PFES1162560382_0001</v>
      </c>
      <c r="L260" s="10">
        <v>1</v>
      </c>
      <c r="M260" s="10">
        <v>4</v>
      </c>
    </row>
    <row r="261" spans="1:13">
      <c r="A261" s="8">
        <v>42920</v>
      </c>
      <c r="B261" s="9">
        <v>0.68680555555555556</v>
      </c>
      <c r="C261" s="10" t="str">
        <f>"FES1162560368"</f>
        <v>FES1162560368</v>
      </c>
      <c r="D261" s="10" t="s">
        <v>19</v>
      </c>
      <c r="E261" s="10" t="s">
        <v>293</v>
      </c>
      <c r="F261" s="10" t="str">
        <f>"2170577207 "</f>
        <v xml:space="preserve">2170577207 </v>
      </c>
      <c r="G261" s="10" t="str">
        <f t="shared" si="6"/>
        <v>ON1</v>
      </c>
      <c r="H261" s="10" t="s">
        <v>21</v>
      </c>
      <c r="I261" s="10" t="s">
        <v>142</v>
      </c>
      <c r="J261" s="10" t="str">
        <f>""</f>
        <v/>
      </c>
      <c r="K261" s="10" t="str">
        <f>"PFES1162560368_0001"</f>
        <v>PFES1162560368_0001</v>
      </c>
      <c r="L261" s="10">
        <v>1</v>
      </c>
      <c r="M261" s="10">
        <v>1</v>
      </c>
    </row>
    <row r="262" spans="1:13">
      <c r="A262" s="8">
        <v>42920</v>
      </c>
      <c r="B262" s="9">
        <v>0.68611111111111101</v>
      </c>
      <c r="C262" s="10" t="str">
        <f>"FES1162560381"</f>
        <v>FES1162560381</v>
      </c>
      <c r="D262" s="10" t="s">
        <v>19</v>
      </c>
      <c r="E262" s="10" t="s">
        <v>47</v>
      </c>
      <c r="F262" s="10" t="str">
        <f>"2170577221 "</f>
        <v xml:space="preserve">2170577221 </v>
      </c>
      <c r="G262" s="10" t="str">
        <f t="shared" si="6"/>
        <v>ON1</v>
      </c>
      <c r="H262" s="10" t="s">
        <v>21</v>
      </c>
      <c r="I262" s="10" t="s">
        <v>48</v>
      </c>
      <c r="J262" s="10" t="str">
        <f>""</f>
        <v/>
      </c>
      <c r="K262" s="10" t="str">
        <f>"PFES1162560381_0001"</f>
        <v>PFES1162560381_0001</v>
      </c>
      <c r="L262" s="10">
        <v>1</v>
      </c>
      <c r="M262" s="10">
        <v>4</v>
      </c>
    </row>
    <row r="263" spans="1:13">
      <c r="A263" s="8">
        <v>42920</v>
      </c>
      <c r="B263" s="9">
        <v>0.68611111111111101</v>
      </c>
      <c r="C263" s="10" t="str">
        <f>"FES1162560358"</f>
        <v>FES1162560358</v>
      </c>
      <c r="D263" s="10" t="s">
        <v>19</v>
      </c>
      <c r="E263" s="10" t="s">
        <v>294</v>
      </c>
      <c r="F263" s="10" t="str">
        <f>"2170576947 "</f>
        <v xml:space="preserve">2170576947 </v>
      </c>
      <c r="G263" s="10" t="str">
        <f t="shared" si="6"/>
        <v>ON1</v>
      </c>
      <c r="H263" s="10" t="s">
        <v>21</v>
      </c>
      <c r="I263" s="10" t="s">
        <v>259</v>
      </c>
      <c r="J263" s="10" t="str">
        <f>""</f>
        <v/>
      </c>
      <c r="K263" s="10" t="str">
        <f>"PFES1162560358_0001"</f>
        <v>PFES1162560358_0001</v>
      </c>
      <c r="L263" s="10">
        <v>1</v>
      </c>
      <c r="M263" s="10">
        <v>1</v>
      </c>
    </row>
    <row r="264" spans="1:13">
      <c r="A264" s="8">
        <v>42920</v>
      </c>
      <c r="B264" s="9">
        <v>0.68541666666666667</v>
      </c>
      <c r="C264" s="10" t="str">
        <f>"FES1162560256"</f>
        <v>FES1162560256</v>
      </c>
      <c r="D264" s="10" t="s">
        <v>19</v>
      </c>
      <c r="E264" s="10" t="s">
        <v>295</v>
      </c>
      <c r="F264" s="10" t="str">
        <f>"2170577080 "</f>
        <v xml:space="preserve">2170577080 </v>
      </c>
      <c r="G264" s="10" t="str">
        <f t="shared" si="6"/>
        <v>ON1</v>
      </c>
      <c r="H264" s="10" t="s">
        <v>21</v>
      </c>
      <c r="I264" s="10" t="s">
        <v>179</v>
      </c>
      <c r="J264" s="10" t="str">
        <f>""</f>
        <v/>
      </c>
      <c r="K264" s="10" t="str">
        <f>"PFES1162560256_0001"</f>
        <v>PFES1162560256_0001</v>
      </c>
      <c r="L264" s="10">
        <v>1</v>
      </c>
      <c r="M264" s="10">
        <v>18</v>
      </c>
    </row>
    <row r="265" spans="1:13">
      <c r="A265" s="8">
        <v>42920</v>
      </c>
      <c r="B265" s="9">
        <v>0.68541666666666667</v>
      </c>
      <c r="C265" s="10" t="str">
        <f>"FES1162560278"</f>
        <v>FES1162560278</v>
      </c>
      <c r="D265" s="10" t="s">
        <v>19</v>
      </c>
      <c r="E265" s="10" t="s">
        <v>287</v>
      </c>
      <c r="F265" s="10" t="str">
        <f>"2170577100 "</f>
        <v xml:space="preserve">2170577100 </v>
      </c>
      <c r="G265" s="10" t="str">
        <f>"DBC"</f>
        <v>DBC</v>
      </c>
      <c r="H265" s="10" t="s">
        <v>21</v>
      </c>
      <c r="I265" s="10" t="s">
        <v>177</v>
      </c>
      <c r="J265" s="10" t="str">
        <f>""</f>
        <v/>
      </c>
      <c r="K265" s="10" t="str">
        <f>"PFES1162560278_0001"</f>
        <v>PFES1162560278_0001</v>
      </c>
      <c r="L265" s="10">
        <v>1</v>
      </c>
      <c r="M265" s="10">
        <v>5</v>
      </c>
    </row>
    <row r="266" spans="1:13">
      <c r="A266" s="8">
        <v>42920</v>
      </c>
      <c r="B266" s="9">
        <v>0.68541666666666667</v>
      </c>
      <c r="C266" s="10" t="str">
        <f>"FES1162560352"</f>
        <v>FES1162560352</v>
      </c>
      <c r="D266" s="10" t="s">
        <v>19</v>
      </c>
      <c r="E266" s="10" t="s">
        <v>296</v>
      </c>
      <c r="F266" s="10" t="str">
        <f>"2170577175 "</f>
        <v xml:space="preserve">2170577175 </v>
      </c>
      <c r="G266" s="10" t="str">
        <f t="shared" ref="G266:G278" si="7">"ON1"</f>
        <v>ON1</v>
      </c>
      <c r="H266" s="10" t="s">
        <v>21</v>
      </c>
      <c r="I266" s="10" t="s">
        <v>90</v>
      </c>
      <c r="J266" s="10" t="str">
        <f>""</f>
        <v/>
      </c>
      <c r="K266" s="10" t="str">
        <f>"PFES1162560352_0001"</f>
        <v>PFES1162560352_0001</v>
      </c>
      <c r="L266" s="10">
        <v>1</v>
      </c>
      <c r="M266" s="10">
        <v>1</v>
      </c>
    </row>
    <row r="267" spans="1:13">
      <c r="A267" s="8">
        <v>42920</v>
      </c>
      <c r="B267" s="9">
        <v>0.68472222222222223</v>
      </c>
      <c r="C267" s="10" t="str">
        <f>"FES1162560367"</f>
        <v>FES1162560367</v>
      </c>
      <c r="D267" s="10" t="s">
        <v>19</v>
      </c>
      <c r="E267" s="10" t="s">
        <v>184</v>
      </c>
      <c r="F267" s="10" t="str">
        <f>"2170573180 "</f>
        <v xml:space="preserve">2170573180 </v>
      </c>
      <c r="G267" s="10" t="str">
        <f t="shared" si="7"/>
        <v>ON1</v>
      </c>
      <c r="H267" s="10" t="s">
        <v>21</v>
      </c>
      <c r="I267" s="10" t="s">
        <v>185</v>
      </c>
      <c r="J267" s="10" t="str">
        <f>""</f>
        <v/>
      </c>
      <c r="K267" s="10" t="str">
        <f>"PFES1162560367_0001"</f>
        <v>PFES1162560367_0001</v>
      </c>
      <c r="L267" s="10">
        <v>1</v>
      </c>
      <c r="M267" s="10">
        <v>3</v>
      </c>
    </row>
    <row r="268" spans="1:13">
      <c r="A268" s="8">
        <v>42920</v>
      </c>
      <c r="B268" s="9">
        <v>0.68472222222222223</v>
      </c>
      <c r="C268" s="10" t="str">
        <f>"FES1162559851"</f>
        <v>FES1162559851</v>
      </c>
      <c r="D268" s="10" t="s">
        <v>19</v>
      </c>
      <c r="E268" s="10" t="s">
        <v>297</v>
      </c>
      <c r="F268" s="10" t="str">
        <f>"2170572791 "</f>
        <v xml:space="preserve">2170572791 </v>
      </c>
      <c r="G268" s="10" t="str">
        <f t="shared" si="7"/>
        <v>ON1</v>
      </c>
      <c r="H268" s="10" t="s">
        <v>21</v>
      </c>
      <c r="I268" s="10" t="s">
        <v>98</v>
      </c>
      <c r="J268" s="10" t="str">
        <f>""</f>
        <v/>
      </c>
      <c r="K268" s="10" t="str">
        <f>"PFES1162559851_0001"</f>
        <v>PFES1162559851_0001</v>
      </c>
      <c r="L268" s="10">
        <v>1</v>
      </c>
      <c r="M268" s="10">
        <v>4</v>
      </c>
    </row>
    <row r="269" spans="1:13">
      <c r="A269" s="8">
        <v>42920</v>
      </c>
      <c r="B269" s="9">
        <v>0.68333333333333324</v>
      </c>
      <c r="C269" s="10" t="str">
        <f>"FES1162560376"</f>
        <v>FES1162560376</v>
      </c>
      <c r="D269" s="10" t="s">
        <v>19</v>
      </c>
      <c r="E269" s="10" t="s">
        <v>272</v>
      </c>
      <c r="F269" s="10" t="str">
        <f>"2170577214 "</f>
        <v xml:space="preserve">2170577214 </v>
      </c>
      <c r="G269" s="10" t="str">
        <f t="shared" si="7"/>
        <v>ON1</v>
      </c>
      <c r="H269" s="10" t="s">
        <v>21</v>
      </c>
      <c r="I269" s="10" t="s">
        <v>166</v>
      </c>
      <c r="J269" s="10" t="str">
        <f>""</f>
        <v/>
      </c>
      <c r="K269" s="10" t="str">
        <f>"PFES1162560376_0001"</f>
        <v>PFES1162560376_0001</v>
      </c>
      <c r="L269" s="10">
        <v>1</v>
      </c>
      <c r="M269" s="10">
        <v>3</v>
      </c>
    </row>
    <row r="270" spans="1:13">
      <c r="A270" s="8">
        <v>42920</v>
      </c>
      <c r="B270" s="9">
        <v>0.68263888888888891</v>
      </c>
      <c r="C270" s="10" t="str">
        <f>"FES1162560377"</f>
        <v>FES1162560377</v>
      </c>
      <c r="D270" s="10" t="s">
        <v>19</v>
      </c>
      <c r="E270" s="10" t="s">
        <v>298</v>
      </c>
      <c r="F270" s="10" t="str">
        <f>"2170577217 "</f>
        <v xml:space="preserve">2170577217 </v>
      </c>
      <c r="G270" s="10" t="str">
        <f t="shared" si="7"/>
        <v>ON1</v>
      </c>
      <c r="H270" s="10" t="s">
        <v>21</v>
      </c>
      <c r="I270" s="10" t="s">
        <v>240</v>
      </c>
      <c r="J270" s="10" t="str">
        <f>""</f>
        <v/>
      </c>
      <c r="K270" s="10" t="str">
        <f>"PFES1162560377_0001"</f>
        <v>PFES1162560377_0001</v>
      </c>
      <c r="L270" s="10">
        <v>1</v>
      </c>
      <c r="M270" s="10">
        <v>4</v>
      </c>
    </row>
    <row r="271" spans="1:13">
      <c r="A271" s="8">
        <v>42920</v>
      </c>
      <c r="B271" s="9">
        <v>0.68194444444444446</v>
      </c>
      <c r="C271" s="10" t="str">
        <f>"FES1162560357"</f>
        <v>FES1162560357</v>
      </c>
      <c r="D271" s="10" t="s">
        <v>19</v>
      </c>
      <c r="E271" s="10" t="s">
        <v>25</v>
      </c>
      <c r="F271" s="10" t="str">
        <f>"2170576813 "</f>
        <v xml:space="preserve">2170576813 </v>
      </c>
      <c r="G271" s="10" t="str">
        <f t="shared" si="7"/>
        <v>ON1</v>
      </c>
      <c r="H271" s="10" t="s">
        <v>21</v>
      </c>
      <c r="I271" s="10" t="s">
        <v>26</v>
      </c>
      <c r="J271" s="10" t="str">
        <f>""</f>
        <v/>
      </c>
      <c r="K271" s="10" t="str">
        <f>"PFES1162560357_0001"</f>
        <v>PFES1162560357_0001</v>
      </c>
      <c r="L271" s="10">
        <v>1</v>
      </c>
      <c r="M271" s="10">
        <v>5</v>
      </c>
    </row>
    <row r="272" spans="1:13">
      <c r="A272" s="8">
        <v>42920</v>
      </c>
      <c r="B272" s="9">
        <v>0.67569444444444438</v>
      </c>
      <c r="C272" s="10" t="str">
        <f>"FES1162560355"</f>
        <v>FES1162560355</v>
      </c>
      <c r="D272" s="10" t="s">
        <v>19</v>
      </c>
      <c r="E272" s="10" t="s">
        <v>39</v>
      </c>
      <c r="F272" s="10" t="str">
        <f>"2170576679 "</f>
        <v xml:space="preserve">2170576679 </v>
      </c>
      <c r="G272" s="10" t="str">
        <f t="shared" si="7"/>
        <v>ON1</v>
      </c>
      <c r="H272" s="10" t="s">
        <v>21</v>
      </c>
      <c r="I272" s="10" t="s">
        <v>40</v>
      </c>
      <c r="J272" s="10" t="str">
        <f>""</f>
        <v/>
      </c>
      <c r="K272" s="10" t="str">
        <f>"PFES1162560355_0001"</f>
        <v>PFES1162560355_0001</v>
      </c>
      <c r="L272" s="10">
        <v>1</v>
      </c>
      <c r="M272" s="10">
        <v>1</v>
      </c>
    </row>
    <row r="273" spans="1:13">
      <c r="A273" s="8">
        <v>42920</v>
      </c>
      <c r="B273" s="9">
        <v>0.67569444444444438</v>
      </c>
      <c r="C273" s="10" t="str">
        <f>"FES1162560244"</f>
        <v>FES1162560244</v>
      </c>
      <c r="D273" s="10" t="s">
        <v>19</v>
      </c>
      <c r="E273" s="10" t="s">
        <v>299</v>
      </c>
      <c r="F273" s="10" t="str">
        <f>"2170577071 "</f>
        <v xml:space="preserve">2170577071 </v>
      </c>
      <c r="G273" s="10" t="str">
        <f t="shared" si="7"/>
        <v>ON1</v>
      </c>
      <c r="H273" s="10" t="s">
        <v>21</v>
      </c>
      <c r="I273" s="10" t="s">
        <v>183</v>
      </c>
      <c r="J273" s="10" t="str">
        <f>""</f>
        <v/>
      </c>
      <c r="K273" s="10" t="str">
        <f>"PFES1162560244_0001"</f>
        <v>PFES1162560244_0001</v>
      </c>
      <c r="L273" s="10">
        <v>1</v>
      </c>
      <c r="M273" s="10">
        <v>1</v>
      </c>
    </row>
    <row r="274" spans="1:13">
      <c r="A274" s="8">
        <v>42920</v>
      </c>
      <c r="B274" s="9">
        <v>0.67499999999999993</v>
      </c>
      <c r="C274" s="10" t="str">
        <f>"FES1162560286"</f>
        <v>FES1162560286</v>
      </c>
      <c r="D274" s="10" t="s">
        <v>19</v>
      </c>
      <c r="E274" s="10" t="s">
        <v>288</v>
      </c>
      <c r="F274" s="10" t="str">
        <f>"2170577112 "</f>
        <v xml:space="preserve">2170577112 </v>
      </c>
      <c r="G274" s="10" t="str">
        <f t="shared" si="7"/>
        <v>ON1</v>
      </c>
      <c r="H274" s="10" t="s">
        <v>21</v>
      </c>
      <c r="I274" s="10" t="s">
        <v>300</v>
      </c>
      <c r="J274" s="10" t="str">
        <f>""</f>
        <v/>
      </c>
      <c r="K274" s="10" t="str">
        <f>"PFES1162560286_0001"</f>
        <v>PFES1162560286_0001</v>
      </c>
      <c r="L274" s="10">
        <v>1</v>
      </c>
      <c r="M274" s="10">
        <v>1</v>
      </c>
    </row>
    <row r="275" spans="1:13">
      <c r="A275" s="8">
        <v>42920</v>
      </c>
      <c r="B275" s="9">
        <v>0.67499999999999993</v>
      </c>
      <c r="C275" s="10" t="str">
        <f>"FES1162560041"</f>
        <v>FES1162560041</v>
      </c>
      <c r="D275" s="10" t="s">
        <v>19</v>
      </c>
      <c r="E275" s="10" t="s">
        <v>191</v>
      </c>
      <c r="F275" s="10" t="str">
        <f>"2170574547 "</f>
        <v xml:space="preserve">2170574547 </v>
      </c>
      <c r="G275" s="10" t="str">
        <f t="shared" si="7"/>
        <v>ON1</v>
      </c>
      <c r="H275" s="10" t="s">
        <v>21</v>
      </c>
      <c r="I275" s="10" t="s">
        <v>192</v>
      </c>
      <c r="J275" s="10" t="str">
        <f>""</f>
        <v/>
      </c>
      <c r="K275" s="10" t="str">
        <f>"PFES1162560041_0001"</f>
        <v>PFES1162560041_0001</v>
      </c>
      <c r="L275" s="10">
        <v>1</v>
      </c>
      <c r="M275" s="10">
        <v>1</v>
      </c>
    </row>
    <row r="276" spans="1:13">
      <c r="A276" s="8">
        <v>42920</v>
      </c>
      <c r="B276" s="9">
        <v>0.67499999999999993</v>
      </c>
      <c r="C276" s="10" t="str">
        <f>"FES1162560248"</f>
        <v>FES1162560248</v>
      </c>
      <c r="D276" s="10" t="s">
        <v>19</v>
      </c>
      <c r="E276" s="10" t="s">
        <v>301</v>
      </c>
      <c r="F276" s="10" t="str">
        <f>"2170577062 "</f>
        <v xml:space="preserve">2170577062 </v>
      </c>
      <c r="G276" s="10" t="str">
        <f t="shared" si="7"/>
        <v>ON1</v>
      </c>
      <c r="H276" s="10" t="s">
        <v>21</v>
      </c>
      <c r="I276" s="10" t="s">
        <v>302</v>
      </c>
      <c r="J276" s="10" t="str">
        <f>""</f>
        <v/>
      </c>
      <c r="K276" s="10" t="str">
        <f>"PFES1162560248_0001"</f>
        <v>PFES1162560248_0001</v>
      </c>
      <c r="L276" s="10">
        <v>1</v>
      </c>
      <c r="M276" s="10">
        <v>3</v>
      </c>
    </row>
    <row r="277" spans="1:13">
      <c r="A277" s="8">
        <v>42920</v>
      </c>
      <c r="B277" s="9">
        <v>0.6743055555555556</v>
      </c>
      <c r="C277" s="10" t="str">
        <f>"FES1162560275"</f>
        <v>FES1162560275</v>
      </c>
      <c r="D277" s="10" t="s">
        <v>19</v>
      </c>
      <c r="E277" s="10" t="s">
        <v>303</v>
      </c>
      <c r="F277" s="10" t="str">
        <f>"21705777111 "</f>
        <v xml:space="preserve">21705777111 </v>
      </c>
      <c r="G277" s="10" t="str">
        <f t="shared" si="7"/>
        <v>ON1</v>
      </c>
      <c r="H277" s="10" t="s">
        <v>21</v>
      </c>
      <c r="I277" s="10" t="s">
        <v>119</v>
      </c>
      <c r="J277" s="10" t="str">
        <f>""</f>
        <v/>
      </c>
      <c r="K277" s="10" t="str">
        <f>"PFES1162560275_0001"</f>
        <v>PFES1162560275_0001</v>
      </c>
      <c r="L277" s="10">
        <v>1</v>
      </c>
      <c r="M277" s="10">
        <v>6</v>
      </c>
    </row>
    <row r="278" spans="1:13">
      <c r="A278" s="8">
        <v>42920</v>
      </c>
      <c r="B278" s="9">
        <v>0.6743055555555556</v>
      </c>
      <c r="C278" s="10" t="str">
        <f>"FES1162560277"</f>
        <v>FES1162560277</v>
      </c>
      <c r="D278" s="10" t="s">
        <v>19</v>
      </c>
      <c r="E278" s="10" t="s">
        <v>304</v>
      </c>
      <c r="F278" s="10" t="str">
        <f>"2170577098 "</f>
        <v xml:space="preserve">2170577098 </v>
      </c>
      <c r="G278" s="10" t="str">
        <f t="shared" si="7"/>
        <v>ON1</v>
      </c>
      <c r="H278" s="10" t="s">
        <v>21</v>
      </c>
      <c r="I278" s="10" t="s">
        <v>56</v>
      </c>
      <c r="J278" s="10" t="str">
        <f>""</f>
        <v/>
      </c>
      <c r="K278" s="10" t="str">
        <f>"PFES1162560277_0001"</f>
        <v>PFES1162560277_0001</v>
      </c>
      <c r="L278" s="10">
        <v>1</v>
      </c>
      <c r="M278" s="10">
        <v>6</v>
      </c>
    </row>
    <row r="279" spans="1:13">
      <c r="A279" s="8">
        <v>42920</v>
      </c>
      <c r="B279" s="9">
        <v>0.6743055555555556</v>
      </c>
      <c r="C279" s="10" t="str">
        <f>"FES1162560334"</f>
        <v>FES1162560334</v>
      </c>
      <c r="D279" s="10" t="s">
        <v>19</v>
      </c>
      <c r="E279" s="10" t="s">
        <v>305</v>
      </c>
      <c r="F279" s="10" t="str">
        <f>"2170577149 "</f>
        <v xml:space="preserve">2170577149 </v>
      </c>
      <c r="G279" s="10" t="str">
        <f>"DBC"</f>
        <v>DBC</v>
      </c>
      <c r="H279" s="10" t="s">
        <v>21</v>
      </c>
      <c r="I279" s="10" t="s">
        <v>202</v>
      </c>
      <c r="J279" s="10" t="str">
        <f>""</f>
        <v/>
      </c>
      <c r="K279" s="10" t="str">
        <f>"PFES1162560334_0001"</f>
        <v>PFES1162560334_0001</v>
      </c>
      <c r="L279" s="10">
        <v>1</v>
      </c>
      <c r="M279" s="10">
        <v>22</v>
      </c>
    </row>
    <row r="280" spans="1:13">
      <c r="A280" s="8">
        <v>42920</v>
      </c>
      <c r="B280" s="9">
        <v>0.65972222222222221</v>
      </c>
      <c r="C280" s="10" t="str">
        <f>"FES1162560322"</f>
        <v>FES1162560322</v>
      </c>
      <c r="D280" s="10" t="s">
        <v>19</v>
      </c>
      <c r="E280" s="10" t="s">
        <v>306</v>
      </c>
      <c r="F280" s="10" t="str">
        <f>"21705767898 "</f>
        <v xml:space="preserve">21705767898 </v>
      </c>
      <c r="G280" s="10" t="str">
        <f t="shared" ref="G280:G289" si="8">"ON1"</f>
        <v>ON1</v>
      </c>
      <c r="H280" s="10" t="s">
        <v>21</v>
      </c>
      <c r="I280" s="10" t="s">
        <v>307</v>
      </c>
      <c r="J280" s="10" t="str">
        <f>""</f>
        <v/>
      </c>
      <c r="K280" s="10" t="str">
        <f>"PFES1162560322_0001"</f>
        <v>PFES1162560322_0001</v>
      </c>
      <c r="L280" s="10">
        <v>1</v>
      </c>
      <c r="M280" s="10">
        <v>2</v>
      </c>
    </row>
    <row r="281" spans="1:13">
      <c r="A281" s="8">
        <v>42920</v>
      </c>
      <c r="B281" s="9">
        <v>0.65972222222222221</v>
      </c>
      <c r="C281" s="10" t="str">
        <f>"FES1162560298"</f>
        <v>FES1162560298</v>
      </c>
      <c r="D281" s="10" t="s">
        <v>19</v>
      </c>
      <c r="E281" s="10" t="s">
        <v>308</v>
      </c>
      <c r="F281" s="10" t="str">
        <f>"21705765241 "</f>
        <v xml:space="preserve">21705765241 </v>
      </c>
      <c r="G281" s="10" t="str">
        <f t="shared" si="8"/>
        <v>ON1</v>
      </c>
      <c r="H281" s="10" t="s">
        <v>21</v>
      </c>
      <c r="I281" s="10" t="s">
        <v>309</v>
      </c>
      <c r="J281" s="10" t="str">
        <f>""</f>
        <v/>
      </c>
      <c r="K281" s="10" t="str">
        <f>"PFES1162560298_0001"</f>
        <v>PFES1162560298_0001</v>
      </c>
      <c r="L281" s="10">
        <v>1</v>
      </c>
      <c r="M281" s="10">
        <v>7</v>
      </c>
    </row>
    <row r="282" spans="1:13">
      <c r="A282" s="8">
        <v>42920</v>
      </c>
      <c r="B282" s="9">
        <v>0.65902777777777777</v>
      </c>
      <c r="C282" s="10" t="str">
        <f>"FES1162560254"</f>
        <v>FES1162560254</v>
      </c>
      <c r="D282" s="10" t="s">
        <v>19</v>
      </c>
      <c r="E282" s="10" t="s">
        <v>243</v>
      </c>
      <c r="F282" s="10" t="str">
        <f>"2170576719 "</f>
        <v xml:space="preserve">2170576719 </v>
      </c>
      <c r="G282" s="10" t="str">
        <f t="shared" si="8"/>
        <v>ON1</v>
      </c>
      <c r="H282" s="10" t="s">
        <v>21</v>
      </c>
      <c r="I282" s="10" t="s">
        <v>244</v>
      </c>
      <c r="J282" s="10" t="str">
        <f>""</f>
        <v/>
      </c>
      <c r="K282" s="10" t="str">
        <f>"PFES1162560254_0001"</f>
        <v>PFES1162560254_0001</v>
      </c>
      <c r="L282" s="10">
        <v>1</v>
      </c>
      <c r="M282" s="10">
        <v>1</v>
      </c>
    </row>
    <row r="283" spans="1:13">
      <c r="A283" s="8">
        <v>42920</v>
      </c>
      <c r="B283" s="9">
        <v>0.65902777777777777</v>
      </c>
      <c r="C283" s="10" t="str">
        <f>"FES1162560266"</f>
        <v>FES1162560266</v>
      </c>
      <c r="D283" s="10" t="s">
        <v>19</v>
      </c>
      <c r="E283" s="10" t="s">
        <v>310</v>
      </c>
      <c r="F283" s="10" t="str">
        <f>"2170577088 "</f>
        <v xml:space="preserve">2170577088 </v>
      </c>
      <c r="G283" s="10" t="str">
        <f t="shared" si="8"/>
        <v>ON1</v>
      </c>
      <c r="H283" s="10" t="s">
        <v>21</v>
      </c>
      <c r="I283" s="10" t="s">
        <v>311</v>
      </c>
      <c r="J283" s="10" t="str">
        <f>""</f>
        <v/>
      </c>
      <c r="K283" s="10" t="str">
        <f>"PFES1162560266_0001"</f>
        <v>PFES1162560266_0001</v>
      </c>
      <c r="L283" s="10">
        <v>1</v>
      </c>
      <c r="M283" s="10">
        <v>1</v>
      </c>
    </row>
    <row r="284" spans="1:13">
      <c r="A284" s="8">
        <v>42920</v>
      </c>
      <c r="B284" s="9">
        <v>0.65</v>
      </c>
      <c r="C284" s="10" t="str">
        <f>"FES1162560294"</f>
        <v>FES1162560294</v>
      </c>
      <c r="D284" s="10" t="s">
        <v>19</v>
      </c>
      <c r="E284" s="10" t="s">
        <v>312</v>
      </c>
      <c r="F284" s="10" t="str">
        <f>"2170564580 "</f>
        <v xml:space="preserve">2170564580 </v>
      </c>
      <c r="G284" s="10" t="str">
        <f t="shared" si="8"/>
        <v>ON1</v>
      </c>
      <c r="H284" s="10" t="s">
        <v>21</v>
      </c>
      <c r="I284" s="10" t="s">
        <v>313</v>
      </c>
      <c r="J284" s="10" t="str">
        <f>""</f>
        <v/>
      </c>
      <c r="K284" s="10" t="str">
        <f>"PFES1162560294_0001"</f>
        <v>PFES1162560294_0001</v>
      </c>
      <c r="L284" s="10">
        <v>1</v>
      </c>
      <c r="M284" s="10">
        <v>1</v>
      </c>
    </row>
    <row r="285" spans="1:13">
      <c r="A285" s="8">
        <v>42920</v>
      </c>
      <c r="B285" s="9">
        <v>0.64722222222222225</v>
      </c>
      <c r="C285" s="10" t="str">
        <f>"FES1162560261"</f>
        <v>FES1162560261</v>
      </c>
      <c r="D285" s="10" t="s">
        <v>19</v>
      </c>
      <c r="E285" s="10" t="s">
        <v>314</v>
      </c>
      <c r="F285" s="10" t="str">
        <f>"2170577087 "</f>
        <v xml:space="preserve">2170577087 </v>
      </c>
      <c r="G285" s="10" t="str">
        <f t="shared" si="8"/>
        <v>ON1</v>
      </c>
      <c r="H285" s="10" t="s">
        <v>21</v>
      </c>
      <c r="I285" s="10" t="s">
        <v>90</v>
      </c>
      <c r="J285" s="10" t="str">
        <f>"FRAGILE OIL"</f>
        <v>FRAGILE OIL</v>
      </c>
      <c r="K285" s="10" t="str">
        <f>"PFES1162560261_0001"</f>
        <v>PFES1162560261_0001</v>
      </c>
      <c r="L285" s="10">
        <v>1</v>
      </c>
      <c r="M285" s="10">
        <v>4</v>
      </c>
    </row>
    <row r="286" spans="1:13">
      <c r="A286" s="8">
        <v>42920</v>
      </c>
      <c r="B286" s="9">
        <v>0.64097222222222217</v>
      </c>
      <c r="C286" s="10" t="str">
        <f>"FES1162560329"</f>
        <v>FES1162560329</v>
      </c>
      <c r="D286" s="10" t="s">
        <v>19</v>
      </c>
      <c r="E286" s="10" t="s">
        <v>288</v>
      </c>
      <c r="F286" s="10" t="str">
        <f>"2170577144 "</f>
        <v xml:space="preserve">2170577144 </v>
      </c>
      <c r="G286" s="10" t="str">
        <f t="shared" si="8"/>
        <v>ON1</v>
      </c>
      <c r="H286" s="10" t="s">
        <v>21</v>
      </c>
      <c r="I286" s="10" t="s">
        <v>84</v>
      </c>
      <c r="J286" s="10" t="str">
        <f>""</f>
        <v/>
      </c>
      <c r="K286" s="10" t="str">
        <f>"PFES1162560329_0001"</f>
        <v>PFES1162560329_0001</v>
      </c>
      <c r="L286" s="10">
        <v>1</v>
      </c>
      <c r="M286" s="10">
        <v>1</v>
      </c>
    </row>
    <row r="287" spans="1:13">
      <c r="A287" s="8">
        <v>42920</v>
      </c>
      <c r="B287" s="9">
        <v>0.64027777777777783</v>
      </c>
      <c r="C287" s="10" t="str">
        <f>"FES1162560258"</f>
        <v>FES1162560258</v>
      </c>
      <c r="D287" s="10" t="s">
        <v>19</v>
      </c>
      <c r="E287" s="10" t="s">
        <v>315</v>
      </c>
      <c r="F287" s="10" t="str">
        <f>"2170577082 "</f>
        <v xml:space="preserve">2170577082 </v>
      </c>
      <c r="G287" s="10" t="str">
        <f t="shared" si="8"/>
        <v>ON1</v>
      </c>
      <c r="H287" s="10" t="s">
        <v>21</v>
      </c>
      <c r="I287" s="10" t="s">
        <v>313</v>
      </c>
      <c r="J287" s="10" t="str">
        <f>""</f>
        <v/>
      </c>
      <c r="K287" s="10" t="str">
        <f>"PFES1162560258_0001"</f>
        <v>PFES1162560258_0001</v>
      </c>
      <c r="L287" s="10">
        <v>1</v>
      </c>
      <c r="M287" s="10">
        <v>1</v>
      </c>
    </row>
    <row r="288" spans="1:13">
      <c r="A288" s="8">
        <v>42920</v>
      </c>
      <c r="B288" s="9">
        <v>0.64027777777777783</v>
      </c>
      <c r="C288" s="10" t="str">
        <f>"FES1162560015"</f>
        <v>FES1162560015</v>
      </c>
      <c r="D288" s="10" t="s">
        <v>19</v>
      </c>
      <c r="E288" s="10" t="s">
        <v>316</v>
      </c>
      <c r="F288" s="10" t="str">
        <f>"2170574080 "</f>
        <v xml:space="preserve">2170574080 </v>
      </c>
      <c r="G288" s="10" t="str">
        <f t="shared" si="8"/>
        <v>ON1</v>
      </c>
      <c r="H288" s="10" t="s">
        <v>21</v>
      </c>
      <c r="I288" s="10" t="s">
        <v>157</v>
      </c>
      <c r="J288" s="10" t="str">
        <f>""</f>
        <v/>
      </c>
      <c r="K288" s="10" t="str">
        <f>"PFES1162560015_0001"</f>
        <v>PFES1162560015_0001</v>
      </c>
      <c r="L288" s="10">
        <v>1</v>
      </c>
      <c r="M288" s="10">
        <v>6</v>
      </c>
    </row>
    <row r="289" spans="1:13">
      <c r="A289" s="8">
        <v>42920</v>
      </c>
      <c r="B289" s="9">
        <v>0.64027777777777783</v>
      </c>
      <c r="C289" s="10" t="str">
        <f>"FES1162560326"</f>
        <v>FES1162560326</v>
      </c>
      <c r="D289" s="10" t="s">
        <v>19</v>
      </c>
      <c r="E289" s="10" t="s">
        <v>317</v>
      </c>
      <c r="F289" s="10" t="str">
        <f>"2170577139 "</f>
        <v xml:space="preserve">2170577139 </v>
      </c>
      <c r="G289" s="10" t="str">
        <f t="shared" si="8"/>
        <v>ON1</v>
      </c>
      <c r="H289" s="10" t="s">
        <v>21</v>
      </c>
      <c r="I289" s="10" t="s">
        <v>318</v>
      </c>
      <c r="J289" s="10" t="str">
        <f>""</f>
        <v/>
      </c>
      <c r="K289" s="10" t="str">
        <f>"PFES1162560326_0001"</f>
        <v>PFES1162560326_0001</v>
      </c>
      <c r="L289" s="10">
        <v>1</v>
      </c>
      <c r="M289" s="10">
        <v>1</v>
      </c>
    </row>
    <row r="290" spans="1:13">
      <c r="A290" s="8">
        <v>42920</v>
      </c>
      <c r="B290" s="9">
        <v>0.63958333333333328</v>
      </c>
      <c r="C290" s="10" t="str">
        <f>"FES1162560177"</f>
        <v>FES1162560177</v>
      </c>
      <c r="D290" s="10" t="s">
        <v>19</v>
      </c>
      <c r="E290" s="10" t="s">
        <v>319</v>
      </c>
      <c r="F290" s="10" t="str">
        <f>"2170576946 "</f>
        <v xml:space="preserve">2170576946 </v>
      </c>
      <c r="G290" s="10" t="str">
        <f>"ON2"</f>
        <v>ON2</v>
      </c>
      <c r="H290" s="10" t="s">
        <v>21</v>
      </c>
      <c r="I290" s="10" t="s">
        <v>177</v>
      </c>
      <c r="J290" s="10" t="str">
        <f>""</f>
        <v/>
      </c>
      <c r="K290" s="10" t="str">
        <f>"PFES1162560177_0001"</f>
        <v>PFES1162560177_0001</v>
      </c>
      <c r="L290" s="10">
        <v>1</v>
      </c>
      <c r="M290" s="10">
        <v>4</v>
      </c>
    </row>
    <row r="291" spans="1:13">
      <c r="A291" s="8">
        <v>42920</v>
      </c>
      <c r="B291" s="9">
        <v>0.63958333333333328</v>
      </c>
      <c r="C291" s="10" t="str">
        <f>"FES1162560268"</f>
        <v>FES1162560268</v>
      </c>
      <c r="D291" s="10" t="s">
        <v>19</v>
      </c>
      <c r="E291" s="10" t="s">
        <v>87</v>
      </c>
      <c r="F291" s="10" t="str">
        <f>"2170577090 "</f>
        <v xml:space="preserve">2170577090 </v>
      </c>
      <c r="G291" s="10" t="str">
        <f t="shared" ref="G291:G317" si="9">"ON1"</f>
        <v>ON1</v>
      </c>
      <c r="H291" s="10" t="s">
        <v>21</v>
      </c>
      <c r="I291" s="10" t="s">
        <v>88</v>
      </c>
      <c r="J291" s="10" t="str">
        <f>""</f>
        <v/>
      </c>
      <c r="K291" s="10" t="str">
        <f>"PFES1162560268_0001"</f>
        <v>PFES1162560268_0001</v>
      </c>
      <c r="L291" s="10">
        <v>1</v>
      </c>
      <c r="M291" s="10">
        <v>1</v>
      </c>
    </row>
    <row r="292" spans="1:13">
      <c r="A292" s="8">
        <v>42920</v>
      </c>
      <c r="B292" s="9">
        <v>0.63888888888888895</v>
      </c>
      <c r="C292" s="10" t="str">
        <f>"FES1162560337"</f>
        <v>FES1162560337</v>
      </c>
      <c r="D292" s="10" t="s">
        <v>19</v>
      </c>
      <c r="E292" s="10" t="s">
        <v>320</v>
      </c>
      <c r="F292" s="10" t="str">
        <f>"2170577154 "</f>
        <v xml:space="preserve">2170577154 </v>
      </c>
      <c r="G292" s="10" t="str">
        <f t="shared" si="9"/>
        <v>ON1</v>
      </c>
      <c r="H292" s="10" t="s">
        <v>21</v>
      </c>
      <c r="I292" s="10" t="s">
        <v>32</v>
      </c>
      <c r="J292" s="10" t="str">
        <f>""</f>
        <v/>
      </c>
      <c r="K292" s="10" t="str">
        <f>"PFES1162560337_0001"</f>
        <v>PFES1162560337_0001</v>
      </c>
      <c r="L292" s="10">
        <v>1</v>
      </c>
      <c r="M292" s="10">
        <v>1</v>
      </c>
    </row>
    <row r="293" spans="1:13">
      <c r="A293" s="8">
        <v>42920</v>
      </c>
      <c r="B293" s="9">
        <v>0.63888888888888895</v>
      </c>
      <c r="C293" s="10" t="str">
        <f>"FES1162559984"</f>
        <v>FES1162559984</v>
      </c>
      <c r="D293" s="10" t="s">
        <v>19</v>
      </c>
      <c r="E293" s="10" t="s">
        <v>63</v>
      </c>
      <c r="F293" s="10" t="str">
        <f>"2170576915 "</f>
        <v xml:space="preserve">2170576915 </v>
      </c>
      <c r="G293" s="10" t="str">
        <f t="shared" si="9"/>
        <v>ON1</v>
      </c>
      <c r="H293" s="10" t="s">
        <v>21</v>
      </c>
      <c r="I293" s="10" t="s">
        <v>64</v>
      </c>
      <c r="J293" s="10" t="str">
        <f>""</f>
        <v/>
      </c>
      <c r="K293" s="10" t="str">
        <f>"PFES1162559984_0001"</f>
        <v>PFES1162559984_0001</v>
      </c>
      <c r="L293" s="10">
        <v>1</v>
      </c>
      <c r="M293" s="10">
        <v>1</v>
      </c>
    </row>
    <row r="294" spans="1:13">
      <c r="A294" s="8">
        <v>42920</v>
      </c>
      <c r="B294" s="9">
        <v>0.6381944444444444</v>
      </c>
      <c r="C294" s="10" t="str">
        <f>"FES1162560044"</f>
        <v>FES1162560044</v>
      </c>
      <c r="D294" s="10" t="s">
        <v>19</v>
      </c>
      <c r="E294" s="10" t="s">
        <v>321</v>
      </c>
      <c r="F294" s="10" t="str">
        <f>"2170574580 "</f>
        <v xml:space="preserve">2170574580 </v>
      </c>
      <c r="G294" s="10" t="str">
        <f t="shared" si="9"/>
        <v>ON1</v>
      </c>
      <c r="H294" s="10" t="s">
        <v>21</v>
      </c>
      <c r="I294" s="10" t="s">
        <v>70</v>
      </c>
      <c r="J294" s="10" t="str">
        <f>""</f>
        <v/>
      </c>
      <c r="K294" s="10" t="str">
        <f>"PFES1162560044_0001"</f>
        <v>PFES1162560044_0001</v>
      </c>
      <c r="L294" s="10">
        <v>1</v>
      </c>
      <c r="M294" s="10">
        <v>4</v>
      </c>
    </row>
    <row r="295" spans="1:13">
      <c r="A295" s="8">
        <v>42920</v>
      </c>
      <c r="B295" s="9">
        <v>0.6381944444444444</v>
      </c>
      <c r="C295" s="10" t="str">
        <f>"FES1162560276"</f>
        <v>FES1162560276</v>
      </c>
      <c r="D295" s="10" t="s">
        <v>19</v>
      </c>
      <c r="E295" s="10" t="s">
        <v>322</v>
      </c>
      <c r="F295" s="10" t="str">
        <f>"2170577096 "</f>
        <v xml:space="preserve">2170577096 </v>
      </c>
      <c r="G295" s="10" t="str">
        <f t="shared" si="9"/>
        <v>ON1</v>
      </c>
      <c r="H295" s="10" t="s">
        <v>21</v>
      </c>
      <c r="I295" s="10" t="s">
        <v>202</v>
      </c>
      <c r="J295" s="10" t="str">
        <f>""</f>
        <v/>
      </c>
      <c r="K295" s="10" t="str">
        <f>"PFES1162560276_0001"</f>
        <v>PFES1162560276_0001</v>
      </c>
      <c r="L295" s="10">
        <v>1</v>
      </c>
      <c r="M295" s="10">
        <v>1</v>
      </c>
    </row>
    <row r="296" spans="1:13">
      <c r="A296" s="8">
        <v>42920</v>
      </c>
      <c r="B296" s="9">
        <v>0.6381944444444444</v>
      </c>
      <c r="C296" s="10" t="str">
        <f>"FES1162560156"</f>
        <v>FES1162560156</v>
      </c>
      <c r="D296" s="10" t="s">
        <v>19</v>
      </c>
      <c r="E296" s="10" t="s">
        <v>323</v>
      </c>
      <c r="F296" s="10" t="str">
        <f>"2170576660 "</f>
        <v xml:space="preserve">2170576660 </v>
      </c>
      <c r="G296" s="10" t="str">
        <f t="shared" si="9"/>
        <v>ON1</v>
      </c>
      <c r="H296" s="10" t="s">
        <v>21</v>
      </c>
      <c r="I296" s="10" t="s">
        <v>75</v>
      </c>
      <c r="J296" s="10" t="str">
        <f>""</f>
        <v/>
      </c>
      <c r="K296" s="10" t="str">
        <f>"PFES1162560156_0001"</f>
        <v>PFES1162560156_0001</v>
      </c>
      <c r="L296" s="10">
        <v>1</v>
      </c>
      <c r="M296" s="10">
        <v>1</v>
      </c>
    </row>
    <row r="297" spans="1:13">
      <c r="A297" s="8">
        <v>42920</v>
      </c>
      <c r="B297" s="9">
        <v>0.63750000000000007</v>
      </c>
      <c r="C297" s="10" t="str">
        <f>"FES1162560062"</f>
        <v>FES1162560062</v>
      </c>
      <c r="D297" s="10" t="s">
        <v>19</v>
      </c>
      <c r="E297" s="10" t="s">
        <v>108</v>
      </c>
      <c r="F297" s="10" t="str">
        <f>"2170574785 "</f>
        <v xml:space="preserve">2170574785 </v>
      </c>
      <c r="G297" s="10" t="str">
        <f t="shared" si="9"/>
        <v>ON1</v>
      </c>
      <c r="H297" s="10" t="s">
        <v>21</v>
      </c>
      <c r="I297" s="10" t="s">
        <v>109</v>
      </c>
      <c r="J297" s="10" t="str">
        <f>""</f>
        <v/>
      </c>
      <c r="K297" s="10" t="str">
        <f>"PFES1162560062_0001"</f>
        <v>PFES1162560062_0001</v>
      </c>
      <c r="L297" s="10">
        <v>1</v>
      </c>
      <c r="M297" s="10">
        <v>1</v>
      </c>
    </row>
    <row r="298" spans="1:13">
      <c r="A298" s="8">
        <v>42920</v>
      </c>
      <c r="B298" s="9">
        <v>0.63750000000000007</v>
      </c>
      <c r="C298" s="10" t="str">
        <f>"FES1162560194"</f>
        <v>FES1162560194</v>
      </c>
      <c r="D298" s="10" t="s">
        <v>19</v>
      </c>
      <c r="E298" s="10" t="s">
        <v>324</v>
      </c>
      <c r="F298" s="10" t="str">
        <f>"2170577004 "</f>
        <v xml:space="preserve">2170577004 </v>
      </c>
      <c r="G298" s="10" t="str">
        <f t="shared" si="9"/>
        <v>ON1</v>
      </c>
      <c r="H298" s="10" t="s">
        <v>21</v>
      </c>
      <c r="I298" s="10" t="s">
        <v>325</v>
      </c>
      <c r="J298" s="10" t="str">
        <f>""</f>
        <v/>
      </c>
      <c r="K298" s="10" t="str">
        <f>"PFES1162560194_0001"</f>
        <v>PFES1162560194_0001</v>
      </c>
      <c r="L298" s="10">
        <v>1</v>
      </c>
      <c r="M298" s="10">
        <v>6</v>
      </c>
    </row>
    <row r="299" spans="1:13">
      <c r="A299" s="8">
        <v>42920</v>
      </c>
      <c r="B299" s="9">
        <v>0.63750000000000007</v>
      </c>
      <c r="C299" s="10" t="str">
        <f>"FES1162560147"</f>
        <v>FES1162560147</v>
      </c>
      <c r="D299" s="10" t="s">
        <v>19</v>
      </c>
      <c r="E299" s="10" t="s">
        <v>140</v>
      </c>
      <c r="F299" s="10" t="str">
        <f>"2170576496 "</f>
        <v xml:space="preserve">2170576496 </v>
      </c>
      <c r="G299" s="10" t="str">
        <f t="shared" si="9"/>
        <v>ON1</v>
      </c>
      <c r="H299" s="10" t="s">
        <v>21</v>
      </c>
      <c r="I299" s="10" t="s">
        <v>109</v>
      </c>
      <c r="J299" s="10" t="str">
        <f>""</f>
        <v/>
      </c>
      <c r="K299" s="10" t="str">
        <f>"PFES1162560147_0001"</f>
        <v>PFES1162560147_0001</v>
      </c>
      <c r="L299" s="10">
        <v>1</v>
      </c>
      <c r="M299" s="10">
        <v>1</v>
      </c>
    </row>
    <row r="300" spans="1:13">
      <c r="A300" s="8">
        <v>42920</v>
      </c>
      <c r="B300" s="9">
        <v>0.63680555555555551</v>
      </c>
      <c r="C300" s="10" t="str">
        <f>"FES1162559978"</f>
        <v>FES1162559978</v>
      </c>
      <c r="D300" s="10" t="s">
        <v>19</v>
      </c>
      <c r="E300" s="10" t="s">
        <v>74</v>
      </c>
      <c r="F300" s="10" t="str">
        <f>"2170576996 "</f>
        <v xml:space="preserve">2170576996 </v>
      </c>
      <c r="G300" s="10" t="str">
        <f t="shared" si="9"/>
        <v>ON1</v>
      </c>
      <c r="H300" s="10" t="s">
        <v>21</v>
      </c>
      <c r="I300" s="10" t="s">
        <v>75</v>
      </c>
      <c r="J300" s="10" t="str">
        <f>""</f>
        <v/>
      </c>
      <c r="K300" s="10" t="str">
        <f>"PFES1162559978_0001"</f>
        <v>PFES1162559978_0001</v>
      </c>
      <c r="L300" s="10">
        <v>1</v>
      </c>
      <c r="M300" s="10">
        <v>1</v>
      </c>
    </row>
    <row r="301" spans="1:13">
      <c r="A301" s="8">
        <v>42920</v>
      </c>
      <c r="B301" s="9">
        <v>0.63680555555555551</v>
      </c>
      <c r="C301" s="10" t="str">
        <f>"FES1162560141"</f>
        <v>FES1162560141</v>
      </c>
      <c r="D301" s="10" t="s">
        <v>19</v>
      </c>
      <c r="E301" s="10" t="s">
        <v>326</v>
      </c>
      <c r="F301" s="10" t="str">
        <f>"2170576419 "</f>
        <v xml:space="preserve">2170576419 </v>
      </c>
      <c r="G301" s="10" t="str">
        <f t="shared" si="9"/>
        <v>ON1</v>
      </c>
      <c r="H301" s="10" t="s">
        <v>21</v>
      </c>
      <c r="I301" s="10" t="s">
        <v>327</v>
      </c>
      <c r="J301" s="10" t="str">
        <f>""</f>
        <v/>
      </c>
      <c r="K301" s="10" t="str">
        <f>"PFES1162560141_0001"</f>
        <v>PFES1162560141_0001</v>
      </c>
      <c r="L301" s="10">
        <v>1</v>
      </c>
      <c r="M301" s="10">
        <v>3</v>
      </c>
    </row>
    <row r="302" spans="1:13">
      <c r="A302" s="8">
        <v>42920</v>
      </c>
      <c r="B302" s="9">
        <v>0.63680555555555551</v>
      </c>
      <c r="C302" s="10" t="str">
        <f>"FES1162560327"</f>
        <v>FES1162560327</v>
      </c>
      <c r="D302" s="10" t="s">
        <v>19</v>
      </c>
      <c r="E302" s="10" t="s">
        <v>245</v>
      </c>
      <c r="F302" s="10" t="str">
        <f>"2170577140 "</f>
        <v xml:space="preserve">2170577140 </v>
      </c>
      <c r="G302" s="10" t="str">
        <f t="shared" si="9"/>
        <v>ON1</v>
      </c>
      <c r="H302" s="10" t="s">
        <v>21</v>
      </c>
      <c r="I302" s="10" t="s">
        <v>246</v>
      </c>
      <c r="J302" s="10" t="str">
        <f>""</f>
        <v/>
      </c>
      <c r="K302" s="10" t="str">
        <f>"PFES1162560327_0001"</f>
        <v>PFES1162560327_0001</v>
      </c>
      <c r="L302" s="10">
        <v>1</v>
      </c>
      <c r="M302" s="10">
        <v>1</v>
      </c>
    </row>
    <row r="303" spans="1:13">
      <c r="A303" s="8">
        <v>42920</v>
      </c>
      <c r="B303" s="9">
        <v>0.63611111111111118</v>
      </c>
      <c r="C303" s="10" t="str">
        <f>"FES1162560324"</f>
        <v>FES1162560324</v>
      </c>
      <c r="D303" s="10" t="s">
        <v>19</v>
      </c>
      <c r="E303" s="10" t="s">
        <v>245</v>
      </c>
      <c r="F303" s="10" t="str">
        <f>"2170577136 "</f>
        <v xml:space="preserve">2170577136 </v>
      </c>
      <c r="G303" s="10" t="str">
        <f t="shared" si="9"/>
        <v>ON1</v>
      </c>
      <c r="H303" s="10" t="s">
        <v>21</v>
      </c>
      <c r="I303" s="10" t="s">
        <v>246</v>
      </c>
      <c r="J303" s="10" t="str">
        <f>""</f>
        <v/>
      </c>
      <c r="K303" s="10" t="str">
        <f>"PFES1162560324_0001"</f>
        <v>PFES1162560324_0001</v>
      </c>
      <c r="L303" s="10">
        <v>1</v>
      </c>
      <c r="M303" s="10">
        <v>1</v>
      </c>
    </row>
    <row r="304" spans="1:13">
      <c r="A304" s="8">
        <v>42920</v>
      </c>
      <c r="B304" s="9">
        <v>0.63611111111111118</v>
      </c>
      <c r="C304" s="10" t="str">
        <f>"FES1162560255"</f>
        <v>FES1162560255</v>
      </c>
      <c r="D304" s="10" t="s">
        <v>19</v>
      </c>
      <c r="E304" s="10" t="s">
        <v>245</v>
      </c>
      <c r="F304" s="10" t="str">
        <f>"2170577079 "</f>
        <v xml:space="preserve">2170577079 </v>
      </c>
      <c r="G304" s="10" t="str">
        <f t="shared" si="9"/>
        <v>ON1</v>
      </c>
      <c r="H304" s="10" t="s">
        <v>21</v>
      </c>
      <c r="I304" s="10" t="s">
        <v>246</v>
      </c>
      <c r="J304" s="10" t="str">
        <f>""</f>
        <v/>
      </c>
      <c r="K304" s="10" t="str">
        <f>"PFES1162560255_0001"</f>
        <v>PFES1162560255_0001</v>
      </c>
      <c r="L304" s="10">
        <v>1</v>
      </c>
      <c r="M304" s="10">
        <v>1</v>
      </c>
    </row>
    <row r="305" spans="1:13">
      <c r="A305" s="8">
        <v>42920</v>
      </c>
      <c r="B305" s="9">
        <v>0.63541666666666663</v>
      </c>
      <c r="C305" s="10" t="str">
        <f>"FES1162560148"</f>
        <v>FES1162560148</v>
      </c>
      <c r="D305" s="10" t="s">
        <v>19</v>
      </c>
      <c r="E305" s="10" t="s">
        <v>20</v>
      </c>
      <c r="F305" s="10" t="str">
        <f>"2170576512 "</f>
        <v xml:space="preserve">2170576512 </v>
      </c>
      <c r="G305" s="10" t="str">
        <f t="shared" si="9"/>
        <v>ON1</v>
      </c>
      <c r="H305" s="10" t="s">
        <v>21</v>
      </c>
      <c r="I305" s="10" t="s">
        <v>22</v>
      </c>
      <c r="J305" s="10" t="str">
        <f>""</f>
        <v/>
      </c>
      <c r="K305" s="10" t="str">
        <f>"PFES1162560148_0001"</f>
        <v>PFES1162560148_0001</v>
      </c>
      <c r="L305" s="10">
        <v>1</v>
      </c>
      <c r="M305" s="10">
        <v>4</v>
      </c>
    </row>
    <row r="306" spans="1:13">
      <c r="A306" s="8">
        <v>42920</v>
      </c>
      <c r="B306" s="9">
        <v>0.63541666666666663</v>
      </c>
      <c r="C306" s="10" t="str">
        <f>"FES1162560308"</f>
        <v>FES1162560308</v>
      </c>
      <c r="D306" s="10" t="s">
        <v>19</v>
      </c>
      <c r="E306" s="10" t="s">
        <v>328</v>
      </c>
      <c r="F306" s="10" t="str">
        <f>"2170577129 "</f>
        <v xml:space="preserve">2170577129 </v>
      </c>
      <c r="G306" s="10" t="str">
        <f t="shared" si="9"/>
        <v>ON1</v>
      </c>
      <c r="H306" s="10" t="s">
        <v>21</v>
      </c>
      <c r="I306" s="10" t="s">
        <v>115</v>
      </c>
      <c r="J306" s="10" t="str">
        <f>""</f>
        <v/>
      </c>
      <c r="K306" s="10" t="str">
        <f>"PFES1162560308_0001"</f>
        <v>PFES1162560308_0001</v>
      </c>
      <c r="L306" s="10">
        <v>1</v>
      </c>
      <c r="M306" s="10">
        <v>1</v>
      </c>
    </row>
    <row r="307" spans="1:13">
      <c r="A307" s="8">
        <v>42920</v>
      </c>
      <c r="B307" s="9">
        <v>0.63541666666666663</v>
      </c>
      <c r="C307" s="10" t="str">
        <f>"FES1162560279"</f>
        <v>FES1162560279</v>
      </c>
      <c r="D307" s="10" t="s">
        <v>19</v>
      </c>
      <c r="E307" s="10" t="s">
        <v>62</v>
      </c>
      <c r="F307" s="10" t="str">
        <f>"2170577101 "</f>
        <v xml:space="preserve">2170577101 </v>
      </c>
      <c r="G307" s="10" t="str">
        <f t="shared" si="9"/>
        <v>ON1</v>
      </c>
      <c r="H307" s="10" t="s">
        <v>21</v>
      </c>
      <c r="I307" s="10" t="s">
        <v>40</v>
      </c>
      <c r="J307" s="10" t="str">
        <f>""</f>
        <v/>
      </c>
      <c r="K307" s="10" t="str">
        <f>"PFES1162560279_0001"</f>
        <v>PFES1162560279_0001</v>
      </c>
      <c r="L307" s="10">
        <v>1</v>
      </c>
      <c r="M307" s="10">
        <v>1</v>
      </c>
    </row>
    <row r="308" spans="1:13">
      <c r="A308" s="8">
        <v>42920</v>
      </c>
      <c r="B308" s="9">
        <v>0.63472222222222219</v>
      </c>
      <c r="C308" s="10" t="str">
        <f>"FES1162560328"</f>
        <v>FES1162560328</v>
      </c>
      <c r="D308" s="10" t="s">
        <v>19</v>
      </c>
      <c r="E308" s="10" t="s">
        <v>245</v>
      </c>
      <c r="F308" s="10" t="str">
        <f>"2170577142 "</f>
        <v xml:space="preserve">2170577142 </v>
      </c>
      <c r="G308" s="10" t="str">
        <f t="shared" si="9"/>
        <v>ON1</v>
      </c>
      <c r="H308" s="10" t="s">
        <v>21</v>
      </c>
      <c r="I308" s="10" t="s">
        <v>246</v>
      </c>
      <c r="J308" s="10" t="str">
        <f>""</f>
        <v/>
      </c>
      <c r="K308" s="10" t="str">
        <f>"PFES1162560328_0001"</f>
        <v>PFES1162560328_0001</v>
      </c>
      <c r="L308" s="10">
        <v>1</v>
      </c>
      <c r="M308" s="10">
        <v>1</v>
      </c>
    </row>
    <row r="309" spans="1:13">
      <c r="A309" s="8">
        <v>42920</v>
      </c>
      <c r="B309" s="9">
        <v>0.63472222222222219</v>
      </c>
      <c r="C309" s="10" t="str">
        <f>"FES1162560053"</f>
        <v>FES1162560053</v>
      </c>
      <c r="D309" s="10" t="s">
        <v>19</v>
      </c>
      <c r="E309" s="10" t="s">
        <v>180</v>
      </c>
      <c r="F309" s="10" t="str">
        <f>"2170574709 "</f>
        <v xml:space="preserve">2170574709 </v>
      </c>
      <c r="G309" s="10" t="str">
        <f t="shared" si="9"/>
        <v>ON1</v>
      </c>
      <c r="H309" s="10" t="s">
        <v>21</v>
      </c>
      <c r="I309" s="10" t="s">
        <v>168</v>
      </c>
      <c r="J309" s="10" t="str">
        <f>""</f>
        <v/>
      </c>
      <c r="K309" s="10" t="str">
        <f>"PFES1162560053_0001"</f>
        <v>PFES1162560053_0001</v>
      </c>
      <c r="L309" s="10">
        <v>1</v>
      </c>
      <c r="M309" s="10">
        <v>8</v>
      </c>
    </row>
    <row r="310" spans="1:13">
      <c r="A310" s="8">
        <v>42920</v>
      </c>
      <c r="B310" s="9">
        <v>0.63472222222222219</v>
      </c>
      <c r="C310" s="10" t="str">
        <f>"FES1162560098"</f>
        <v>FES1162560098</v>
      </c>
      <c r="D310" s="10" t="s">
        <v>19</v>
      </c>
      <c r="E310" s="10" t="s">
        <v>329</v>
      </c>
      <c r="F310" s="10" t="str">
        <f>"217057420 "</f>
        <v xml:space="preserve">217057420 </v>
      </c>
      <c r="G310" s="10" t="str">
        <f t="shared" si="9"/>
        <v>ON1</v>
      </c>
      <c r="H310" s="10" t="s">
        <v>21</v>
      </c>
      <c r="I310" s="10" t="s">
        <v>330</v>
      </c>
      <c r="J310" s="10" t="str">
        <f>""</f>
        <v/>
      </c>
      <c r="K310" s="10" t="str">
        <f>"PFES1162560098_0001"</f>
        <v>PFES1162560098_0001</v>
      </c>
      <c r="L310" s="10">
        <v>1</v>
      </c>
      <c r="M310" s="10">
        <v>1</v>
      </c>
    </row>
    <row r="311" spans="1:13">
      <c r="A311" s="8">
        <v>42920</v>
      </c>
      <c r="B311" s="9">
        <v>0.63402777777777775</v>
      </c>
      <c r="C311" s="10" t="str">
        <f>"FES1162560167"</f>
        <v>FES1162560167</v>
      </c>
      <c r="D311" s="10" t="s">
        <v>19</v>
      </c>
      <c r="E311" s="10" t="s">
        <v>20</v>
      </c>
      <c r="F311" s="10" t="str">
        <f>"2170576788 "</f>
        <v xml:space="preserve">2170576788 </v>
      </c>
      <c r="G311" s="10" t="str">
        <f t="shared" si="9"/>
        <v>ON1</v>
      </c>
      <c r="H311" s="10" t="s">
        <v>21</v>
      </c>
      <c r="I311" s="10" t="s">
        <v>22</v>
      </c>
      <c r="J311" s="10" t="str">
        <f>""</f>
        <v/>
      </c>
      <c r="K311" s="10" t="str">
        <f>"PFES1162560167_0001"</f>
        <v>PFES1162560167_0001</v>
      </c>
      <c r="L311" s="10">
        <v>1</v>
      </c>
      <c r="M311" s="10">
        <v>1</v>
      </c>
    </row>
    <row r="312" spans="1:13">
      <c r="A312" s="8">
        <v>42920</v>
      </c>
      <c r="B312" s="9">
        <v>0.63402777777777775</v>
      </c>
      <c r="C312" s="10" t="str">
        <f>"FES1162560292"</f>
        <v>FES1162560292</v>
      </c>
      <c r="D312" s="10" t="s">
        <v>19</v>
      </c>
      <c r="E312" s="10" t="s">
        <v>243</v>
      </c>
      <c r="F312" s="10" t="str">
        <f>"2170577119 "</f>
        <v xml:space="preserve">2170577119 </v>
      </c>
      <c r="G312" s="10" t="str">
        <f t="shared" si="9"/>
        <v>ON1</v>
      </c>
      <c r="H312" s="10" t="s">
        <v>21</v>
      </c>
      <c r="I312" s="10" t="s">
        <v>244</v>
      </c>
      <c r="J312" s="10" t="str">
        <f>""</f>
        <v/>
      </c>
      <c r="K312" s="10" t="str">
        <f>"PFES1162560292_0001"</f>
        <v>PFES1162560292_0001</v>
      </c>
      <c r="L312" s="10">
        <v>1</v>
      </c>
      <c r="M312" s="10">
        <v>7</v>
      </c>
    </row>
    <row r="313" spans="1:13">
      <c r="A313" s="8">
        <v>42920</v>
      </c>
      <c r="B313" s="9">
        <v>0.6333333333333333</v>
      </c>
      <c r="C313" s="10" t="str">
        <f>"FES1162560285"</f>
        <v>FES1162560285</v>
      </c>
      <c r="D313" s="10" t="s">
        <v>19</v>
      </c>
      <c r="E313" s="10" t="s">
        <v>162</v>
      </c>
      <c r="F313" s="10" t="str">
        <f>"2170577109 "</f>
        <v xml:space="preserve">2170577109 </v>
      </c>
      <c r="G313" s="10" t="str">
        <f t="shared" si="9"/>
        <v>ON1</v>
      </c>
      <c r="H313" s="10" t="s">
        <v>21</v>
      </c>
      <c r="I313" s="10" t="s">
        <v>163</v>
      </c>
      <c r="J313" s="10" t="str">
        <f>""</f>
        <v/>
      </c>
      <c r="K313" s="10" t="str">
        <f>"PFES1162560285_0001"</f>
        <v>PFES1162560285_0001</v>
      </c>
      <c r="L313" s="10">
        <v>1</v>
      </c>
      <c r="M313" s="10">
        <v>7</v>
      </c>
    </row>
    <row r="314" spans="1:13">
      <c r="A314" s="8">
        <v>42920</v>
      </c>
      <c r="B314" s="9">
        <v>0.63263888888888886</v>
      </c>
      <c r="C314" s="10" t="str">
        <f>"FES1162560214"</f>
        <v>FES1162560214</v>
      </c>
      <c r="D314" s="10" t="s">
        <v>19</v>
      </c>
      <c r="E314" s="10" t="s">
        <v>331</v>
      </c>
      <c r="F314" s="10" t="str">
        <f>"2170577033 "</f>
        <v xml:space="preserve">2170577033 </v>
      </c>
      <c r="G314" s="10" t="str">
        <f t="shared" si="9"/>
        <v>ON1</v>
      </c>
      <c r="H314" s="10" t="s">
        <v>21</v>
      </c>
      <c r="I314" s="10" t="s">
        <v>332</v>
      </c>
      <c r="J314" s="10" t="str">
        <f>""</f>
        <v/>
      </c>
      <c r="K314" s="10" t="str">
        <f>"PFES1162560214_0001"</f>
        <v>PFES1162560214_0001</v>
      </c>
      <c r="L314" s="10">
        <v>1</v>
      </c>
      <c r="M314" s="10">
        <v>4</v>
      </c>
    </row>
    <row r="315" spans="1:13">
      <c r="A315" s="8">
        <v>42920</v>
      </c>
      <c r="B315" s="9">
        <v>0.63194444444444442</v>
      </c>
      <c r="C315" s="10" t="str">
        <f>"FES1162560113"</f>
        <v>FES1162560113</v>
      </c>
      <c r="D315" s="10" t="s">
        <v>19</v>
      </c>
      <c r="E315" s="10" t="s">
        <v>333</v>
      </c>
      <c r="F315" s="10" t="str">
        <f>"2170575739 "</f>
        <v xml:space="preserve">2170575739 </v>
      </c>
      <c r="G315" s="10" t="str">
        <f t="shared" si="9"/>
        <v>ON1</v>
      </c>
      <c r="H315" s="10" t="s">
        <v>21</v>
      </c>
      <c r="I315" s="10" t="s">
        <v>334</v>
      </c>
      <c r="J315" s="10" t="str">
        <f>""</f>
        <v/>
      </c>
      <c r="K315" s="10" t="str">
        <f>"PFES1162560113_0001"</f>
        <v>PFES1162560113_0001</v>
      </c>
      <c r="L315" s="10">
        <v>1</v>
      </c>
      <c r="M315" s="10">
        <v>3</v>
      </c>
    </row>
    <row r="316" spans="1:13">
      <c r="A316" s="8">
        <v>42920</v>
      </c>
      <c r="B316" s="9">
        <v>0.63124999999999998</v>
      </c>
      <c r="C316" s="10" t="str">
        <f>"FES1162560187"</f>
        <v>FES1162560187</v>
      </c>
      <c r="D316" s="10" t="s">
        <v>19</v>
      </c>
      <c r="E316" s="10" t="s">
        <v>335</v>
      </c>
      <c r="F316" s="10" t="str">
        <f>"2170576999 "</f>
        <v xml:space="preserve">2170576999 </v>
      </c>
      <c r="G316" s="10" t="str">
        <f t="shared" si="9"/>
        <v>ON1</v>
      </c>
      <c r="H316" s="10" t="s">
        <v>21</v>
      </c>
      <c r="I316" s="10" t="s">
        <v>119</v>
      </c>
      <c r="J316" s="10" t="str">
        <f>""</f>
        <v/>
      </c>
      <c r="K316" s="10" t="str">
        <f>"PFES1162560187_0001"</f>
        <v>PFES1162560187_0001</v>
      </c>
      <c r="L316" s="10">
        <v>1</v>
      </c>
      <c r="M316" s="10">
        <v>1</v>
      </c>
    </row>
    <row r="317" spans="1:13">
      <c r="A317" s="8">
        <v>42920</v>
      </c>
      <c r="B317" s="9">
        <v>0.62916666666666665</v>
      </c>
      <c r="C317" s="10" t="str">
        <f>"FES1162560032"</f>
        <v>FES1162560032</v>
      </c>
      <c r="D317" s="10" t="s">
        <v>19</v>
      </c>
      <c r="E317" s="10" t="s">
        <v>288</v>
      </c>
      <c r="F317" s="10" t="str">
        <f>"2170574436 "</f>
        <v xml:space="preserve">2170574436 </v>
      </c>
      <c r="G317" s="10" t="str">
        <f t="shared" si="9"/>
        <v>ON1</v>
      </c>
      <c r="H317" s="10" t="s">
        <v>21</v>
      </c>
      <c r="I317" s="10" t="s">
        <v>177</v>
      </c>
      <c r="J317" s="10" t="str">
        <f>""</f>
        <v/>
      </c>
      <c r="K317" s="10" t="str">
        <f>"PFES1162560032_0001"</f>
        <v>PFES1162560032_0001</v>
      </c>
      <c r="L317" s="10">
        <v>1</v>
      </c>
      <c r="M317" s="10">
        <v>1</v>
      </c>
    </row>
    <row r="318" spans="1:13">
      <c r="A318" s="8">
        <v>42920</v>
      </c>
      <c r="B318" s="9">
        <v>0.62916666666666665</v>
      </c>
      <c r="C318" s="10" t="str">
        <f>"FES1162560061"</f>
        <v>FES1162560061</v>
      </c>
      <c r="D318" s="10" t="s">
        <v>19</v>
      </c>
      <c r="E318" s="10" t="s">
        <v>165</v>
      </c>
      <c r="F318" s="10" t="str">
        <f>"2170574772 "</f>
        <v xml:space="preserve">2170574772 </v>
      </c>
      <c r="G318" s="10" t="str">
        <f>"DBC"</f>
        <v>DBC</v>
      </c>
      <c r="H318" s="10" t="s">
        <v>21</v>
      </c>
      <c r="I318" s="10" t="s">
        <v>166</v>
      </c>
      <c r="J318" s="10" t="str">
        <f>""</f>
        <v/>
      </c>
      <c r="K318" s="10" t="str">
        <f>"PFES1162560061_0001"</f>
        <v>PFES1162560061_0001</v>
      </c>
      <c r="L318" s="10">
        <v>2</v>
      </c>
      <c r="M318" s="10">
        <v>41</v>
      </c>
    </row>
    <row r="319" spans="1:13">
      <c r="A319" s="8">
        <v>42920</v>
      </c>
      <c r="B319" s="9">
        <v>0.62916666666666665</v>
      </c>
      <c r="C319" s="10" t="str">
        <f>"FES1162560061"</f>
        <v>FES1162560061</v>
      </c>
      <c r="D319" s="10" t="s">
        <v>19</v>
      </c>
      <c r="E319" s="10" t="s">
        <v>165</v>
      </c>
      <c r="F319" s="10" t="str">
        <f>"2170574772 "</f>
        <v xml:space="preserve">2170574772 </v>
      </c>
      <c r="G319" s="10" t="str">
        <f>"DBC"</f>
        <v>DBC</v>
      </c>
      <c r="H319" s="10" t="s">
        <v>21</v>
      </c>
      <c r="I319" s="10" t="s">
        <v>166</v>
      </c>
      <c r="J319" s="10"/>
      <c r="K319" s="10" t="str">
        <f>"PFES1162560061_0002"</f>
        <v>PFES1162560061_0002</v>
      </c>
      <c r="L319" s="10">
        <v>2</v>
      </c>
      <c r="M319" s="10">
        <v>41</v>
      </c>
    </row>
    <row r="320" spans="1:13">
      <c r="A320" s="8">
        <v>42920</v>
      </c>
      <c r="B320" s="9">
        <v>0.62847222222222221</v>
      </c>
      <c r="C320" s="10" t="str">
        <f>"FES1162559988"</f>
        <v>FES1162559988</v>
      </c>
      <c r="D320" s="10" t="s">
        <v>19</v>
      </c>
      <c r="E320" s="10" t="s">
        <v>333</v>
      </c>
      <c r="F320" s="10" t="str">
        <f>"2170571441 "</f>
        <v xml:space="preserve">2170571441 </v>
      </c>
      <c r="G320" s="10" t="str">
        <f t="shared" ref="G320:G327" si="10">"ON1"</f>
        <v>ON1</v>
      </c>
      <c r="H320" s="10" t="s">
        <v>21</v>
      </c>
      <c r="I320" s="10" t="s">
        <v>334</v>
      </c>
      <c r="J320" s="10" t="str">
        <f>""</f>
        <v/>
      </c>
      <c r="K320" s="10" t="str">
        <f>"PFES1162559988_0001"</f>
        <v>PFES1162559988_0001</v>
      </c>
      <c r="L320" s="10">
        <v>1</v>
      </c>
      <c r="M320" s="10">
        <v>14</v>
      </c>
    </row>
    <row r="321" spans="1:13">
      <c r="A321" s="8">
        <v>42920</v>
      </c>
      <c r="B321" s="9">
        <v>0.62708333333333333</v>
      </c>
      <c r="C321" s="10" t="str">
        <f>"FES1162560340"</f>
        <v>FES1162560340</v>
      </c>
      <c r="D321" s="10" t="s">
        <v>19</v>
      </c>
      <c r="E321" s="10" t="s">
        <v>336</v>
      </c>
      <c r="F321" s="10" t="str">
        <f>"2170577159 "</f>
        <v xml:space="preserve">2170577159 </v>
      </c>
      <c r="G321" s="10" t="str">
        <f t="shared" si="10"/>
        <v>ON1</v>
      </c>
      <c r="H321" s="10" t="s">
        <v>21</v>
      </c>
      <c r="I321" s="10" t="s">
        <v>337</v>
      </c>
      <c r="J321" s="10" t="str">
        <f>""</f>
        <v/>
      </c>
      <c r="K321" s="10" t="str">
        <f>"PFES1162560340_0001"</f>
        <v>PFES1162560340_0001</v>
      </c>
      <c r="L321" s="10">
        <v>1</v>
      </c>
      <c r="M321" s="10">
        <v>8</v>
      </c>
    </row>
    <row r="322" spans="1:13">
      <c r="A322" s="8">
        <v>42920</v>
      </c>
      <c r="B322" s="9">
        <v>0.62430555555555556</v>
      </c>
      <c r="C322" s="10" t="str">
        <f>"FES1162559980"</f>
        <v>FES1162559980</v>
      </c>
      <c r="D322" s="10" t="s">
        <v>19</v>
      </c>
      <c r="E322" s="10" t="s">
        <v>181</v>
      </c>
      <c r="F322" s="10" t="str">
        <f>"2170567686 "</f>
        <v xml:space="preserve">2170567686 </v>
      </c>
      <c r="G322" s="10" t="str">
        <f t="shared" si="10"/>
        <v>ON1</v>
      </c>
      <c r="H322" s="10" t="s">
        <v>21</v>
      </c>
      <c r="I322" s="10" t="s">
        <v>179</v>
      </c>
      <c r="J322" s="10" t="str">
        <f>""</f>
        <v/>
      </c>
      <c r="K322" s="10" t="str">
        <f>"PFES1162559980_0001"</f>
        <v>PFES1162559980_0001</v>
      </c>
      <c r="L322" s="10">
        <v>1</v>
      </c>
      <c r="M322" s="10">
        <v>15</v>
      </c>
    </row>
    <row r="323" spans="1:13">
      <c r="A323" s="8">
        <v>42920</v>
      </c>
      <c r="B323" s="9">
        <v>0.62361111111111112</v>
      </c>
      <c r="C323" s="10" t="str">
        <f>"FES1162560195"</f>
        <v>FES1162560195</v>
      </c>
      <c r="D323" s="10" t="s">
        <v>19</v>
      </c>
      <c r="E323" s="10" t="s">
        <v>324</v>
      </c>
      <c r="F323" s="10" t="str">
        <f>"2170577005 "</f>
        <v xml:space="preserve">2170577005 </v>
      </c>
      <c r="G323" s="10" t="str">
        <f t="shared" si="10"/>
        <v>ON1</v>
      </c>
      <c r="H323" s="10" t="s">
        <v>21</v>
      </c>
      <c r="I323" s="10" t="s">
        <v>325</v>
      </c>
      <c r="J323" s="10" t="str">
        <f>""</f>
        <v/>
      </c>
      <c r="K323" s="10" t="str">
        <f>"PFES1162560195_0001"</f>
        <v>PFES1162560195_0001</v>
      </c>
      <c r="L323" s="10">
        <v>1</v>
      </c>
      <c r="M323" s="10">
        <v>8</v>
      </c>
    </row>
    <row r="324" spans="1:13">
      <c r="A324" s="8">
        <v>42920</v>
      </c>
      <c r="B324" s="9">
        <v>0.62291666666666667</v>
      </c>
      <c r="C324" s="10" t="str">
        <f>"FES1162559995"</f>
        <v>FES1162559995</v>
      </c>
      <c r="D324" s="10" t="s">
        <v>19</v>
      </c>
      <c r="E324" s="10" t="s">
        <v>338</v>
      </c>
      <c r="F324" s="10" t="str">
        <f>"2170572745 "</f>
        <v xml:space="preserve">2170572745 </v>
      </c>
      <c r="G324" s="10" t="str">
        <f t="shared" si="10"/>
        <v>ON1</v>
      </c>
      <c r="H324" s="10" t="s">
        <v>21</v>
      </c>
      <c r="I324" s="10" t="s">
        <v>121</v>
      </c>
      <c r="J324" s="10" t="str">
        <f>""</f>
        <v/>
      </c>
      <c r="K324" s="10" t="str">
        <f>"PFES1162559995_0001"</f>
        <v>PFES1162559995_0001</v>
      </c>
      <c r="L324" s="10">
        <v>1</v>
      </c>
      <c r="M324" s="10">
        <v>8</v>
      </c>
    </row>
    <row r="325" spans="1:13">
      <c r="A325" s="8">
        <v>42920</v>
      </c>
      <c r="B325" s="9">
        <v>0.62222222222222223</v>
      </c>
      <c r="C325" s="10" t="str">
        <f>"FES1162560139"</f>
        <v>FES1162560139</v>
      </c>
      <c r="D325" s="10" t="s">
        <v>19</v>
      </c>
      <c r="E325" s="10" t="s">
        <v>339</v>
      </c>
      <c r="F325" s="10" t="str">
        <f>"2170576378 "</f>
        <v xml:space="preserve">2170576378 </v>
      </c>
      <c r="G325" s="10" t="str">
        <f t="shared" si="10"/>
        <v>ON1</v>
      </c>
      <c r="H325" s="10" t="s">
        <v>21</v>
      </c>
      <c r="I325" s="10" t="s">
        <v>340</v>
      </c>
      <c r="J325" s="10" t="str">
        <f>""</f>
        <v/>
      </c>
      <c r="K325" s="10" t="str">
        <f>"PFES1162560139_0001"</f>
        <v>PFES1162560139_0001</v>
      </c>
      <c r="L325" s="10">
        <v>1</v>
      </c>
      <c r="M325" s="10">
        <v>3</v>
      </c>
    </row>
    <row r="326" spans="1:13">
      <c r="A326" s="8">
        <v>42920</v>
      </c>
      <c r="B326" s="9">
        <v>0.62152777777777779</v>
      </c>
      <c r="C326" s="10" t="str">
        <f>"FES1162560134"</f>
        <v>FES1162560134</v>
      </c>
      <c r="D326" s="10" t="s">
        <v>19</v>
      </c>
      <c r="E326" s="10" t="s">
        <v>341</v>
      </c>
      <c r="F326" s="10" t="str">
        <f>"2170576291 "</f>
        <v xml:space="preserve">2170576291 </v>
      </c>
      <c r="G326" s="10" t="str">
        <f t="shared" si="10"/>
        <v>ON1</v>
      </c>
      <c r="H326" s="10" t="s">
        <v>21</v>
      </c>
      <c r="I326" s="10" t="s">
        <v>342</v>
      </c>
      <c r="J326" s="10" t="str">
        <f>""</f>
        <v/>
      </c>
      <c r="K326" s="10" t="str">
        <f>"PFES1162560134_0001"</f>
        <v>PFES1162560134_0001</v>
      </c>
      <c r="L326" s="10">
        <v>1</v>
      </c>
      <c r="M326" s="10">
        <v>1</v>
      </c>
    </row>
    <row r="327" spans="1:13">
      <c r="A327" s="8">
        <v>42920</v>
      </c>
      <c r="B327" s="9">
        <v>0.62152777777777779</v>
      </c>
      <c r="C327" s="10" t="str">
        <f>"FES1162560170"</f>
        <v>FES1162560170</v>
      </c>
      <c r="D327" s="10" t="s">
        <v>19</v>
      </c>
      <c r="E327" s="10" t="s">
        <v>343</v>
      </c>
      <c r="F327" s="10" t="str">
        <f>"2170576834 "</f>
        <v xml:space="preserve">2170576834 </v>
      </c>
      <c r="G327" s="10" t="str">
        <f t="shared" si="10"/>
        <v>ON1</v>
      </c>
      <c r="H327" s="10" t="s">
        <v>21</v>
      </c>
      <c r="I327" s="10" t="s">
        <v>58</v>
      </c>
      <c r="J327" s="10" t="str">
        <f>""</f>
        <v/>
      </c>
      <c r="K327" s="10" t="str">
        <f>"PFES1162560170_0001"</f>
        <v>PFES1162560170_0001</v>
      </c>
      <c r="L327" s="10">
        <v>1</v>
      </c>
      <c r="M327" s="10">
        <v>1</v>
      </c>
    </row>
    <row r="328" spans="1:13">
      <c r="A328" s="8">
        <v>42920</v>
      </c>
      <c r="B328" s="9">
        <v>0.62013888888888891</v>
      </c>
      <c r="C328" s="10" t="str">
        <f>"FES1162560097"</f>
        <v>FES1162560097</v>
      </c>
      <c r="D328" s="10" t="s">
        <v>19</v>
      </c>
      <c r="E328" s="10" t="s">
        <v>288</v>
      </c>
      <c r="F328" s="10" t="str">
        <f>"2170575400 "</f>
        <v xml:space="preserve">2170575400 </v>
      </c>
      <c r="G328" s="10" t="str">
        <f>"ON2"</f>
        <v>ON2</v>
      </c>
      <c r="H328" s="10" t="s">
        <v>21</v>
      </c>
      <c r="I328" s="10" t="s">
        <v>177</v>
      </c>
      <c r="J328" s="10" t="str">
        <f>""</f>
        <v/>
      </c>
      <c r="K328" s="10" t="str">
        <f>"PFES1162560097_0001"</f>
        <v>PFES1162560097_0001</v>
      </c>
      <c r="L328" s="10">
        <v>1</v>
      </c>
      <c r="M328" s="10">
        <v>5</v>
      </c>
    </row>
    <row r="329" spans="1:13">
      <c r="A329" s="8">
        <v>42920</v>
      </c>
      <c r="B329" s="9">
        <v>0.62013888888888891</v>
      </c>
      <c r="C329" s="10" t="str">
        <f>"FES1162560171"</f>
        <v>FES1162560171</v>
      </c>
      <c r="D329" s="10" t="s">
        <v>19</v>
      </c>
      <c r="E329" s="10" t="s">
        <v>344</v>
      </c>
      <c r="F329" s="10" t="str">
        <f>"217057768638 "</f>
        <v xml:space="preserve">217057768638 </v>
      </c>
      <c r="G329" s="10" t="str">
        <f t="shared" ref="G329:G367" si="11">"ON1"</f>
        <v>ON1</v>
      </c>
      <c r="H329" s="10" t="s">
        <v>21</v>
      </c>
      <c r="I329" s="10" t="s">
        <v>70</v>
      </c>
      <c r="J329" s="10" t="str">
        <f>""</f>
        <v/>
      </c>
      <c r="K329" s="10" t="str">
        <f>"PFES1162560171_0001"</f>
        <v>PFES1162560171_0001</v>
      </c>
      <c r="L329" s="10">
        <v>1</v>
      </c>
      <c r="M329" s="10">
        <v>1</v>
      </c>
    </row>
    <row r="330" spans="1:13">
      <c r="A330" s="8">
        <v>42920</v>
      </c>
      <c r="B330" s="9">
        <v>0.61944444444444446</v>
      </c>
      <c r="C330" s="10" t="str">
        <f>"FES1162560069"</f>
        <v>FES1162560069</v>
      </c>
      <c r="D330" s="10" t="s">
        <v>19</v>
      </c>
      <c r="E330" s="10" t="s">
        <v>345</v>
      </c>
      <c r="F330" s="10" t="str">
        <f>"2170574881 "</f>
        <v xml:space="preserve">2170574881 </v>
      </c>
      <c r="G330" s="10" t="str">
        <f t="shared" si="11"/>
        <v>ON1</v>
      </c>
      <c r="H330" s="10" t="s">
        <v>21</v>
      </c>
      <c r="I330" s="10" t="s">
        <v>119</v>
      </c>
      <c r="J330" s="10" t="str">
        <f>""</f>
        <v/>
      </c>
      <c r="K330" s="10" t="str">
        <f>"PFES1162560069_0001"</f>
        <v>PFES1162560069_0001</v>
      </c>
      <c r="L330" s="10">
        <v>1</v>
      </c>
      <c r="M330" s="10">
        <v>1</v>
      </c>
    </row>
    <row r="331" spans="1:13">
      <c r="A331" s="8">
        <v>42920</v>
      </c>
      <c r="B331" s="9">
        <v>0.61944444444444446</v>
      </c>
      <c r="C331" s="10" t="str">
        <f>"FES1162560269"</f>
        <v>FES1162560269</v>
      </c>
      <c r="D331" s="10" t="s">
        <v>19</v>
      </c>
      <c r="E331" s="10" t="s">
        <v>173</v>
      </c>
      <c r="F331" s="10" t="str">
        <f>"2170577093 "</f>
        <v xml:space="preserve">2170577093 </v>
      </c>
      <c r="G331" s="10" t="str">
        <f t="shared" si="11"/>
        <v>ON1</v>
      </c>
      <c r="H331" s="10" t="s">
        <v>21</v>
      </c>
      <c r="I331" s="10" t="s">
        <v>174</v>
      </c>
      <c r="J331" s="10" t="str">
        <f>""</f>
        <v/>
      </c>
      <c r="K331" s="10" t="str">
        <f>"PFES1162560269_0001"</f>
        <v>PFES1162560269_0001</v>
      </c>
      <c r="L331" s="10">
        <v>1</v>
      </c>
      <c r="M331" s="10">
        <v>5</v>
      </c>
    </row>
    <row r="332" spans="1:13">
      <c r="A332" s="8">
        <v>42920</v>
      </c>
      <c r="B332" s="9">
        <v>0.61944444444444446</v>
      </c>
      <c r="C332" s="10" t="str">
        <f>"FES1162560114"</f>
        <v>FES1162560114</v>
      </c>
      <c r="D332" s="10" t="s">
        <v>19</v>
      </c>
      <c r="E332" s="10" t="s">
        <v>212</v>
      </c>
      <c r="F332" s="10" t="str">
        <f>"2170575828 "</f>
        <v xml:space="preserve">2170575828 </v>
      </c>
      <c r="G332" s="10" t="str">
        <f t="shared" si="11"/>
        <v>ON1</v>
      </c>
      <c r="H332" s="10" t="s">
        <v>21</v>
      </c>
      <c r="I332" s="10" t="s">
        <v>346</v>
      </c>
      <c r="J332" s="10" t="str">
        <f>""</f>
        <v/>
      </c>
      <c r="K332" s="10" t="str">
        <f>"PFES1162560114_0001"</f>
        <v>PFES1162560114_0001</v>
      </c>
      <c r="L332" s="10">
        <v>1</v>
      </c>
      <c r="M332" s="10">
        <v>1</v>
      </c>
    </row>
    <row r="333" spans="1:13">
      <c r="A333" s="8">
        <v>42920</v>
      </c>
      <c r="B333" s="9">
        <v>0.61875000000000002</v>
      </c>
      <c r="C333" s="10" t="str">
        <f>"FES1162560193"</f>
        <v>FES1162560193</v>
      </c>
      <c r="D333" s="10" t="s">
        <v>19</v>
      </c>
      <c r="E333" s="10" t="s">
        <v>333</v>
      </c>
      <c r="F333" s="10" t="str">
        <f>"2170577011 "</f>
        <v xml:space="preserve">2170577011 </v>
      </c>
      <c r="G333" s="10" t="str">
        <f t="shared" si="11"/>
        <v>ON1</v>
      </c>
      <c r="H333" s="10" t="s">
        <v>21</v>
      </c>
      <c r="I333" s="10" t="s">
        <v>334</v>
      </c>
      <c r="J333" s="10" t="str">
        <f>""</f>
        <v/>
      </c>
      <c r="K333" s="10" t="str">
        <f>"PFES1162560193_0001"</f>
        <v>PFES1162560193_0001</v>
      </c>
      <c r="L333" s="10">
        <v>1</v>
      </c>
      <c r="M333" s="10">
        <v>1</v>
      </c>
    </row>
    <row r="334" spans="1:13">
      <c r="A334" s="8">
        <v>42920</v>
      </c>
      <c r="B334" s="9">
        <v>0.61875000000000002</v>
      </c>
      <c r="C334" s="10" t="str">
        <f>"FES1162560093"</f>
        <v>FES1162560093</v>
      </c>
      <c r="D334" s="10" t="s">
        <v>19</v>
      </c>
      <c r="E334" s="10" t="s">
        <v>87</v>
      </c>
      <c r="F334" s="10" t="str">
        <f>"2170575310 "</f>
        <v xml:space="preserve">2170575310 </v>
      </c>
      <c r="G334" s="10" t="str">
        <f t="shared" si="11"/>
        <v>ON1</v>
      </c>
      <c r="H334" s="10" t="s">
        <v>21</v>
      </c>
      <c r="I334" s="10" t="s">
        <v>88</v>
      </c>
      <c r="J334" s="10" t="str">
        <f>""</f>
        <v/>
      </c>
      <c r="K334" s="10" t="str">
        <f>"PFES1162560093_0001"</f>
        <v>PFES1162560093_0001</v>
      </c>
      <c r="L334" s="10">
        <v>1</v>
      </c>
      <c r="M334" s="10">
        <v>1</v>
      </c>
    </row>
    <row r="335" spans="1:13">
      <c r="A335" s="8">
        <v>42920</v>
      </c>
      <c r="B335" s="9">
        <v>0.61875000000000002</v>
      </c>
      <c r="C335" s="10" t="str">
        <f>"FES1162560162"</f>
        <v>FES1162560162</v>
      </c>
      <c r="D335" s="10" t="s">
        <v>19</v>
      </c>
      <c r="E335" s="10" t="s">
        <v>347</v>
      </c>
      <c r="F335" s="10" t="str">
        <f>"2170576735 "</f>
        <v xml:space="preserve">2170576735 </v>
      </c>
      <c r="G335" s="10" t="str">
        <f t="shared" si="11"/>
        <v>ON1</v>
      </c>
      <c r="H335" s="10" t="s">
        <v>21</v>
      </c>
      <c r="I335" s="10" t="s">
        <v>348</v>
      </c>
      <c r="J335" s="10" t="str">
        <f>""</f>
        <v/>
      </c>
      <c r="K335" s="10" t="str">
        <f>"PFES1162560162_0001"</f>
        <v>PFES1162560162_0001</v>
      </c>
      <c r="L335" s="10">
        <v>1</v>
      </c>
      <c r="M335" s="10">
        <v>1</v>
      </c>
    </row>
    <row r="336" spans="1:13">
      <c r="A336" s="8">
        <v>42920</v>
      </c>
      <c r="B336" s="9">
        <v>0.61875000000000002</v>
      </c>
      <c r="C336" s="10" t="str">
        <f>"FES1162560094"</f>
        <v>FES1162560094</v>
      </c>
      <c r="D336" s="10" t="s">
        <v>19</v>
      </c>
      <c r="E336" s="10" t="s">
        <v>87</v>
      </c>
      <c r="F336" s="10" t="str">
        <f>"2170575311 "</f>
        <v xml:space="preserve">2170575311 </v>
      </c>
      <c r="G336" s="10" t="str">
        <f t="shared" si="11"/>
        <v>ON1</v>
      </c>
      <c r="H336" s="10" t="s">
        <v>21</v>
      </c>
      <c r="I336" s="10" t="s">
        <v>88</v>
      </c>
      <c r="J336" s="10" t="str">
        <f>""</f>
        <v/>
      </c>
      <c r="K336" s="10" t="str">
        <f>"PFES1162560094_0001"</f>
        <v>PFES1162560094_0001</v>
      </c>
      <c r="L336" s="10">
        <v>1</v>
      </c>
      <c r="M336" s="10">
        <v>1</v>
      </c>
    </row>
    <row r="337" spans="1:13">
      <c r="A337" s="8">
        <v>42920</v>
      </c>
      <c r="B337" s="9">
        <v>0.61875000000000002</v>
      </c>
      <c r="C337" s="10" t="str">
        <f>"FES1162559983"</f>
        <v>FES1162559983</v>
      </c>
      <c r="D337" s="10" t="s">
        <v>19</v>
      </c>
      <c r="E337" s="10" t="s">
        <v>288</v>
      </c>
      <c r="F337" s="10" t="str">
        <f>"217056521 "</f>
        <v xml:space="preserve">217056521 </v>
      </c>
      <c r="G337" s="10" t="str">
        <f t="shared" si="11"/>
        <v>ON1</v>
      </c>
      <c r="H337" s="10" t="s">
        <v>21</v>
      </c>
      <c r="I337" s="10" t="s">
        <v>177</v>
      </c>
      <c r="J337" s="10" t="str">
        <f>""</f>
        <v/>
      </c>
      <c r="K337" s="10" t="str">
        <f>"PFES1162559983_0001"</f>
        <v>PFES1162559983_0001</v>
      </c>
      <c r="L337" s="10">
        <v>1</v>
      </c>
      <c r="M337" s="10">
        <v>1</v>
      </c>
    </row>
    <row r="338" spans="1:13">
      <c r="A338" s="8">
        <v>42920</v>
      </c>
      <c r="B338" s="9">
        <v>0.61805555555555558</v>
      </c>
      <c r="C338" s="10" t="str">
        <f>"FES1162560107"</f>
        <v>FES1162560107</v>
      </c>
      <c r="D338" s="10" t="s">
        <v>19</v>
      </c>
      <c r="E338" s="10" t="s">
        <v>288</v>
      </c>
      <c r="F338" s="10" t="str">
        <f>"2170575626 "</f>
        <v xml:space="preserve">2170575626 </v>
      </c>
      <c r="G338" s="10" t="str">
        <f t="shared" si="11"/>
        <v>ON1</v>
      </c>
      <c r="H338" s="10" t="s">
        <v>21</v>
      </c>
      <c r="I338" s="10" t="s">
        <v>177</v>
      </c>
      <c r="J338" s="10" t="str">
        <f>""</f>
        <v/>
      </c>
      <c r="K338" s="10" t="str">
        <f>"PFES1162560107_0001"</f>
        <v>PFES1162560107_0001</v>
      </c>
      <c r="L338" s="10">
        <v>1</v>
      </c>
      <c r="M338" s="10">
        <v>1</v>
      </c>
    </row>
    <row r="339" spans="1:13">
      <c r="A339" s="8">
        <v>42920</v>
      </c>
      <c r="B339" s="9">
        <v>0.61736111111111114</v>
      </c>
      <c r="C339" s="10" t="str">
        <f>"FES1162560260"</f>
        <v>FES1162560260</v>
      </c>
      <c r="D339" s="10" t="s">
        <v>19</v>
      </c>
      <c r="E339" s="10" t="s">
        <v>314</v>
      </c>
      <c r="F339" s="10" t="str">
        <f>"2170577086 "</f>
        <v xml:space="preserve">2170577086 </v>
      </c>
      <c r="G339" s="10" t="str">
        <f t="shared" si="11"/>
        <v>ON1</v>
      </c>
      <c r="H339" s="10" t="s">
        <v>21</v>
      </c>
      <c r="I339" s="10" t="s">
        <v>90</v>
      </c>
      <c r="J339" s="10" t="str">
        <f>""</f>
        <v/>
      </c>
      <c r="K339" s="10" t="str">
        <f>"PFES1162560260_0001"</f>
        <v>PFES1162560260_0001</v>
      </c>
      <c r="L339" s="10">
        <v>1</v>
      </c>
      <c r="M339" s="10">
        <v>2</v>
      </c>
    </row>
    <row r="340" spans="1:13">
      <c r="A340" s="8">
        <v>42920</v>
      </c>
      <c r="B340" s="9">
        <v>0.61736111111111114</v>
      </c>
      <c r="C340" s="10" t="str">
        <f>"FES1162560101"</f>
        <v>FES1162560101</v>
      </c>
      <c r="D340" s="10" t="s">
        <v>19</v>
      </c>
      <c r="E340" s="10" t="s">
        <v>349</v>
      </c>
      <c r="F340" s="10" t="str">
        <f>"2170575487 "</f>
        <v xml:space="preserve">2170575487 </v>
      </c>
      <c r="G340" s="10" t="str">
        <f t="shared" si="11"/>
        <v>ON1</v>
      </c>
      <c r="H340" s="10" t="s">
        <v>21</v>
      </c>
      <c r="I340" s="10" t="s">
        <v>58</v>
      </c>
      <c r="J340" s="10" t="str">
        <f>""</f>
        <v/>
      </c>
      <c r="K340" s="10" t="str">
        <f>"PFES1162560101_0001"</f>
        <v>PFES1162560101_0001</v>
      </c>
      <c r="L340" s="10">
        <v>1</v>
      </c>
      <c r="M340" s="10">
        <v>1</v>
      </c>
    </row>
    <row r="341" spans="1:13">
      <c r="A341" s="8">
        <v>42920</v>
      </c>
      <c r="B341" s="9">
        <v>0.61736111111111114</v>
      </c>
      <c r="C341" s="10" t="str">
        <f>"FES1162560165"</f>
        <v>FES1162560165</v>
      </c>
      <c r="D341" s="10" t="s">
        <v>19</v>
      </c>
      <c r="E341" s="10" t="s">
        <v>181</v>
      </c>
      <c r="F341" s="10" t="str">
        <f>"2170576771 "</f>
        <v xml:space="preserve">2170576771 </v>
      </c>
      <c r="G341" s="10" t="str">
        <f t="shared" si="11"/>
        <v>ON1</v>
      </c>
      <c r="H341" s="10" t="s">
        <v>21</v>
      </c>
      <c r="I341" s="10" t="s">
        <v>179</v>
      </c>
      <c r="J341" s="10" t="str">
        <f>""</f>
        <v/>
      </c>
      <c r="K341" s="10" t="str">
        <f>"PFES1162560165_0001"</f>
        <v>PFES1162560165_0001</v>
      </c>
      <c r="L341" s="10">
        <v>1</v>
      </c>
      <c r="M341" s="10">
        <v>1</v>
      </c>
    </row>
    <row r="342" spans="1:13">
      <c r="A342" s="8">
        <v>42920</v>
      </c>
      <c r="B342" s="9">
        <v>0.6166666666666667</v>
      </c>
      <c r="C342" s="10" t="str">
        <f>"FES1162560126"</f>
        <v>FES1162560126</v>
      </c>
      <c r="D342" s="10" t="s">
        <v>19</v>
      </c>
      <c r="E342" s="10" t="s">
        <v>350</v>
      </c>
      <c r="F342" s="10" t="str">
        <f>"2170576049 "</f>
        <v xml:space="preserve">2170576049 </v>
      </c>
      <c r="G342" s="10" t="str">
        <f t="shared" si="11"/>
        <v>ON1</v>
      </c>
      <c r="H342" s="10" t="s">
        <v>21</v>
      </c>
      <c r="I342" s="10" t="s">
        <v>351</v>
      </c>
      <c r="J342" s="10" t="str">
        <f>""</f>
        <v/>
      </c>
      <c r="K342" s="10" t="str">
        <f>"PFES1162560126_0001"</f>
        <v>PFES1162560126_0001</v>
      </c>
      <c r="L342" s="10">
        <v>1</v>
      </c>
      <c r="M342" s="10">
        <v>1</v>
      </c>
    </row>
    <row r="343" spans="1:13">
      <c r="A343" s="8">
        <v>42920</v>
      </c>
      <c r="B343" s="9">
        <v>0.6166666666666667</v>
      </c>
      <c r="C343" s="10" t="str">
        <f>"FES1162560087"</f>
        <v>FES1162560087</v>
      </c>
      <c r="D343" s="10" t="s">
        <v>19</v>
      </c>
      <c r="E343" s="10" t="s">
        <v>87</v>
      </c>
      <c r="F343" s="10" t="str">
        <f>"2170575257 "</f>
        <v xml:space="preserve">2170575257 </v>
      </c>
      <c r="G343" s="10" t="str">
        <f t="shared" si="11"/>
        <v>ON1</v>
      </c>
      <c r="H343" s="10" t="s">
        <v>21</v>
      </c>
      <c r="I343" s="10" t="s">
        <v>88</v>
      </c>
      <c r="J343" s="10" t="str">
        <f>""</f>
        <v/>
      </c>
      <c r="K343" s="10" t="str">
        <f>"PFES1162560087_0001"</f>
        <v>PFES1162560087_0001</v>
      </c>
      <c r="L343" s="10">
        <v>1</v>
      </c>
      <c r="M343" s="10">
        <v>1</v>
      </c>
    </row>
    <row r="344" spans="1:13">
      <c r="A344" s="8">
        <v>42920</v>
      </c>
      <c r="B344" s="9">
        <v>0.6166666666666667</v>
      </c>
      <c r="C344" s="10" t="str">
        <f>"FES1162560052"</f>
        <v>FES1162560052</v>
      </c>
      <c r="D344" s="10" t="s">
        <v>19</v>
      </c>
      <c r="E344" s="10" t="s">
        <v>288</v>
      </c>
      <c r="F344" s="10" t="str">
        <f>"2170574687 "</f>
        <v xml:space="preserve">2170574687 </v>
      </c>
      <c r="G344" s="10" t="str">
        <f t="shared" si="11"/>
        <v>ON1</v>
      </c>
      <c r="H344" s="10" t="s">
        <v>21</v>
      </c>
      <c r="I344" s="10" t="s">
        <v>177</v>
      </c>
      <c r="J344" s="10" t="str">
        <f>""</f>
        <v/>
      </c>
      <c r="K344" s="10" t="str">
        <f>"PFES1162560052_0001"</f>
        <v>PFES1162560052_0001</v>
      </c>
      <c r="L344" s="10">
        <v>1</v>
      </c>
      <c r="M344" s="10">
        <v>1</v>
      </c>
    </row>
    <row r="345" spans="1:13">
      <c r="A345" s="8">
        <v>42920</v>
      </c>
      <c r="B345" s="9">
        <v>0.61597222222222225</v>
      </c>
      <c r="C345" s="10" t="str">
        <f>"FES1162560311"</f>
        <v>FES1162560311</v>
      </c>
      <c r="D345" s="10" t="s">
        <v>19</v>
      </c>
      <c r="E345" s="10" t="s">
        <v>352</v>
      </c>
      <c r="F345" s="10" t="str">
        <f>"2170577134 "</f>
        <v xml:space="preserve">2170577134 </v>
      </c>
      <c r="G345" s="10" t="str">
        <f t="shared" si="11"/>
        <v>ON1</v>
      </c>
      <c r="H345" s="10" t="s">
        <v>21</v>
      </c>
      <c r="I345" s="10" t="s">
        <v>36</v>
      </c>
      <c r="J345" s="10" t="str">
        <f>""</f>
        <v/>
      </c>
      <c r="K345" s="10" t="str">
        <f>"PFES1162560311_0001"</f>
        <v>PFES1162560311_0001</v>
      </c>
      <c r="L345" s="10">
        <v>1</v>
      </c>
      <c r="M345" s="10">
        <v>1</v>
      </c>
    </row>
    <row r="346" spans="1:13">
      <c r="A346" s="8">
        <v>42920</v>
      </c>
      <c r="B346" s="9">
        <v>0.61527777777777781</v>
      </c>
      <c r="C346" s="10" t="str">
        <f>"FES1162560287"</f>
        <v>FES1162560287</v>
      </c>
      <c r="D346" s="10" t="s">
        <v>19</v>
      </c>
      <c r="E346" s="10" t="s">
        <v>320</v>
      </c>
      <c r="F346" s="10" t="str">
        <f>"2170577113 "</f>
        <v xml:space="preserve">2170577113 </v>
      </c>
      <c r="G346" s="10" t="str">
        <f t="shared" si="11"/>
        <v>ON1</v>
      </c>
      <c r="H346" s="10" t="s">
        <v>21</v>
      </c>
      <c r="I346" s="10" t="s">
        <v>32</v>
      </c>
      <c r="J346" s="10" t="str">
        <f>""</f>
        <v/>
      </c>
      <c r="K346" s="10" t="str">
        <f>"PFES1162560287_0001"</f>
        <v>PFES1162560287_0001</v>
      </c>
      <c r="L346" s="10">
        <v>1</v>
      </c>
      <c r="M346" s="10">
        <v>1</v>
      </c>
    </row>
    <row r="347" spans="1:13">
      <c r="A347" s="8">
        <v>42920</v>
      </c>
      <c r="B347" s="9">
        <v>0.61458333333333337</v>
      </c>
      <c r="C347" s="10" t="str">
        <f>"FES1162560027"</f>
        <v>FES1162560027</v>
      </c>
      <c r="D347" s="10" t="s">
        <v>19</v>
      </c>
      <c r="E347" s="10" t="s">
        <v>99</v>
      </c>
      <c r="F347" s="10" t="str">
        <f>"2170574389 "</f>
        <v xml:space="preserve">2170574389 </v>
      </c>
      <c r="G347" s="10" t="str">
        <f t="shared" si="11"/>
        <v>ON1</v>
      </c>
      <c r="H347" s="10" t="s">
        <v>21</v>
      </c>
      <c r="I347" s="10" t="s">
        <v>100</v>
      </c>
      <c r="J347" s="10" t="str">
        <f>""</f>
        <v/>
      </c>
      <c r="K347" s="10" t="str">
        <f>"PFES1162560027_0001"</f>
        <v>PFES1162560027_0001</v>
      </c>
      <c r="L347" s="10">
        <v>1</v>
      </c>
      <c r="M347" s="10">
        <v>3</v>
      </c>
    </row>
    <row r="348" spans="1:13">
      <c r="A348" s="8">
        <v>42920</v>
      </c>
      <c r="B348" s="9">
        <v>0.61388888888888882</v>
      </c>
      <c r="C348" s="10" t="str">
        <f>"FES1162560132"</f>
        <v>FES1162560132</v>
      </c>
      <c r="D348" s="10" t="s">
        <v>19</v>
      </c>
      <c r="E348" s="10" t="s">
        <v>353</v>
      </c>
      <c r="F348" s="10" t="str">
        <f>"2170576264 "</f>
        <v xml:space="preserve">2170576264 </v>
      </c>
      <c r="G348" s="10" t="str">
        <f t="shared" si="11"/>
        <v>ON1</v>
      </c>
      <c r="H348" s="10" t="s">
        <v>21</v>
      </c>
      <c r="I348" s="10" t="s">
        <v>136</v>
      </c>
      <c r="J348" s="10" t="str">
        <f>""</f>
        <v/>
      </c>
      <c r="K348" s="10" t="str">
        <f>"PFES1162560132_0001"</f>
        <v>PFES1162560132_0001</v>
      </c>
      <c r="L348" s="10">
        <v>1</v>
      </c>
      <c r="M348" s="10">
        <v>1</v>
      </c>
    </row>
    <row r="349" spans="1:13">
      <c r="A349" s="8">
        <v>42920</v>
      </c>
      <c r="B349" s="9">
        <v>0.61388888888888882</v>
      </c>
      <c r="C349" s="10" t="str">
        <f>"FES1162560284"</f>
        <v>FES1162560284</v>
      </c>
      <c r="D349" s="10" t="s">
        <v>19</v>
      </c>
      <c r="E349" s="10" t="s">
        <v>65</v>
      </c>
      <c r="F349" s="10" t="str">
        <f>"2170577108 "</f>
        <v xml:space="preserve">2170577108 </v>
      </c>
      <c r="G349" s="10" t="str">
        <f t="shared" si="11"/>
        <v>ON1</v>
      </c>
      <c r="H349" s="10" t="s">
        <v>21</v>
      </c>
      <c r="I349" s="10" t="s">
        <v>66</v>
      </c>
      <c r="J349" s="10" t="str">
        <f>""</f>
        <v/>
      </c>
      <c r="K349" s="10" t="str">
        <f>"PFES1162560284_0001"</f>
        <v>PFES1162560284_0001</v>
      </c>
      <c r="L349" s="10">
        <v>1</v>
      </c>
      <c r="M349" s="10">
        <v>2</v>
      </c>
    </row>
    <row r="350" spans="1:13">
      <c r="A350" s="8">
        <v>42920</v>
      </c>
      <c r="B350" s="9">
        <v>0.61388888888888882</v>
      </c>
      <c r="C350" s="10" t="str">
        <f>"FES1162560166"</f>
        <v>FES1162560166</v>
      </c>
      <c r="D350" s="10" t="s">
        <v>19</v>
      </c>
      <c r="E350" s="10" t="s">
        <v>354</v>
      </c>
      <c r="F350" s="10" t="str">
        <f>"2170576779 "</f>
        <v xml:space="preserve">2170576779 </v>
      </c>
      <c r="G350" s="10" t="str">
        <f t="shared" si="11"/>
        <v>ON1</v>
      </c>
      <c r="H350" s="10" t="s">
        <v>21</v>
      </c>
      <c r="I350" s="10" t="s">
        <v>327</v>
      </c>
      <c r="J350" s="10" t="str">
        <f>""</f>
        <v/>
      </c>
      <c r="K350" s="10" t="str">
        <f>"PFES1162560166_0001"</f>
        <v>PFES1162560166_0001</v>
      </c>
      <c r="L350" s="10">
        <v>1</v>
      </c>
      <c r="M350" s="10">
        <v>1</v>
      </c>
    </row>
    <row r="351" spans="1:13">
      <c r="A351" s="8">
        <v>42920</v>
      </c>
      <c r="B351" s="9">
        <v>0.61388888888888882</v>
      </c>
      <c r="C351" s="10" t="str">
        <f>"FES1162560056"</f>
        <v>FES1162560056</v>
      </c>
      <c r="D351" s="10" t="s">
        <v>19</v>
      </c>
      <c r="E351" s="10" t="s">
        <v>355</v>
      </c>
      <c r="F351" s="10" t="str">
        <f>"2170574734 "</f>
        <v xml:space="preserve">2170574734 </v>
      </c>
      <c r="G351" s="10" t="str">
        <f t="shared" si="11"/>
        <v>ON1</v>
      </c>
      <c r="H351" s="10" t="s">
        <v>21</v>
      </c>
      <c r="I351" s="10" t="s">
        <v>330</v>
      </c>
      <c r="J351" s="10" t="str">
        <f>""</f>
        <v/>
      </c>
      <c r="K351" s="10" t="str">
        <f>"PFES1162560056_0001"</f>
        <v>PFES1162560056_0001</v>
      </c>
      <c r="L351" s="10">
        <v>1</v>
      </c>
      <c r="M351" s="10">
        <v>1</v>
      </c>
    </row>
    <row r="352" spans="1:13">
      <c r="A352" s="8">
        <v>42920</v>
      </c>
      <c r="B352" s="9">
        <v>0.61319444444444449</v>
      </c>
      <c r="C352" s="10" t="str">
        <f>"FES1162560122"</f>
        <v>FES1162560122</v>
      </c>
      <c r="D352" s="10" t="s">
        <v>19</v>
      </c>
      <c r="E352" s="10" t="s">
        <v>349</v>
      </c>
      <c r="F352" s="10" t="str">
        <f>"2170576000 "</f>
        <v xml:space="preserve">2170576000 </v>
      </c>
      <c r="G352" s="10" t="str">
        <f t="shared" si="11"/>
        <v>ON1</v>
      </c>
      <c r="H352" s="10" t="s">
        <v>21</v>
      </c>
      <c r="I352" s="10" t="s">
        <v>58</v>
      </c>
      <c r="J352" s="10" t="str">
        <f>""</f>
        <v/>
      </c>
      <c r="K352" s="10" t="str">
        <f>"PFES1162560122_0001"</f>
        <v>PFES1162560122_0001</v>
      </c>
      <c r="L352" s="10">
        <v>1</v>
      </c>
      <c r="M352" s="10">
        <v>1</v>
      </c>
    </row>
    <row r="353" spans="1:13">
      <c r="A353" s="8">
        <v>42920</v>
      </c>
      <c r="B353" s="9">
        <v>0.61319444444444449</v>
      </c>
      <c r="C353" s="10" t="str">
        <f>"FES1162560080"</f>
        <v>FES1162560080</v>
      </c>
      <c r="D353" s="10" t="s">
        <v>19</v>
      </c>
      <c r="E353" s="10" t="s">
        <v>349</v>
      </c>
      <c r="F353" s="10" t="str">
        <f>"2170575170 "</f>
        <v xml:space="preserve">2170575170 </v>
      </c>
      <c r="G353" s="10" t="str">
        <f t="shared" si="11"/>
        <v>ON1</v>
      </c>
      <c r="H353" s="10" t="s">
        <v>21</v>
      </c>
      <c r="I353" s="10" t="s">
        <v>58</v>
      </c>
      <c r="J353" s="10" t="str">
        <f>""</f>
        <v/>
      </c>
      <c r="K353" s="10" t="str">
        <f>"PFES1162560080_0001"</f>
        <v>PFES1162560080_0001</v>
      </c>
      <c r="L353" s="10">
        <v>1</v>
      </c>
      <c r="M353" s="10">
        <v>1</v>
      </c>
    </row>
    <row r="354" spans="1:13">
      <c r="A354" s="8">
        <v>42920</v>
      </c>
      <c r="B354" s="9">
        <v>0.61249999999999993</v>
      </c>
      <c r="C354" s="10" t="str">
        <f>"FES1162560161"</f>
        <v>FES1162560161</v>
      </c>
      <c r="D354" s="10" t="s">
        <v>19</v>
      </c>
      <c r="E354" s="10" t="s">
        <v>356</v>
      </c>
      <c r="F354" s="10" t="str">
        <f>"2170576718 "</f>
        <v xml:space="preserve">2170576718 </v>
      </c>
      <c r="G354" s="10" t="str">
        <f t="shared" si="11"/>
        <v>ON1</v>
      </c>
      <c r="H354" s="10" t="s">
        <v>21</v>
      </c>
      <c r="I354" s="10" t="s">
        <v>119</v>
      </c>
      <c r="J354" s="10" t="str">
        <f>""</f>
        <v/>
      </c>
      <c r="K354" s="10" t="str">
        <f>"PFES1162560161_0001"</f>
        <v>PFES1162560161_0001</v>
      </c>
      <c r="L354" s="10">
        <v>1</v>
      </c>
      <c r="M354" s="10">
        <v>1</v>
      </c>
    </row>
    <row r="355" spans="1:13">
      <c r="A355" s="8">
        <v>42920</v>
      </c>
      <c r="B355" s="9">
        <v>0.61249999999999993</v>
      </c>
      <c r="C355" s="10" t="str">
        <f>"FES1162560220"</f>
        <v>FES1162560220</v>
      </c>
      <c r="D355" s="10" t="s">
        <v>19</v>
      </c>
      <c r="E355" s="10" t="s">
        <v>357</v>
      </c>
      <c r="F355" s="10" t="str">
        <f>"2170577040 "</f>
        <v xml:space="preserve">2170577040 </v>
      </c>
      <c r="G355" s="10" t="str">
        <f t="shared" si="11"/>
        <v>ON1</v>
      </c>
      <c r="H355" s="10" t="s">
        <v>21</v>
      </c>
      <c r="I355" s="10" t="s">
        <v>358</v>
      </c>
      <c r="J355" s="10" t="str">
        <f>""</f>
        <v/>
      </c>
      <c r="K355" s="10" t="str">
        <f>"PFES1162560220_0001"</f>
        <v>PFES1162560220_0001</v>
      </c>
      <c r="L355" s="10">
        <v>1</v>
      </c>
      <c r="M355" s="10">
        <v>1</v>
      </c>
    </row>
    <row r="356" spans="1:13">
      <c r="A356" s="8">
        <v>42920</v>
      </c>
      <c r="B356" s="9">
        <v>0.6118055555555556</v>
      </c>
      <c r="C356" s="10" t="str">
        <f>"FES1162560218"</f>
        <v>FES1162560218</v>
      </c>
      <c r="D356" s="10" t="s">
        <v>19</v>
      </c>
      <c r="E356" s="10" t="s">
        <v>359</v>
      </c>
      <c r="F356" s="10" t="str">
        <f>"2170577036 "</f>
        <v xml:space="preserve">2170577036 </v>
      </c>
      <c r="G356" s="10" t="str">
        <f t="shared" si="11"/>
        <v>ON1</v>
      </c>
      <c r="H356" s="10" t="s">
        <v>21</v>
      </c>
      <c r="I356" s="10" t="s">
        <v>360</v>
      </c>
      <c r="J356" s="10" t="str">
        <f>""</f>
        <v/>
      </c>
      <c r="K356" s="10" t="str">
        <f>"PFES1162560218_0001"</f>
        <v>PFES1162560218_0001</v>
      </c>
      <c r="L356" s="10">
        <v>1</v>
      </c>
      <c r="M356" s="10">
        <v>1</v>
      </c>
    </row>
    <row r="357" spans="1:13">
      <c r="A357" s="8">
        <v>42920</v>
      </c>
      <c r="B357" s="9">
        <v>0.6118055555555556</v>
      </c>
      <c r="C357" s="10" t="str">
        <f>"FES1162560110"</f>
        <v>FES1162560110</v>
      </c>
      <c r="D357" s="10" t="s">
        <v>19</v>
      </c>
      <c r="E357" s="10" t="s">
        <v>144</v>
      </c>
      <c r="F357" s="10" t="str">
        <f>"2170575663 "</f>
        <v xml:space="preserve">2170575663 </v>
      </c>
      <c r="G357" s="10" t="str">
        <f t="shared" si="11"/>
        <v>ON1</v>
      </c>
      <c r="H357" s="10" t="s">
        <v>21</v>
      </c>
      <c r="I357" s="10" t="s">
        <v>145</v>
      </c>
      <c r="J357" s="10" t="str">
        <f>""</f>
        <v/>
      </c>
      <c r="K357" s="10" t="str">
        <f>"PFES1162560110_0001"</f>
        <v>PFES1162560110_0001</v>
      </c>
      <c r="L357" s="10">
        <v>1</v>
      </c>
      <c r="M357" s="10">
        <v>1</v>
      </c>
    </row>
    <row r="358" spans="1:13">
      <c r="A358" s="8">
        <v>42920</v>
      </c>
      <c r="B358" s="9">
        <v>0.61111111111111105</v>
      </c>
      <c r="C358" s="10" t="str">
        <f>"FES1162560227"</f>
        <v>FES1162560227</v>
      </c>
      <c r="D358" s="10" t="s">
        <v>19</v>
      </c>
      <c r="E358" s="10" t="s">
        <v>361</v>
      </c>
      <c r="F358" s="10" t="str">
        <f>"2170577045 "</f>
        <v xml:space="preserve">2170577045 </v>
      </c>
      <c r="G358" s="10" t="str">
        <f t="shared" si="11"/>
        <v>ON1</v>
      </c>
      <c r="H358" s="10" t="s">
        <v>21</v>
      </c>
      <c r="I358" s="10" t="s">
        <v>106</v>
      </c>
      <c r="J358" s="10" t="str">
        <f>""</f>
        <v/>
      </c>
      <c r="K358" s="10" t="str">
        <f>"PFES1162560227_0001"</f>
        <v>PFES1162560227_0001</v>
      </c>
      <c r="L358" s="10">
        <v>1</v>
      </c>
      <c r="M358" s="10">
        <v>1</v>
      </c>
    </row>
    <row r="359" spans="1:13">
      <c r="A359" s="8">
        <v>42920</v>
      </c>
      <c r="B359" s="9">
        <v>0.61111111111111105</v>
      </c>
      <c r="C359" s="10" t="str">
        <f>"FES1162560209"</f>
        <v>FES1162560209</v>
      </c>
      <c r="D359" s="10" t="s">
        <v>19</v>
      </c>
      <c r="E359" s="10" t="s">
        <v>299</v>
      </c>
      <c r="F359" s="10" t="str">
        <f>"2170577027 "</f>
        <v xml:space="preserve">2170577027 </v>
      </c>
      <c r="G359" s="10" t="str">
        <f t="shared" si="11"/>
        <v>ON1</v>
      </c>
      <c r="H359" s="10" t="s">
        <v>21</v>
      </c>
      <c r="I359" s="10" t="s">
        <v>183</v>
      </c>
      <c r="J359" s="10" t="str">
        <f>""</f>
        <v/>
      </c>
      <c r="K359" s="10" t="str">
        <f>"PFES1162560209_0001"</f>
        <v>PFES1162560209_0001</v>
      </c>
      <c r="L359" s="10">
        <v>1</v>
      </c>
      <c r="M359" s="10">
        <v>1</v>
      </c>
    </row>
    <row r="360" spans="1:13">
      <c r="A360" s="8">
        <v>42920</v>
      </c>
      <c r="B360" s="9">
        <v>0.61111111111111105</v>
      </c>
      <c r="C360" s="10" t="str">
        <f>"FES1162560190"</f>
        <v>FES1162560190</v>
      </c>
      <c r="D360" s="10" t="s">
        <v>19</v>
      </c>
      <c r="E360" s="10" t="s">
        <v>286</v>
      </c>
      <c r="F360" s="10" t="str">
        <f>"217057707 "</f>
        <v xml:space="preserve">217057707 </v>
      </c>
      <c r="G360" s="10" t="str">
        <f t="shared" si="11"/>
        <v>ON1</v>
      </c>
      <c r="H360" s="10" t="s">
        <v>21</v>
      </c>
      <c r="I360" s="10" t="s">
        <v>177</v>
      </c>
      <c r="J360" s="10" t="str">
        <f>""</f>
        <v/>
      </c>
      <c r="K360" s="10" t="str">
        <f>"PFES1162560190_0001"</f>
        <v>PFES1162560190_0001</v>
      </c>
      <c r="L360" s="10">
        <v>1</v>
      </c>
      <c r="M360" s="10">
        <v>1</v>
      </c>
    </row>
    <row r="361" spans="1:13">
      <c r="A361" s="8">
        <v>42921</v>
      </c>
      <c r="B361" s="9">
        <v>0.60416666666666663</v>
      </c>
      <c r="C361" s="10" t="str">
        <f>"FESBAKKER"</f>
        <v>FESBAKKER</v>
      </c>
      <c r="D361" s="10" t="s">
        <v>362</v>
      </c>
      <c r="E361" s="10" t="s">
        <v>363</v>
      </c>
      <c r="F361" s="10" t="str">
        <f>"NERAN "</f>
        <v xml:space="preserve">NERAN </v>
      </c>
      <c r="G361" s="10" t="str">
        <f t="shared" si="11"/>
        <v>ON1</v>
      </c>
      <c r="H361" s="10" t="s">
        <v>21</v>
      </c>
      <c r="I361" s="10" t="s">
        <v>364</v>
      </c>
      <c r="J361" s="10" t="str">
        <f>""</f>
        <v/>
      </c>
      <c r="K361" s="10" t="str">
        <f>"PFESBAKKER_0001"</f>
        <v>PFESBAKKER_0001</v>
      </c>
      <c r="L361" s="10">
        <v>1</v>
      </c>
      <c r="M361" s="10">
        <v>1</v>
      </c>
    </row>
    <row r="362" spans="1:13">
      <c r="A362" s="8">
        <v>42921</v>
      </c>
      <c r="B362" s="9">
        <v>0.6020833333333333</v>
      </c>
      <c r="C362" s="10" t="str">
        <f>"FES1162560572"</f>
        <v>FES1162560572</v>
      </c>
      <c r="D362" s="10" t="s">
        <v>19</v>
      </c>
      <c r="E362" s="10" t="s">
        <v>365</v>
      </c>
      <c r="F362" s="10" t="str">
        <f>"2170577375 "</f>
        <v xml:space="preserve">2170577375 </v>
      </c>
      <c r="G362" s="10" t="str">
        <f t="shared" si="11"/>
        <v>ON1</v>
      </c>
      <c r="H362" s="10" t="s">
        <v>21</v>
      </c>
      <c r="I362" s="10" t="s">
        <v>330</v>
      </c>
      <c r="J362" s="10" t="str">
        <f>""</f>
        <v/>
      </c>
      <c r="K362" s="10" t="str">
        <f>"PFES1162560572_0001"</f>
        <v>PFES1162560572_0001</v>
      </c>
      <c r="L362" s="10">
        <v>1</v>
      </c>
      <c r="M362" s="10">
        <v>1</v>
      </c>
    </row>
    <row r="363" spans="1:13">
      <c r="A363" s="8">
        <v>42921</v>
      </c>
      <c r="B363" s="9">
        <v>0.60138888888888886</v>
      </c>
      <c r="C363" s="10" t="str">
        <f>"009935791516"</f>
        <v>009935791516</v>
      </c>
      <c r="D363" s="10" t="s">
        <v>19</v>
      </c>
      <c r="E363" s="10" t="s">
        <v>108</v>
      </c>
      <c r="F363" s="10" t="str">
        <f>"1162555158 "</f>
        <v xml:space="preserve">1162555158 </v>
      </c>
      <c r="G363" s="10" t="str">
        <f t="shared" si="11"/>
        <v>ON1</v>
      </c>
      <c r="H363" s="10" t="s">
        <v>21</v>
      </c>
      <c r="I363" s="10" t="s">
        <v>109</v>
      </c>
      <c r="J363" s="10" t="str">
        <f>""</f>
        <v/>
      </c>
      <c r="K363" s="10" t="str">
        <f>"P009935791516_0001"</f>
        <v>P009935791516_0001</v>
      </c>
      <c r="L363" s="10">
        <v>1</v>
      </c>
      <c r="M363" s="10">
        <v>1</v>
      </c>
    </row>
    <row r="364" spans="1:13">
      <c r="A364" s="8">
        <v>42921</v>
      </c>
      <c r="B364" s="9">
        <v>0.59930555555555554</v>
      </c>
      <c r="C364" s="10" t="str">
        <f>"FES1162560346"</f>
        <v>FES1162560346</v>
      </c>
      <c r="D364" s="10" t="s">
        <v>19</v>
      </c>
      <c r="E364" s="10" t="s">
        <v>324</v>
      </c>
      <c r="F364" s="10" t="str">
        <f>"2170577005 "</f>
        <v xml:space="preserve">2170577005 </v>
      </c>
      <c r="G364" s="10" t="str">
        <f t="shared" si="11"/>
        <v>ON1</v>
      </c>
      <c r="H364" s="10" t="s">
        <v>21</v>
      </c>
      <c r="I364" s="10" t="s">
        <v>325</v>
      </c>
      <c r="J364" s="10" t="str">
        <f>""</f>
        <v/>
      </c>
      <c r="K364" s="10" t="str">
        <f>"PFES1162560346_0001"</f>
        <v>PFES1162560346_0001</v>
      </c>
      <c r="L364" s="10">
        <v>1</v>
      </c>
      <c r="M364" s="10">
        <v>9</v>
      </c>
    </row>
    <row r="365" spans="1:13">
      <c r="A365" s="8">
        <v>42921</v>
      </c>
      <c r="B365" s="9">
        <v>0.59930555555555554</v>
      </c>
      <c r="C365" s="10" t="str">
        <f>"FES1162560316"</f>
        <v>FES1162560316</v>
      </c>
      <c r="D365" s="10" t="s">
        <v>19</v>
      </c>
      <c r="E365" s="10" t="s">
        <v>366</v>
      </c>
      <c r="F365" s="10" t="str">
        <f>"2170576628 "</f>
        <v xml:space="preserve">2170576628 </v>
      </c>
      <c r="G365" s="10" t="str">
        <f t="shared" si="11"/>
        <v>ON1</v>
      </c>
      <c r="H365" s="10" t="s">
        <v>21</v>
      </c>
      <c r="I365" s="10" t="s">
        <v>330</v>
      </c>
      <c r="J365" s="10" t="str">
        <f>""</f>
        <v/>
      </c>
      <c r="K365" s="10" t="str">
        <f>"PFES1162560316_0001"</f>
        <v>PFES1162560316_0001</v>
      </c>
      <c r="L365" s="10">
        <v>1</v>
      </c>
      <c r="M365" s="10">
        <v>5</v>
      </c>
    </row>
    <row r="366" spans="1:13">
      <c r="A366" s="8">
        <v>42921</v>
      </c>
      <c r="B366" s="9">
        <v>0.59861111111111109</v>
      </c>
      <c r="C366" s="10" t="str">
        <f>"FES1162560623"</f>
        <v>FES1162560623</v>
      </c>
      <c r="D366" s="10" t="s">
        <v>19</v>
      </c>
      <c r="E366" s="10" t="s">
        <v>146</v>
      </c>
      <c r="F366" s="10" t="str">
        <f>"2170577445 "</f>
        <v xml:space="preserve">2170577445 </v>
      </c>
      <c r="G366" s="10" t="str">
        <f t="shared" si="11"/>
        <v>ON1</v>
      </c>
      <c r="H366" s="10" t="s">
        <v>21</v>
      </c>
      <c r="I366" s="10" t="s">
        <v>147</v>
      </c>
      <c r="J366" s="10" t="str">
        <f>""</f>
        <v/>
      </c>
      <c r="K366" s="10" t="str">
        <f>"PFES1162560623_0001"</f>
        <v>PFES1162560623_0001</v>
      </c>
      <c r="L366" s="10">
        <v>2</v>
      </c>
      <c r="M366" s="10">
        <v>2</v>
      </c>
    </row>
    <row r="367" spans="1:13">
      <c r="A367" s="8">
        <v>42921</v>
      </c>
      <c r="B367" s="9">
        <v>0.59861111111111109</v>
      </c>
      <c r="C367" s="10" t="str">
        <f>"FES1162560623"</f>
        <v>FES1162560623</v>
      </c>
      <c r="D367" s="10" t="s">
        <v>19</v>
      </c>
      <c r="E367" s="10" t="s">
        <v>146</v>
      </c>
      <c r="F367" s="10" t="str">
        <f>"2170577445 "</f>
        <v xml:space="preserve">2170577445 </v>
      </c>
      <c r="G367" s="10" t="str">
        <f t="shared" si="11"/>
        <v>ON1</v>
      </c>
      <c r="H367" s="10" t="s">
        <v>21</v>
      </c>
      <c r="I367" s="10" t="s">
        <v>147</v>
      </c>
      <c r="J367" s="10"/>
      <c r="K367" s="10" t="str">
        <f>"PFES1162560623_0002"</f>
        <v>PFES1162560623_0002</v>
      </c>
      <c r="L367" s="10">
        <v>2</v>
      </c>
      <c r="M367" s="10">
        <v>2</v>
      </c>
    </row>
    <row r="368" spans="1:13">
      <c r="A368" s="8">
        <v>42921</v>
      </c>
      <c r="B368" s="9">
        <v>0.59791666666666665</v>
      </c>
      <c r="C368" s="10" t="str">
        <f>"FES1162560622"</f>
        <v>FES1162560622</v>
      </c>
      <c r="D368" s="10" t="s">
        <v>19</v>
      </c>
      <c r="E368" s="10" t="s">
        <v>336</v>
      </c>
      <c r="F368" s="10" t="str">
        <f>"2170577234 "</f>
        <v xml:space="preserve">2170577234 </v>
      </c>
      <c r="G368" s="10" t="str">
        <f t="shared" ref="G368:G373" si="12">"ON1"</f>
        <v>ON1</v>
      </c>
      <c r="H368" s="10" t="s">
        <v>21</v>
      </c>
      <c r="I368" s="10" t="s">
        <v>337</v>
      </c>
      <c r="J368" s="10" t="str">
        <f>""</f>
        <v/>
      </c>
      <c r="K368" s="10" t="str">
        <f>"PFES1162560622_0001"</f>
        <v>PFES1162560622_0001</v>
      </c>
      <c r="L368" s="10">
        <v>1</v>
      </c>
      <c r="M368" s="10">
        <v>1</v>
      </c>
    </row>
    <row r="369" spans="1:13">
      <c r="A369" s="8">
        <v>42921</v>
      </c>
      <c r="B369" s="9">
        <v>0.59375</v>
      </c>
      <c r="C369" s="10" t="str">
        <f>"FES1162560601"</f>
        <v>FES1162560601</v>
      </c>
      <c r="D369" s="10" t="s">
        <v>19</v>
      </c>
      <c r="E369" s="10" t="s">
        <v>367</v>
      </c>
      <c r="F369" s="10" t="str">
        <f>"2170577411 "</f>
        <v xml:space="preserve">2170577411 </v>
      </c>
      <c r="G369" s="10" t="str">
        <f t="shared" si="12"/>
        <v>ON1</v>
      </c>
      <c r="H369" s="10" t="s">
        <v>21</v>
      </c>
      <c r="I369" s="10" t="s">
        <v>368</v>
      </c>
      <c r="J369" s="10" t="str">
        <f>""</f>
        <v/>
      </c>
      <c r="K369" s="10" t="str">
        <f>"PFES1162560601_0001"</f>
        <v>PFES1162560601_0001</v>
      </c>
      <c r="L369" s="10">
        <v>2</v>
      </c>
      <c r="M369" s="10">
        <v>20</v>
      </c>
    </row>
    <row r="370" spans="1:13">
      <c r="A370" s="8">
        <v>42921</v>
      </c>
      <c r="B370" s="9">
        <v>0.59375</v>
      </c>
      <c r="C370" s="10" t="str">
        <f>"FES1162560601"</f>
        <v>FES1162560601</v>
      </c>
      <c r="D370" s="10" t="s">
        <v>19</v>
      </c>
      <c r="E370" s="10" t="s">
        <v>367</v>
      </c>
      <c r="F370" s="10" t="str">
        <f>"2170577411 "</f>
        <v xml:space="preserve">2170577411 </v>
      </c>
      <c r="G370" s="10" t="str">
        <f t="shared" si="12"/>
        <v>ON1</v>
      </c>
      <c r="H370" s="10" t="s">
        <v>21</v>
      </c>
      <c r="I370" s="10" t="s">
        <v>368</v>
      </c>
      <c r="J370" s="10"/>
      <c r="K370" s="10" t="str">
        <f>"PFES1162560601_0002"</f>
        <v>PFES1162560601_0002</v>
      </c>
      <c r="L370" s="10">
        <v>2</v>
      </c>
      <c r="M370" s="10">
        <v>20</v>
      </c>
    </row>
    <row r="371" spans="1:13">
      <c r="A371" s="8">
        <v>42921</v>
      </c>
      <c r="B371" s="9">
        <v>0.58750000000000002</v>
      </c>
      <c r="C371" s="10" t="str">
        <f>"FES1162560602"</f>
        <v>FES1162560602</v>
      </c>
      <c r="D371" s="10" t="s">
        <v>19</v>
      </c>
      <c r="E371" s="10" t="s">
        <v>62</v>
      </c>
      <c r="F371" s="10" t="str">
        <f>"2170577413 "</f>
        <v xml:space="preserve">2170577413 </v>
      </c>
      <c r="G371" s="10" t="str">
        <f t="shared" si="12"/>
        <v>ON1</v>
      </c>
      <c r="H371" s="10" t="s">
        <v>21</v>
      </c>
      <c r="I371" s="10" t="s">
        <v>40</v>
      </c>
      <c r="J371" s="10" t="str">
        <f>""</f>
        <v/>
      </c>
      <c r="K371" s="10" t="str">
        <f>"PFES1162560602_0001"</f>
        <v>PFES1162560602_0001</v>
      </c>
      <c r="L371" s="10">
        <v>1</v>
      </c>
      <c r="M371" s="10">
        <v>7</v>
      </c>
    </row>
    <row r="372" spans="1:13">
      <c r="A372" s="8">
        <v>42921</v>
      </c>
      <c r="B372" s="9">
        <v>0.5854166666666667</v>
      </c>
      <c r="C372" s="10" t="str">
        <f>"FES1162560610"</f>
        <v>FES1162560610</v>
      </c>
      <c r="D372" s="10" t="s">
        <v>19</v>
      </c>
      <c r="E372" s="10" t="s">
        <v>146</v>
      </c>
      <c r="F372" s="10" t="str">
        <f>"2170577425 "</f>
        <v xml:space="preserve">2170577425 </v>
      </c>
      <c r="G372" s="10" t="str">
        <f t="shared" si="12"/>
        <v>ON1</v>
      </c>
      <c r="H372" s="10" t="s">
        <v>21</v>
      </c>
      <c r="I372" s="10" t="s">
        <v>147</v>
      </c>
      <c r="J372" s="10" t="str">
        <f>""</f>
        <v/>
      </c>
      <c r="K372" s="10" t="str">
        <f>"PFES1162560610_0001"</f>
        <v>PFES1162560610_0001</v>
      </c>
      <c r="L372" s="10">
        <v>2</v>
      </c>
      <c r="M372" s="10">
        <v>4</v>
      </c>
    </row>
    <row r="373" spans="1:13">
      <c r="A373" s="8">
        <v>42921</v>
      </c>
      <c r="B373" s="9">
        <v>0.5854166666666667</v>
      </c>
      <c r="C373" s="10" t="str">
        <f>"FES1162560610"</f>
        <v>FES1162560610</v>
      </c>
      <c r="D373" s="10" t="s">
        <v>19</v>
      </c>
      <c r="E373" s="10" t="s">
        <v>146</v>
      </c>
      <c r="F373" s="10" t="str">
        <f>"2170577425 "</f>
        <v xml:space="preserve">2170577425 </v>
      </c>
      <c r="G373" s="10" t="str">
        <f t="shared" si="12"/>
        <v>ON1</v>
      </c>
      <c r="H373" s="10" t="s">
        <v>21</v>
      </c>
      <c r="I373" s="10" t="s">
        <v>147</v>
      </c>
      <c r="J373" s="10"/>
      <c r="K373" s="10" t="str">
        <f>"PFES1162560610_0002"</f>
        <v>PFES1162560610_0002</v>
      </c>
      <c r="L373" s="10">
        <v>2</v>
      </c>
      <c r="M373" s="10">
        <v>4</v>
      </c>
    </row>
    <row r="374" spans="1:13">
      <c r="A374" s="8">
        <v>42921</v>
      </c>
      <c r="B374" s="9">
        <v>0.58472222222222225</v>
      </c>
      <c r="C374" s="10" t="str">
        <f>"FES1162560597"</f>
        <v>FES1162560597</v>
      </c>
      <c r="D374" s="10" t="s">
        <v>19</v>
      </c>
      <c r="E374" s="10" t="s">
        <v>366</v>
      </c>
      <c r="F374" s="10" t="str">
        <f>"2170577416 "</f>
        <v xml:space="preserve">2170577416 </v>
      </c>
      <c r="G374" s="10" t="str">
        <f t="shared" ref="G374:G380" si="13">"ON1"</f>
        <v>ON1</v>
      </c>
      <c r="H374" s="10" t="s">
        <v>21</v>
      </c>
      <c r="I374" s="10" t="s">
        <v>128</v>
      </c>
      <c r="J374" s="10" t="str">
        <f>""</f>
        <v/>
      </c>
      <c r="K374" s="10" t="str">
        <f>"PFES1162560597_0001"</f>
        <v>PFES1162560597_0001</v>
      </c>
      <c r="L374" s="10">
        <v>1</v>
      </c>
      <c r="M374" s="10">
        <v>1</v>
      </c>
    </row>
    <row r="375" spans="1:13">
      <c r="A375" s="8">
        <v>42921</v>
      </c>
      <c r="B375" s="9">
        <v>0.58194444444444449</v>
      </c>
      <c r="C375" s="10" t="str">
        <f>"FES1162560320"</f>
        <v>FES1162560320</v>
      </c>
      <c r="D375" s="10" t="s">
        <v>19</v>
      </c>
      <c r="E375" s="10" t="s">
        <v>369</v>
      </c>
      <c r="F375" s="10" t="str">
        <f>"217057767489 "</f>
        <v xml:space="preserve">217057767489 </v>
      </c>
      <c r="G375" s="10" t="str">
        <f t="shared" si="13"/>
        <v>ON1</v>
      </c>
      <c r="H375" s="10" t="s">
        <v>21</v>
      </c>
      <c r="I375" s="10" t="s">
        <v>183</v>
      </c>
      <c r="J375" s="10" t="str">
        <f>""</f>
        <v/>
      </c>
      <c r="K375" s="10" t="str">
        <f>"PFES1162560320_0001"</f>
        <v>PFES1162560320_0001</v>
      </c>
      <c r="L375" s="10">
        <v>1</v>
      </c>
      <c r="M375" s="10">
        <v>2</v>
      </c>
    </row>
    <row r="376" spans="1:13">
      <c r="A376" s="8">
        <v>42921</v>
      </c>
      <c r="B376" s="9">
        <v>0.58124999999999993</v>
      </c>
      <c r="C376" s="10" t="str">
        <f>"FES1162560317"</f>
        <v>FES1162560317</v>
      </c>
      <c r="D376" s="10" t="s">
        <v>19</v>
      </c>
      <c r="E376" s="10" t="s">
        <v>370</v>
      </c>
      <c r="F376" s="10" t="str">
        <f>"21705776674 "</f>
        <v xml:space="preserve">21705776674 </v>
      </c>
      <c r="G376" s="10" t="str">
        <f t="shared" si="13"/>
        <v>ON1</v>
      </c>
      <c r="H376" s="10" t="s">
        <v>21</v>
      </c>
      <c r="I376" s="10" t="s">
        <v>330</v>
      </c>
      <c r="J376" s="10" t="str">
        <f>""</f>
        <v/>
      </c>
      <c r="K376" s="10" t="str">
        <f>"PFES1162560317_0001"</f>
        <v>PFES1162560317_0001</v>
      </c>
      <c r="L376" s="10">
        <v>1</v>
      </c>
      <c r="M376" s="10">
        <v>1</v>
      </c>
    </row>
    <row r="377" spans="1:13">
      <c r="A377" s="8">
        <v>42921</v>
      </c>
      <c r="B377" s="9">
        <v>0.58124999999999993</v>
      </c>
      <c r="C377" s="10" t="str">
        <f>"FES1162560359"</f>
        <v>FES1162560359</v>
      </c>
      <c r="D377" s="10" t="s">
        <v>19</v>
      </c>
      <c r="E377" s="10" t="s">
        <v>326</v>
      </c>
      <c r="F377" s="10" t="str">
        <f>"2170576975 "</f>
        <v xml:space="preserve">2170576975 </v>
      </c>
      <c r="G377" s="10" t="str">
        <f t="shared" si="13"/>
        <v>ON1</v>
      </c>
      <c r="H377" s="10" t="s">
        <v>21</v>
      </c>
      <c r="I377" s="10" t="s">
        <v>327</v>
      </c>
      <c r="J377" s="10" t="str">
        <f>""</f>
        <v/>
      </c>
      <c r="K377" s="10" t="str">
        <f>"PFES1162560359_0001"</f>
        <v>PFES1162560359_0001</v>
      </c>
      <c r="L377" s="10">
        <v>1</v>
      </c>
      <c r="M377" s="10">
        <v>1</v>
      </c>
    </row>
    <row r="378" spans="1:13">
      <c r="A378" s="8">
        <v>42921</v>
      </c>
      <c r="B378" s="9">
        <v>0.5805555555555556</v>
      </c>
      <c r="C378" s="10" t="str">
        <f>"FES1162559981"</f>
        <v>FES1162559981</v>
      </c>
      <c r="D378" s="10" t="s">
        <v>19</v>
      </c>
      <c r="E378" s="10" t="s">
        <v>181</v>
      </c>
      <c r="F378" s="10" t="str">
        <f>"217057716 "</f>
        <v xml:space="preserve">217057716 </v>
      </c>
      <c r="G378" s="10" t="str">
        <f t="shared" si="13"/>
        <v>ON1</v>
      </c>
      <c r="H378" s="10" t="s">
        <v>21</v>
      </c>
      <c r="I378" s="10" t="s">
        <v>179</v>
      </c>
      <c r="J378" s="10" t="str">
        <f>""</f>
        <v/>
      </c>
      <c r="K378" s="10" t="str">
        <f>"PFES1162559981_0001"</f>
        <v>PFES1162559981_0001</v>
      </c>
      <c r="L378" s="10">
        <v>1</v>
      </c>
      <c r="M378" s="10">
        <v>1</v>
      </c>
    </row>
    <row r="379" spans="1:13">
      <c r="A379" s="8">
        <v>42921</v>
      </c>
      <c r="B379" s="9">
        <v>0.5805555555555556</v>
      </c>
      <c r="C379" s="10" t="str">
        <f>"FES1162560338"</f>
        <v>FES1162560338</v>
      </c>
      <c r="D379" s="10" t="s">
        <v>19</v>
      </c>
      <c r="E379" s="10" t="s">
        <v>303</v>
      </c>
      <c r="F379" s="10" t="str">
        <f>"2170577155 "</f>
        <v xml:space="preserve">2170577155 </v>
      </c>
      <c r="G379" s="10" t="str">
        <f t="shared" si="13"/>
        <v>ON1</v>
      </c>
      <c r="H379" s="10" t="s">
        <v>21</v>
      </c>
      <c r="I379" s="10" t="s">
        <v>119</v>
      </c>
      <c r="J379" s="10" t="str">
        <f>""</f>
        <v/>
      </c>
      <c r="K379" s="10" t="str">
        <f>"PFES1162560338_0001"</f>
        <v>PFES1162560338_0001</v>
      </c>
      <c r="L379" s="10">
        <v>1</v>
      </c>
      <c r="M379" s="10">
        <v>2</v>
      </c>
    </row>
    <row r="380" spans="1:13">
      <c r="A380" s="8">
        <v>42921</v>
      </c>
      <c r="B380" s="9">
        <v>0.57986111111111105</v>
      </c>
      <c r="C380" s="10" t="str">
        <f>"FES1162560589"</f>
        <v>FES1162560589</v>
      </c>
      <c r="D380" s="10" t="s">
        <v>19</v>
      </c>
      <c r="E380" s="10" t="s">
        <v>45</v>
      </c>
      <c r="F380" s="10" t="str">
        <f>"2170577395 "</f>
        <v xml:space="preserve">2170577395 </v>
      </c>
      <c r="G380" s="10" t="str">
        <f t="shared" si="13"/>
        <v>ON1</v>
      </c>
      <c r="H380" s="10" t="s">
        <v>21</v>
      </c>
      <c r="I380" s="10" t="s">
        <v>46</v>
      </c>
      <c r="J380" s="10" t="str">
        <f>""</f>
        <v/>
      </c>
      <c r="K380" s="10" t="str">
        <f>"PFES1162560589_0001"</f>
        <v>PFES1162560589_0001</v>
      </c>
      <c r="L380" s="10">
        <v>1</v>
      </c>
      <c r="M380" s="10">
        <v>1</v>
      </c>
    </row>
    <row r="381" spans="1:13">
      <c r="A381" s="8">
        <v>42921</v>
      </c>
      <c r="B381" s="9">
        <v>0.57916666666666672</v>
      </c>
      <c r="C381" s="10" t="str">
        <f>"FES1162560436"</f>
        <v>FES1162560436</v>
      </c>
      <c r="D381" s="10" t="s">
        <v>19</v>
      </c>
      <c r="E381" s="10" t="s">
        <v>155</v>
      </c>
      <c r="F381" s="10" t="str">
        <f>"217057260 "</f>
        <v xml:space="preserve">217057260 </v>
      </c>
      <c r="G381" s="10" t="str">
        <f>"DBC"</f>
        <v>DBC</v>
      </c>
      <c r="H381" s="10" t="s">
        <v>21</v>
      </c>
      <c r="I381" s="10" t="s">
        <v>121</v>
      </c>
      <c r="J381" s="10" t="str">
        <f>"BY TONY"</f>
        <v>BY TONY</v>
      </c>
      <c r="K381" s="10" t="str">
        <f>"PFES1162560436_0001"</f>
        <v>PFES1162560436_0001</v>
      </c>
      <c r="L381" s="10">
        <v>2</v>
      </c>
      <c r="M381" s="10">
        <v>35</v>
      </c>
    </row>
    <row r="382" spans="1:13">
      <c r="A382" s="8">
        <v>42921</v>
      </c>
      <c r="B382" s="9">
        <v>0.57916666666666672</v>
      </c>
      <c r="C382" s="10" t="str">
        <f>"FES1162560436"</f>
        <v>FES1162560436</v>
      </c>
      <c r="D382" s="10" t="s">
        <v>19</v>
      </c>
      <c r="E382" s="10" t="s">
        <v>155</v>
      </c>
      <c r="F382" s="10" t="str">
        <f>"217057260 "</f>
        <v xml:space="preserve">217057260 </v>
      </c>
      <c r="G382" s="10" t="str">
        <f>"DBC"</f>
        <v>DBC</v>
      </c>
      <c r="H382" s="10" t="s">
        <v>21</v>
      </c>
      <c r="I382" s="10" t="s">
        <v>121</v>
      </c>
      <c r="J382" s="10" t="str">
        <f>"BY TONY"</f>
        <v>BY TONY</v>
      </c>
      <c r="K382" s="10" t="str">
        <f>"PFES1162560436_0002"</f>
        <v>PFES1162560436_0002</v>
      </c>
      <c r="L382" s="10">
        <v>2</v>
      </c>
      <c r="M382" s="10">
        <v>35</v>
      </c>
    </row>
    <row r="383" spans="1:13">
      <c r="A383" s="8">
        <v>42921</v>
      </c>
      <c r="B383" s="9">
        <v>0.57847222222222217</v>
      </c>
      <c r="C383" s="10" t="str">
        <f>"FES1162560613"</f>
        <v>FES1162560613</v>
      </c>
      <c r="D383" s="10" t="s">
        <v>19</v>
      </c>
      <c r="E383" s="10" t="s">
        <v>23</v>
      </c>
      <c r="F383" s="10" t="str">
        <f>"2170577429 "</f>
        <v xml:space="preserve">2170577429 </v>
      </c>
      <c r="G383" s="10" t="str">
        <f>"ON1"</f>
        <v>ON1</v>
      </c>
      <c r="H383" s="10" t="s">
        <v>21</v>
      </c>
      <c r="I383" s="10" t="s">
        <v>24</v>
      </c>
      <c r="J383" s="10" t="str">
        <f>""</f>
        <v/>
      </c>
      <c r="K383" s="10" t="str">
        <f>"PFES1162560613_0001"</f>
        <v>PFES1162560613_0001</v>
      </c>
      <c r="L383" s="10">
        <v>1</v>
      </c>
      <c r="M383" s="10">
        <v>3</v>
      </c>
    </row>
    <row r="384" spans="1:13">
      <c r="A384" s="8">
        <v>42921</v>
      </c>
      <c r="B384" s="9">
        <v>0.57777777777777783</v>
      </c>
      <c r="C384" s="10" t="str">
        <f>"FES1162560590"</f>
        <v>FES1162560590</v>
      </c>
      <c r="D384" s="10" t="s">
        <v>19</v>
      </c>
      <c r="E384" s="10" t="s">
        <v>371</v>
      </c>
      <c r="F384" s="10" t="str">
        <f>"2170577396 "</f>
        <v xml:space="preserve">2170577396 </v>
      </c>
      <c r="G384" s="10" t="str">
        <f>"ON1"</f>
        <v>ON1</v>
      </c>
      <c r="H384" s="10" t="s">
        <v>21</v>
      </c>
      <c r="I384" s="10" t="s">
        <v>202</v>
      </c>
      <c r="J384" s="10" t="str">
        <f>""</f>
        <v/>
      </c>
      <c r="K384" s="10" t="str">
        <f>"PFES1162560590_0001"</f>
        <v>PFES1162560590_0001</v>
      </c>
      <c r="L384" s="10">
        <v>1</v>
      </c>
      <c r="M384" s="10">
        <v>3</v>
      </c>
    </row>
    <row r="385" spans="1:13">
      <c r="A385" s="8">
        <v>42921</v>
      </c>
      <c r="B385" s="9">
        <v>0.57777777777777783</v>
      </c>
      <c r="C385" s="10" t="str">
        <f>"FES1162560596"</f>
        <v>FES1162560596</v>
      </c>
      <c r="D385" s="10" t="s">
        <v>19</v>
      </c>
      <c r="E385" s="10" t="s">
        <v>288</v>
      </c>
      <c r="F385" s="10" t="str">
        <f>"2170577405 "</f>
        <v xml:space="preserve">2170577405 </v>
      </c>
      <c r="G385" s="10" t="str">
        <f>"ON1"</f>
        <v>ON1</v>
      </c>
      <c r="H385" s="10" t="s">
        <v>21</v>
      </c>
      <c r="I385" s="10" t="s">
        <v>84</v>
      </c>
      <c r="J385" s="10" t="str">
        <f>""</f>
        <v/>
      </c>
      <c r="K385" s="10" t="str">
        <f>"PFES1162560596_0001"</f>
        <v>PFES1162560596_0001</v>
      </c>
      <c r="L385" s="10">
        <v>1</v>
      </c>
      <c r="M385" s="10">
        <v>1</v>
      </c>
    </row>
    <row r="386" spans="1:13">
      <c r="A386" s="8">
        <v>42921</v>
      </c>
      <c r="B386" s="9">
        <v>0.57708333333333328</v>
      </c>
      <c r="C386" s="10" t="str">
        <f>"FES1162560544"</f>
        <v>FES1162560544</v>
      </c>
      <c r="D386" s="10" t="s">
        <v>19</v>
      </c>
      <c r="E386" s="10" t="s">
        <v>372</v>
      </c>
      <c r="F386" s="10" t="str">
        <f>"2170577331 "</f>
        <v xml:space="preserve">2170577331 </v>
      </c>
      <c r="G386" s="10" t="str">
        <f>"ON1"</f>
        <v>ON1</v>
      </c>
      <c r="H386" s="10" t="s">
        <v>21</v>
      </c>
      <c r="I386" s="10" t="s">
        <v>70</v>
      </c>
      <c r="J386" s="10" t="str">
        <f>""</f>
        <v/>
      </c>
      <c r="K386" s="10" t="str">
        <f>"PFES1162560544_0001"</f>
        <v>PFES1162560544_0001</v>
      </c>
      <c r="L386" s="10">
        <v>1</v>
      </c>
      <c r="M386" s="10">
        <v>3</v>
      </c>
    </row>
    <row r="387" spans="1:13">
      <c r="A387" s="8">
        <v>42921</v>
      </c>
      <c r="B387" s="9">
        <v>0.5756944444444444</v>
      </c>
      <c r="C387" s="10" t="str">
        <f>"FES1162560516"</f>
        <v>FES1162560516</v>
      </c>
      <c r="D387" s="10" t="s">
        <v>19</v>
      </c>
      <c r="E387" s="10" t="s">
        <v>373</v>
      </c>
      <c r="F387" s="10" t="str">
        <f>"2170577061 "</f>
        <v xml:space="preserve">2170577061 </v>
      </c>
      <c r="G387" s="10" t="str">
        <f>"DBC"</f>
        <v>DBC</v>
      </c>
      <c r="H387" s="10" t="s">
        <v>21</v>
      </c>
      <c r="I387" s="10" t="s">
        <v>374</v>
      </c>
      <c r="J387" s="10" t="str">
        <f>""</f>
        <v/>
      </c>
      <c r="K387" s="10" t="str">
        <f>"PFES1162560516_0001"</f>
        <v>PFES1162560516_0001</v>
      </c>
      <c r="L387" s="10">
        <v>1</v>
      </c>
      <c r="M387" s="10">
        <v>12</v>
      </c>
    </row>
    <row r="388" spans="1:13">
      <c r="A388" s="8">
        <v>42921</v>
      </c>
      <c r="B388" s="9">
        <v>0.5756944444444444</v>
      </c>
      <c r="C388" s="10" t="str">
        <f>"FES1162560521"</f>
        <v>FES1162560521</v>
      </c>
      <c r="D388" s="10" t="s">
        <v>19</v>
      </c>
      <c r="E388" s="10" t="s">
        <v>375</v>
      </c>
      <c r="F388" s="10" t="str">
        <f>"2170577316 "</f>
        <v xml:space="preserve">2170577316 </v>
      </c>
      <c r="G388" s="10" t="str">
        <f t="shared" ref="G388:G431" si="14">"ON1"</f>
        <v>ON1</v>
      </c>
      <c r="H388" s="10" t="s">
        <v>21</v>
      </c>
      <c r="I388" s="10" t="s">
        <v>75</v>
      </c>
      <c r="J388" s="10" t="str">
        <f>""</f>
        <v/>
      </c>
      <c r="K388" s="10" t="str">
        <f>"PFES1162560521_0001"</f>
        <v>PFES1162560521_0001</v>
      </c>
      <c r="L388" s="10">
        <v>1</v>
      </c>
      <c r="M388" s="10">
        <v>1</v>
      </c>
    </row>
    <row r="389" spans="1:13">
      <c r="A389" s="8">
        <v>42921</v>
      </c>
      <c r="B389" s="9">
        <v>0.5756944444444444</v>
      </c>
      <c r="C389" s="10" t="str">
        <f>"FES1162560457"</f>
        <v>FES1162560457</v>
      </c>
      <c r="D389" s="10" t="s">
        <v>19</v>
      </c>
      <c r="E389" s="10" t="s">
        <v>376</v>
      </c>
      <c r="F389" s="10" t="str">
        <f>"2170577188 "</f>
        <v xml:space="preserve">2170577188 </v>
      </c>
      <c r="G389" s="10" t="str">
        <f t="shared" si="14"/>
        <v>ON1</v>
      </c>
      <c r="H389" s="10" t="s">
        <v>21</v>
      </c>
      <c r="I389" s="10" t="s">
        <v>377</v>
      </c>
      <c r="J389" s="10" t="str">
        <f>""</f>
        <v/>
      </c>
      <c r="K389" s="10" t="str">
        <f>"PFES1162560457_0001"</f>
        <v>PFES1162560457_0001</v>
      </c>
      <c r="L389" s="10">
        <v>1</v>
      </c>
      <c r="M389" s="10">
        <v>1</v>
      </c>
    </row>
    <row r="390" spans="1:13">
      <c r="A390" s="8">
        <v>42921</v>
      </c>
      <c r="B390" s="9">
        <v>0.57500000000000007</v>
      </c>
      <c r="C390" s="10" t="str">
        <f>"FES1162560608"</f>
        <v>FES1162560608</v>
      </c>
      <c r="D390" s="10" t="s">
        <v>19</v>
      </c>
      <c r="E390" s="10" t="s">
        <v>378</v>
      </c>
      <c r="F390" s="10" t="str">
        <f>"2170577423 "</f>
        <v xml:space="preserve">2170577423 </v>
      </c>
      <c r="G390" s="10" t="str">
        <f t="shared" si="14"/>
        <v>ON1</v>
      </c>
      <c r="H390" s="10" t="s">
        <v>21</v>
      </c>
      <c r="I390" s="10" t="s">
        <v>36</v>
      </c>
      <c r="J390" s="10" t="str">
        <f>""</f>
        <v/>
      </c>
      <c r="K390" s="10" t="str">
        <f>"PFES1162560608_0001"</f>
        <v>PFES1162560608_0001</v>
      </c>
      <c r="L390" s="10">
        <v>1</v>
      </c>
      <c r="M390" s="10">
        <v>1</v>
      </c>
    </row>
    <row r="391" spans="1:13">
      <c r="A391" s="8">
        <v>42921</v>
      </c>
      <c r="B391" s="9">
        <v>0.57500000000000007</v>
      </c>
      <c r="C391" s="10" t="str">
        <f>"FES1162560562"</f>
        <v>FES1162560562</v>
      </c>
      <c r="D391" s="10" t="s">
        <v>19</v>
      </c>
      <c r="E391" s="10" t="s">
        <v>379</v>
      </c>
      <c r="F391" s="10" t="str">
        <f>"2170577363 "</f>
        <v xml:space="preserve">2170577363 </v>
      </c>
      <c r="G391" s="10" t="str">
        <f t="shared" si="14"/>
        <v>ON1</v>
      </c>
      <c r="H391" s="10" t="s">
        <v>21</v>
      </c>
      <c r="I391" s="10" t="s">
        <v>380</v>
      </c>
      <c r="J391" s="10" t="str">
        <f>""</f>
        <v/>
      </c>
      <c r="K391" s="10" t="str">
        <f>"PFES1162560562_0001"</f>
        <v>PFES1162560562_0001</v>
      </c>
      <c r="L391" s="10">
        <v>1</v>
      </c>
      <c r="M391" s="10">
        <v>1</v>
      </c>
    </row>
    <row r="392" spans="1:13">
      <c r="A392" s="8">
        <v>42921</v>
      </c>
      <c r="B392" s="9">
        <v>0.57430555555555551</v>
      </c>
      <c r="C392" s="10" t="str">
        <f>"FES1162560586"</f>
        <v>FES1162560586</v>
      </c>
      <c r="D392" s="10" t="s">
        <v>19</v>
      </c>
      <c r="E392" s="10" t="s">
        <v>381</v>
      </c>
      <c r="F392" s="10" t="str">
        <f>"2170577391 "</f>
        <v xml:space="preserve">2170577391 </v>
      </c>
      <c r="G392" s="10" t="str">
        <f t="shared" si="14"/>
        <v>ON1</v>
      </c>
      <c r="H392" s="10" t="s">
        <v>21</v>
      </c>
      <c r="I392" s="10" t="s">
        <v>149</v>
      </c>
      <c r="J392" s="10" t="str">
        <f>""</f>
        <v/>
      </c>
      <c r="K392" s="10" t="str">
        <f>"PFES1162560586_0001"</f>
        <v>PFES1162560586_0001</v>
      </c>
      <c r="L392" s="10">
        <v>1</v>
      </c>
      <c r="M392" s="10">
        <v>1</v>
      </c>
    </row>
    <row r="393" spans="1:13">
      <c r="A393" s="8">
        <v>42921</v>
      </c>
      <c r="B393" s="9">
        <v>0.57361111111111118</v>
      </c>
      <c r="C393" s="10" t="str">
        <f>"FES1162560495"</f>
        <v>FES1162560495</v>
      </c>
      <c r="D393" s="10" t="s">
        <v>19</v>
      </c>
      <c r="E393" s="10" t="s">
        <v>162</v>
      </c>
      <c r="F393" s="10" t="str">
        <f>"2170577283 "</f>
        <v xml:space="preserve">2170577283 </v>
      </c>
      <c r="G393" s="10" t="str">
        <f t="shared" si="14"/>
        <v>ON1</v>
      </c>
      <c r="H393" s="10" t="s">
        <v>21</v>
      </c>
      <c r="I393" s="10" t="s">
        <v>163</v>
      </c>
      <c r="J393" s="10" t="str">
        <f>""</f>
        <v/>
      </c>
      <c r="K393" s="10" t="str">
        <f>"PFES1162560495_0001"</f>
        <v>PFES1162560495_0001</v>
      </c>
      <c r="L393" s="10">
        <v>1</v>
      </c>
      <c r="M393" s="10">
        <v>7</v>
      </c>
    </row>
    <row r="394" spans="1:13">
      <c r="A394" s="8">
        <v>42921</v>
      </c>
      <c r="B394" s="9">
        <v>0.57361111111111118</v>
      </c>
      <c r="C394" s="10" t="str">
        <f>"FES1162560565"</f>
        <v>FES1162560565</v>
      </c>
      <c r="D394" s="10" t="s">
        <v>19</v>
      </c>
      <c r="E394" s="10" t="s">
        <v>382</v>
      </c>
      <c r="F394" s="10" t="str">
        <f>"217057371 "</f>
        <v xml:space="preserve">217057371 </v>
      </c>
      <c r="G394" s="10" t="str">
        <f t="shared" si="14"/>
        <v>ON1</v>
      </c>
      <c r="H394" s="10" t="s">
        <v>21</v>
      </c>
      <c r="I394" s="10" t="s">
        <v>383</v>
      </c>
      <c r="J394" s="10" t="str">
        <f>""</f>
        <v/>
      </c>
      <c r="K394" s="10" t="str">
        <f>"PFES1162560565_0001"</f>
        <v>PFES1162560565_0001</v>
      </c>
      <c r="L394" s="10">
        <v>1</v>
      </c>
      <c r="M394" s="10">
        <v>1</v>
      </c>
    </row>
    <row r="395" spans="1:13">
      <c r="A395" s="8">
        <v>42921</v>
      </c>
      <c r="B395" s="9">
        <v>0.57361111111111118</v>
      </c>
      <c r="C395" s="10" t="str">
        <f>"FES1162560578"</f>
        <v>FES1162560578</v>
      </c>
      <c r="D395" s="10" t="s">
        <v>19</v>
      </c>
      <c r="E395" s="10" t="s">
        <v>384</v>
      </c>
      <c r="F395" s="10" t="str">
        <f>"2170577382 "</f>
        <v xml:space="preserve">2170577382 </v>
      </c>
      <c r="G395" s="10" t="str">
        <f t="shared" si="14"/>
        <v>ON1</v>
      </c>
      <c r="H395" s="10" t="s">
        <v>21</v>
      </c>
      <c r="I395" s="10" t="s">
        <v>228</v>
      </c>
      <c r="J395" s="10" t="str">
        <f>""</f>
        <v/>
      </c>
      <c r="K395" s="10" t="str">
        <f>"PFES1162560578_0001"</f>
        <v>PFES1162560578_0001</v>
      </c>
      <c r="L395" s="10">
        <v>1</v>
      </c>
      <c r="M395" s="10">
        <v>1</v>
      </c>
    </row>
    <row r="396" spans="1:13">
      <c r="A396" s="8">
        <v>42921</v>
      </c>
      <c r="B396" s="9">
        <v>0.57291666666666663</v>
      </c>
      <c r="C396" s="10" t="str">
        <f>"FES1162560353"</f>
        <v>FES1162560353</v>
      </c>
      <c r="D396" s="10" t="s">
        <v>19</v>
      </c>
      <c r="E396" s="10" t="s">
        <v>385</v>
      </c>
      <c r="F396" s="10" t="str">
        <f>"2170577177 "</f>
        <v xml:space="preserve">2170577177 </v>
      </c>
      <c r="G396" s="10" t="str">
        <f t="shared" si="14"/>
        <v>ON1</v>
      </c>
      <c r="H396" s="10" t="s">
        <v>21</v>
      </c>
      <c r="I396" s="10" t="s">
        <v>119</v>
      </c>
      <c r="J396" s="10" t="str">
        <f>""</f>
        <v/>
      </c>
      <c r="K396" s="10" t="str">
        <f>"PFES1162560353_0001"</f>
        <v>PFES1162560353_0001</v>
      </c>
      <c r="L396" s="10">
        <v>1</v>
      </c>
      <c r="M396" s="10">
        <v>1</v>
      </c>
    </row>
    <row r="397" spans="1:13">
      <c r="A397" s="8">
        <v>42921</v>
      </c>
      <c r="B397" s="9">
        <v>0.57291666666666663</v>
      </c>
      <c r="C397" s="10" t="str">
        <f>"FES1162560325"</f>
        <v>FES1162560325</v>
      </c>
      <c r="D397" s="10" t="s">
        <v>19</v>
      </c>
      <c r="E397" s="10" t="s">
        <v>180</v>
      </c>
      <c r="F397" s="10" t="str">
        <f>"21705777138 "</f>
        <v xml:space="preserve">21705777138 </v>
      </c>
      <c r="G397" s="10" t="str">
        <f t="shared" si="14"/>
        <v>ON1</v>
      </c>
      <c r="H397" s="10" t="s">
        <v>21</v>
      </c>
      <c r="I397" s="10" t="s">
        <v>168</v>
      </c>
      <c r="J397" s="10" t="str">
        <f>""</f>
        <v/>
      </c>
      <c r="K397" s="10" t="str">
        <f>"PFES1162560325_0001"</f>
        <v>PFES1162560325_0001</v>
      </c>
      <c r="L397" s="10">
        <v>1</v>
      </c>
      <c r="M397" s="10">
        <v>1</v>
      </c>
    </row>
    <row r="398" spans="1:13">
      <c r="A398" s="8">
        <v>42921</v>
      </c>
      <c r="B398" s="9">
        <v>0.57222222222222219</v>
      </c>
      <c r="C398" s="10" t="str">
        <f>"FES1162560514"</f>
        <v>FES1162560514</v>
      </c>
      <c r="D398" s="10" t="s">
        <v>19</v>
      </c>
      <c r="E398" s="10" t="s">
        <v>180</v>
      </c>
      <c r="F398" s="10" t="str">
        <f>"2170577311 "</f>
        <v xml:space="preserve">2170577311 </v>
      </c>
      <c r="G398" s="10" t="str">
        <f t="shared" si="14"/>
        <v>ON1</v>
      </c>
      <c r="H398" s="10" t="s">
        <v>21</v>
      </c>
      <c r="I398" s="10" t="s">
        <v>168</v>
      </c>
      <c r="J398" s="10" t="str">
        <f>""</f>
        <v/>
      </c>
      <c r="K398" s="10" t="str">
        <f>"PFES1162560514_0001"</f>
        <v>PFES1162560514_0001</v>
      </c>
      <c r="L398" s="10">
        <v>1</v>
      </c>
      <c r="M398" s="10">
        <v>1</v>
      </c>
    </row>
    <row r="399" spans="1:13">
      <c r="A399" s="8">
        <v>42921</v>
      </c>
      <c r="B399" s="9">
        <v>0.57222222222222219</v>
      </c>
      <c r="C399" s="10" t="str">
        <f>"FES1162560515"</f>
        <v>FES1162560515</v>
      </c>
      <c r="D399" s="10" t="s">
        <v>19</v>
      </c>
      <c r="E399" s="10" t="s">
        <v>180</v>
      </c>
      <c r="F399" s="10" t="str">
        <f>"2170577311 "</f>
        <v xml:space="preserve">2170577311 </v>
      </c>
      <c r="G399" s="10" t="str">
        <f t="shared" si="14"/>
        <v>ON1</v>
      </c>
      <c r="H399" s="10" t="s">
        <v>21</v>
      </c>
      <c r="I399" s="10" t="s">
        <v>168</v>
      </c>
      <c r="J399" s="10" t="str">
        <f>""</f>
        <v/>
      </c>
      <c r="K399" s="10" t="str">
        <f>"PFES1162560515_0001"</f>
        <v>PFES1162560515_0001</v>
      </c>
      <c r="L399" s="10">
        <v>1</v>
      </c>
      <c r="M399" s="10">
        <v>1</v>
      </c>
    </row>
    <row r="400" spans="1:13">
      <c r="A400" s="8">
        <v>42921</v>
      </c>
      <c r="B400" s="9">
        <v>0.57222222222222219</v>
      </c>
      <c r="C400" s="10" t="str">
        <f>"FES1162560529"</f>
        <v>FES1162560529</v>
      </c>
      <c r="D400" s="10" t="s">
        <v>19</v>
      </c>
      <c r="E400" s="10" t="s">
        <v>386</v>
      </c>
      <c r="F400" s="10" t="str">
        <f>"2170577324 "</f>
        <v xml:space="preserve">2170577324 </v>
      </c>
      <c r="G400" s="10" t="str">
        <f t="shared" si="14"/>
        <v>ON1</v>
      </c>
      <c r="H400" s="10" t="s">
        <v>21</v>
      </c>
      <c r="I400" s="10" t="s">
        <v>387</v>
      </c>
      <c r="J400" s="10" t="str">
        <f>""</f>
        <v/>
      </c>
      <c r="K400" s="10" t="str">
        <f>"PFES1162560529_0001"</f>
        <v>PFES1162560529_0001</v>
      </c>
      <c r="L400" s="10">
        <v>1</v>
      </c>
      <c r="M400" s="10">
        <v>1</v>
      </c>
    </row>
    <row r="401" spans="1:13">
      <c r="A401" s="8">
        <v>42921</v>
      </c>
      <c r="B401" s="9">
        <v>0.57152777777777775</v>
      </c>
      <c r="C401" s="10" t="str">
        <f>"FES1162560333"</f>
        <v>FES1162560333</v>
      </c>
      <c r="D401" s="10" t="s">
        <v>19</v>
      </c>
      <c r="E401" s="10" t="s">
        <v>388</v>
      </c>
      <c r="F401" s="10" t="str">
        <f>"2170577148 "</f>
        <v xml:space="preserve">2170577148 </v>
      </c>
      <c r="G401" s="10" t="str">
        <f t="shared" si="14"/>
        <v>ON1</v>
      </c>
      <c r="H401" s="10" t="s">
        <v>21</v>
      </c>
      <c r="I401" s="10" t="s">
        <v>389</v>
      </c>
      <c r="J401" s="10" t="str">
        <f>""</f>
        <v/>
      </c>
      <c r="K401" s="10" t="str">
        <f>"PFES1162560333_0001"</f>
        <v>PFES1162560333_0001</v>
      </c>
      <c r="L401" s="10">
        <v>1</v>
      </c>
      <c r="M401" s="10">
        <v>1</v>
      </c>
    </row>
    <row r="402" spans="1:13">
      <c r="A402" s="8">
        <v>42921</v>
      </c>
      <c r="B402" s="9">
        <v>0.57152777777777775</v>
      </c>
      <c r="C402" s="10" t="str">
        <f>"FES1162560350"</f>
        <v>FES1162560350</v>
      </c>
      <c r="D402" s="10" t="s">
        <v>19</v>
      </c>
      <c r="E402" s="10" t="s">
        <v>181</v>
      </c>
      <c r="F402" s="10" t="str">
        <f>"2170575623 "</f>
        <v xml:space="preserve">2170575623 </v>
      </c>
      <c r="G402" s="10" t="str">
        <f t="shared" si="14"/>
        <v>ON1</v>
      </c>
      <c r="H402" s="10" t="s">
        <v>21</v>
      </c>
      <c r="I402" s="10" t="s">
        <v>179</v>
      </c>
      <c r="J402" s="10" t="str">
        <f>""</f>
        <v/>
      </c>
      <c r="K402" s="10" t="str">
        <f>"PFES1162560350_0001"</f>
        <v>PFES1162560350_0001</v>
      </c>
      <c r="L402" s="10">
        <v>1</v>
      </c>
      <c r="M402" s="10">
        <v>1</v>
      </c>
    </row>
    <row r="403" spans="1:13">
      <c r="A403" s="8">
        <v>42921</v>
      </c>
      <c r="B403" s="9">
        <v>0.5708333333333333</v>
      </c>
      <c r="C403" s="10" t="str">
        <f>"FES1162560351"</f>
        <v>FES1162560351</v>
      </c>
      <c r="D403" s="10" t="s">
        <v>19</v>
      </c>
      <c r="E403" s="10" t="s">
        <v>390</v>
      </c>
      <c r="F403" s="10" t="str">
        <f>"2170577083 "</f>
        <v xml:space="preserve">2170577083 </v>
      </c>
      <c r="G403" s="10" t="str">
        <f t="shared" si="14"/>
        <v>ON1</v>
      </c>
      <c r="H403" s="10" t="s">
        <v>21</v>
      </c>
      <c r="I403" s="10" t="s">
        <v>300</v>
      </c>
      <c r="J403" s="10" t="str">
        <f>""</f>
        <v/>
      </c>
      <c r="K403" s="10" t="str">
        <f>"PFES1162560351_0001"</f>
        <v>PFES1162560351_0001</v>
      </c>
      <c r="L403" s="10">
        <v>1</v>
      </c>
      <c r="M403" s="10">
        <v>1</v>
      </c>
    </row>
    <row r="404" spans="1:13">
      <c r="A404" s="8">
        <v>42921</v>
      </c>
      <c r="B404" s="9">
        <v>0.5708333333333333</v>
      </c>
      <c r="C404" s="10" t="str">
        <f>"FES1162560371"</f>
        <v>FES1162560371</v>
      </c>
      <c r="D404" s="10" t="s">
        <v>19</v>
      </c>
      <c r="E404" s="10" t="s">
        <v>391</v>
      </c>
      <c r="F404" s="10" t="str">
        <f>"2170577208 "</f>
        <v xml:space="preserve">2170577208 </v>
      </c>
      <c r="G404" s="10" t="str">
        <f t="shared" si="14"/>
        <v>ON1</v>
      </c>
      <c r="H404" s="10" t="s">
        <v>21</v>
      </c>
      <c r="I404" s="10" t="s">
        <v>183</v>
      </c>
      <c r="J404" s="10" t="str">
        <f>""</f>
        <v/>
      </c>
      <c r="K404" s="10" t="str">
        <f>"PFES1162560371_0001"</f>
        <v>PFES1162560371_0001</v>
      </c>
      <c r="L404" s="10">
        <v>1</v>
      </c>
      <c r="M404" s="10">
        <v>1</v>
      </c>
    </row>
    <row r="405" spans="1:13">
      <c r="A405" s="8">
        <v>42921</v>
      </c>
      <c r="B405" s="9">
        <v>0.5708333333333333</v>
      </c>
      <c r="C405" s="10" t="str">
        <f>"FES1162560360"</f>
        <v>FES1162560360</v>
      </c>
      <c r="D405" s="10" t="s">
        <v>19</v>
      </c>
      <c r="E405" s="10" t="s">
        <v>175</v>
      </c>
      <c r="F405" s="10" t="str">
        <f>"2170577191 "</f>
        <v xml:space="preserve">2170577191 </v>
      </c>
      <c r="G405" s="10" t="str">
        <f t="shared" si="14"/>
        <v>ON1</v>
      </c>
      <c r="H405" s="10" t="s">
        <v>21</v>
      </c>
      <c r="I405" s="10" t="s">
        <v>168</v>
      </c>
      <c r="J405" s="10" t="str">
        <f>""</f>
        <v/>
      </c>
      <c r="K405" s="10" t="str">
        <f>"PFES1162560360_0001"</f>
        <v>PFES1162560360_0001</v>
      </c>
      <c r="L405" s="10">
        <v>1</v>
      </c>
      <c r="M405" s="10">
        <v>1</v>
      </c>
    </row>
    <row r="406" spans="1:13">
      <c r="A406" s="8">
        <v>42921</v>
      </c>
      <c r="B406" s="9">
        <v>0.53472222222222221</v>
      </c>
      <c r="C406" s="10" t="str">
        <f>"009935791517"</f>
        <v>009935791517</v>
      </c>
      <c r="D406" s="10" t="s">
        <v>19</v>
      </c>
      <c r="E406" s="10" t="s">
        <v>62</v>
      </c>
      <c r="F406" s="10" t="str">
        <f>"2170577056 1162560235 "</f>
        <v xml:space="preserve">2170577056 1162560235 </v>
      </c>
      <c r="G406" s="10" t="str">
        <f t="shared" si="14"/>
        <v>ON1</v>
      </c>
      <c r="H406" s="10" t="s">
        <v>21</v>
      </c>
      <c r="I406" s="10" t="s">
        <v>263</v>
      </c>
      <c r="J406" s="10" t="str">
        <f>"SENDING CORRECTORDER"</f>
        <v>SENDING CORRECTORDER</v>
      </c>
      <c r="K406" s="10" t="str">
        <f>"P009935791517_0001"</f>
        <v>P009935791517_0001</v>
      </c>
      <c r="L406" s="10">
        <v>1</v>
      </c>
      <c r="M406" s="10">
        <v>1</v>
      </c>
    </row>
    <row r="407" spans="1:13">
      <c r="A407" s="8">
        <v>42921</v>
      </c>
      <c r="B407" s="9">
        <v>0.53333333333333333</v>
      </c>
      <c r="C407" s="10" t="str">
        <f>"FES1162560383"</f>
        <v>FES1162560383</v>
      </c>
      <c r="D407" s="10" t="s">
        <v>19</v>
      </c>
      <c r="E407" s="10" t="s">
        <v>392</v>
      </c>
      <c r="F407" s="10" t="str">
        <f>"2170577225 "</f>
        <v xml:space="preserve">2170577225 </v>
      </c>
      <c r="G407" s="10" t="str">
        <f t="shared" si="14"/>
        <v>ON1</v>
      </c>
      <c r="H407" s="10" t="s">
        <v>21</v>
      </c>
      <c r="I407" s="10" t="s">
        <v>393</v>
      </c>
      <c r="J407" s="10" t="str">
        <f>""</f>
        <v/>
      </c>
      <c r="K407" s="10" t="str">
        <f>"PFES1162560383_0001"</f>
        <v>PFES1162560383_0001</v>
      </c>
      <c r="L407" s="10">
        <v>1</v>
      </c>
      <c r="M407" s="10">
        <v>1</v>
      </c>
    </row>
    <row r="408" spans="1:13">
      <c r="A408" s="8">
        <v>42921</v>
      </c>
      <c r="B408" s="9">
        <v>0.53263888888888888</v>
      </c>
      <c r="C408" s="10" t="str">
        <f>"FES1162560445"</f>
        <v>FES1162560445</v>
      </c>
      <c r="D408" s="10" t="s">
        <v>19</v>
      </c>
      <c r="E408" s="10" t="s">
        <v>376</v>
      </c>
      <c r="F408" s="10" t="str">
        <f>"2170577169 "</f>
        <v xml:space="preserve">2170577169 </v>
      </c>
      <c r="G408" s="10" t="str">
        <f t="shared" si="14"/>
        <v>ON1</v>
      </c>
      <c r="H408" s="10" t="s">
        <v>21</v>
      </c>
      <c r="I408" s="10" t="s">
        <v>377</v>
      </c>
      <c r="J408" s="10" t="str">
        <f>""</f>
        <v/>
      </c>
      <c r="K408" s="10" t="str">
        <f>"PFES1162560445_0001"</f>
        <v>PFES1162560445_0001</v>
      </c>
      <c r="L408" s="10">
        <v>1</v>
      </c>
      <c r="M408" s="10">
        <v>1</v>
      </c>
    </row>
    <row r="409" spans="1:13">
      <c r="A409" s="8">
        <v>42921</v>
      </c>
      <c r="B409" s="9">
        <v>0.53194444444444444</v>
      </c>
      <c r="C409" s="10" t="str">
        <f>"FES1162560448"</f>
        <v>FES1162560448</v>
      </c>
      <c r="D409" s="10" t="s">
        <v>19</v>
      </c>
      <c r="E409" s="10" t="s">
        <v>376</v>
      </c>
      <c r="F409" s="10" t="str">
        <f>"2170577172 "</f>
        <v xml:space="preserve">2170577172 </v>
      </c>
      <c r="G409" s="10" t="str">
        <f t="shared" si="14"/>
        <v>ON1</v>
      </c>
      <c r="H409" s="10" t="s">
        <v>21</v>
      </c>
      <c r="I409" s="10" t="s">
        <v>377</v>
      </c>
      <c r="J409" s="10" t="str">
        <f>""</f>
        <v/>
      </c>
      <c r="K409" s="10" t="str">
        <f>"PFES1162560448_0001"</f>
        <v>PFES1162560448_0001</v>
      </c>
      <c r="L409" s="10">
        <v>1</v>
      </c>
      <c r="M409" s="10">
        <v>1</v>
      </c>
    </row>
    <row r="410" spans="1:13">
      <c r="A410" s="8">
        <v>42921</v>
      </c>
      <c r="B410" s="9">
        <v>0.53125</v>
      </c>
      <c r="C410" s="10" t="str">
        <f>"FES1162560447"</f>
        <v>FES1162560447</v>
      </c>
      <c r="D410" s="10" t="s">
        <v>19</v>
      </c>
      <c r="E410" s="10" t="s">
        <v>376</v>
      </c>
      <c r="F410" s="10" t="str">
        <f>"2170577171 "</f>
        <v xml:space="preserve">2170577171 </v>
      </c>
      <c r="G410" s="10" t="str">
        <f t="shared" si="14"/>
        <v>ON1</v>
      </c>
      <c r="H410" s="10" t="s">
        <v>21</v>
      </c>
      <c r="I410" s="10" t="s">
        <v>377</v>
      </c>
      <c r="J410" s="10" t="str">
        <f>""</f>
        <v/>
      </c>
      <c r="K410" s="10" t="str">
        <f>"PFES1162560447_0001"</f>
        <v>PFES1162560447_0001</v>
      </c>
      <c r="L410" s="10">
        <v>1</v>
      </c>
      <c r="M410" s="10">
        <v>1</v>
      </c>
    </row>
    <row r="411" spans="1:13">
      <c r="A411" s="8">
        <v>42921</v>
      </c>
      <c r="B411" s="9">
        <v>0.53125</v>
      </c>
      <c r="C411" s="10" t="str">
        <f>"FES1162560453"</f>
        <v>FES1162560453</v>
      </c>
      <c r="D411" s="10" t="s">
        <v>19</v>
      </c>
      <c r="E411" s="10" t="s">
        <v>376</v>
      </c>
      <c r="F411" s="10" t="str">
        <f>"2170577181 "</f>
        <v xml:space="preserve">2170577181 </v>
      </c>
      <c r="G411" s="10" t="str">
        <f t="shared" si="14"/>
        <v>ON1</v>
      </c>
      <c r="H411" s="10" t="s">
        <v>21</v>
      </c>
      <c r="I411" s="10" t="s">
        <v>377</v>
      </c>
      <c r="J411" s="10" t="str">
        <f>""</f>
        <v/>
      </c>
      <c r="K411" s="10" t="str">
        <f>"PFES1162560453_0001"</f>
        <v>PFES1162560453_0001</v>
      </c>
      <c r="L411" s="10">
        <v>1</v>
      </c>
      <c r="M411" s="10">
        <v>1</v>
      </c>
    </row>
    <row r="412" spans="1:13">
      <c r="A412" s="8">
        <v>42921</v>
      </c>
      <c r="B412" s="9">
        <v>0.52986111111111112</v>
      </c>
      <c r="C412" s="10" t="str">
        <f>"FES1162560564"</f>
        <v>FES1162560564</v>
      </c>
      <c r="D412" s="10" t="s">
        <v>19</v>
      </c>
      <c r="E412" s="10" t="s">
        <v>328</v>
      </c>
      <c r="F412" s="10" t="str">
        <f>"2170577367 "</f>
        <v xml:space="preserve">2170577367 </v>
      </c>
      <c r="G412" s="10" t="str">
        <f t="shared" si="14"/>
        <v>ON1</v>
      </c>
      <c r="H412" s="10" t="s">
        <v>21</v>
      </c>
      <c r="I412" s="10" t="s">
        <v>115</v>
      </c>
      <c r="J412" s="10" t="str">
        <f>""</f>
        <v/>
      </c>
      <c r="K412" s="10" t="str">
        <f>"PFES1162560564_0001"</f>
        <v>PFES1162560564_0001</v>
      </c>
      <c r="L412" s="10">
        <v>1</v>
      </c>
      <c r="M412" s="10">
        <v>1</v>
      </c>
    </row>
    <row r="413" spans="1:13">
      <c r="A413" s="8">
        <v>42921</v>
      </c>
      <c r="B413" s="9">
        <v>0.52986111111111112</v>
      </c>
      <c r="C413" s="10" t="str">
        <f>"FES1162560581"</f>
        <v>FES1162560581</v>
      </c>
      <c r="D413" s="10" t="s">
        <v>19</v>
      </c>
      <c r="E413" s="10" t="s">
        <v>394</v>
      </c>
      <c r="F413" s="10" t="str">
        <f>"2170577020 "</f>
        <v xml:space="preserve">2170577020 </v>
      </c>
      <c r="G413" s="10" t="str">
        <f t="shared" si="14"/>
        <v>ON1</v>
      </c>
      <c r="H413" s="10" t="s">
        <v>21</v>
      </c>
      <c r="I413" s="10" t="s">
        <v>98</v>
      </c>
      <c r="J413" s="10" t="str">
        <f>""</f>
        <v/>
      </c>
      <c r="K413" s="10" t="str">
        <f>"PFES1162560581_0001"</f>
        <v>PFES1162560581_0001</v>
      </c>
      <c r="L413" s="10">
        <v>1</v>
      </c>
      <c r="M413" s="10">
        <v>1</v>
      </c>
    </row>
    <row r="414" spans="1:13">
      <c r="A414" s="8">
        <v>42921</v>
      </c>
      <c r="B414" s="9">
        <v>0.52916666666666667</v>
      </c>
      <c r="C414" s="10" t="str">
        <f>"FES1162560505"</f>
        <v>FES1162560505</v>
      </c>
      <c r="D414" s="10" t="s">
        <v>19</v>
      </c>
      <c r="E414" s="10" t="s">
        <v>245</v>
      </c>
      <c r="F414" s="10" t="str">
        <f>"2170577298 "</f>
        <v xml:space="preserve">2170577298 </v>
      </c>
      <c r="G414" s="10" t="str">
        <f t="shared" si="14"/>
        <v>ON1</v>
      </c>
      <c r="H414" s="10" t="s">
        <v>21</v>
      </c>
      <c r="I414" s="10" t="s">
        <v>246</v>
      </c>
      <c r="J414" s="10" t="str">
        <f>""</f>
        <v/>
      </c>
      <c r="K414" s="10" t="str">
        <f>"PFES1162560505_0001"</f>
        <v>PFES1162560505_0001</v>
      </c>
      <c r="L414" s="10">
        <v>1</v>
      </c>
      <c r="M414" s="10">
        <v>1</v>
      </c>
    </row>
    <row r="415" spans="1:13">
      <c r="A415" s="8">
        <v>42921</v>
      </c>
      <c r="B415" s="9">
        <v>0.52916666666666667</v>
      </c>
      <c r="C415" s="10" t="str">
        <f>"FES1162560557"</f>
        <v>FES1162560557</v>
      </c>
      <c r="D415" s="10" t="s">
        <v>19</v>
      </c>
      <c r="E415" s="10" t="s">
        <v>39</v>
      </c>
      <c r="F415" s="10" t="str">
        <f>"2170577351 "</f>
        <v xml:space="preserve">2170577351 </v>
      </c>
      <c r="G415" s="10" t="str">
        <f t="shared" si="14"/>
        <v>ON1</v>
      </c>
      <c r="H415" s="10" t="s">
        <v>21</v>
      </c>
      <c r="I415" s="10" t="s">
        <v>40</v>
      </c>
      <c r="J415" s="10" t="str">
        <f>""</f>
        <v/>
      </c>
      <c r="K415" s="10" t="str">
        <f>"PFES1162560557_0001"</f>
        <v>PFES1162560557_0001</v>
      </c>
      <c r="L415" s="10">
        <v>1</v>
      </c>
      <c r="M415" s="10">
        <v>1</v>
      </c>
    </row>
    <row r="416" spans="1:13">
      <c r="A416" s="8">
        <v>42921</v>
      </c>
      <c r="B416" s="9">
        <v>0.52916666666666667</v>
      </c>
      <c r="C416" s="10" t="str">
        <f>"FES1162560518"</f>
        <v>FES1162560518</v>
      </c>
      <c r="D416" s="10" t="s">
        <v>19</v>
      </c>
      <c r="E416" s="10" t="s">
        <v>155</v>
      </c>
      <c r="F416" s="10" t="str">
        <f>"2170577308 "</f>
        <v xml:space="preserve">2170577308 </v>
      </c>
      <c r="G416" s="10" t="str">
        <f t="shared" si="14"/>
        <v>ON1</v>
      </c>
      <c r="H416" s="10" t="s">
        <v>21</v>
      </c>
      <c r="I416" s="10" t="s">
        <v>121</v>
      </c>
      <c r="J416" s="10" t="str">
        <f>""</f>
        <v/>
      </c>
      <c r="K416" s="10" t="str">
        <f>"PFES1162560518_0001"</f>
        <v>PFES1162560518_0001</v>
      </c>
      <c r="L416" s="10">
        <v>1</v>
      </c>
      <c r="M416" s="10">
        <v>1</v>
      </c>
    </row>
    <row r="417" spans="1:13">
      <c r="A417" s="8">
        <v>42921</v>
      </c>
      <c r="B417" s="9">
        <v>0.52847222222222223</v>
      </c>
      <c r="C417" s="10" t="str">
        <f>"FES1162560509"</f>
        <v>FES1162560509</v>
      </c>
      <c r="D417" s="10" t="s">
        <v>19</v>
      </c>
      <c r="E417" s="10" t="s">
        <v>245</v>
      </c>
      <c r="F417" s="10" t="str">
        <f>"2170577302 "</f>
        <v xml:space="preserve">2170577302 </v>
      </c>
      <c r="G417" s="10" t="str">
        <f t="shared" si="14"/>
        <v>ON1</v>
      </c>
      <c r="H417" s="10" t="s">
        <v>21</v>
      </c>
      <c r="I417" s="10" t="s">
        <v>246</v>
      </c>
      <c r="J417" s="10" t="str">
        <f>""</f>
        <v/>
      </c>
      <c r="K417" s="10" t="str">
        <f>"PFES1162560509_0001"</f>
        <v>PFES1162560509_0001</v>
      </c>
      <c r="L417" s="10">
        <v>1</v>
      </c>
      <c r="M417" s="10">
        <v>1</v>
      </c>
    </row>
    <row r="418" spans="1:13">
      <c r="A418" s="8">
        <v>42921</v>
      </c>
      <c r="B418" s="9">
        <v>0.52847222222222223</v>
      </c>
      <c r="C418" s="10" t="str">
        <f>"FES1162560583"</f>
        <v>FES1162560583</v>
      </c>
      <c r="D418" s="10" t="s">
        <v>19</v>
      </c>
      <c r="E418" s="10" t="s">
        <v>395</v>
      </c>
      <c r="F418" s="10" t="str">
        <f>"2170577386 "</f>
        <v xml:space="preserve">2170577386 </v>
      </c>
      <c r="G418" s="10" t="str">
        <f t="shared" si="14"/>
        <v>ON1</v>
      </c>
      <c r="H418" s="10" t="s">
        <v>21</v>
      </c>
      <c r="I418" s="10" t="s">
        <v>281</v>
      </c>
      <c r="J418" s="10" t="str">
        <f>""</f>
        <v/>
      </c>
      <c r="K418" s="10" t="str">
        <f>"PFES1162560583_0001"</f>
        <v>PFES1162560583_0001</v>
      </c>
      <c r="L418" s="10">
        <v>1</v>
      </c>
      <c r="M418" s="10">
        <v>2</v>
      </c>
    </row>
    <row r="419" spans="1:13">
      <c r="A419" s="8">
        <v>42921</v>
      </c>
      <c r="B419" s="9">
        <v>0.52847222222222223</v>
      </c>
      <c r="C419" s="10" t="str">
        <f>"FES1162560582"</f>
        <v>FES1162560582</v>
      </c>
      <c r="D419" s="10" t="s">
        <v>19</v>
      </c>
      <c r="E419" s="10" t="s">
        <v>396</v>
      </c>
      <c r="F419" s="10" t="str">
        <f>"2170568519 "</f>
        <v xml:space="preserve">2170568519 </v>
      </c>
      <c r="G419" s="10" t="str">
        <f t="shared" si="14"/>
        <v>ON1</v>
      </c>
      <c r="H419" s="10" t="s">
        <v>21</v>
      </c>
      <c r="I419" s="10" t="s">
        <v>340</v>
      </c>
      <c r="J419" s="10" t="str">
        <f>""</f>
        <v/>
      </c>
      <c r="K419" s="10" t="str">
        <f>"PFES1162560582_0001"</f>
        <v>PFES1162560582_0001</v>
      </c>
      <c r="L419" s="10">
        <v>1</v>
      </c>
      <c r="M419" s="10">
        <v>1</v>
      </c>
    </row>
    <row r="420" spans="1:13">
      <c r="A420" s="8">
        <v>42921</v>
      </c>
      <c r="B420" s="9">
        <v>0.52777777777777779</v>
      </c>
      <c r="C420" s="10" t="str">
        <f>"FES1162560563"</f>
        <v>FES1162560563</v>
      </c>
      <c r="D420" s="10" t="s">
        <v>19</v>
      </c>
      <c r="E420" s="10" t="s">
        <v>397</v>
      </c>
      <c r="F420" s="10" t="str">
        <f>"2170557364 "</f>
        <v xml:space="preserve">2170557364 </v>
      </c>
      <c r="G420" s="10" t="str">
        <f t="shared" si="14"/>
        <v>ON1</v>
      </c>
      <c r="H420" s="10" t="s">
        <v>21</v>
      </c>
      <c r="I420" s="10" t="s">
        <v>398</v>
      </c>
      <c r="J420" s="10" t="str">
        <f>""</f>
        <v/>
      </c>
      <c r="K420" s="10" t="str">
        <f>"PFES1162560563_0001"</f>
        <v>PFES1162560563_0001</v>
      </c>
      <c r="L420" s="10">
        <v>1</v>
      </c>
      <c r="M420" s="10">
        <v>5</v>
      </c>
    </row>
    <row r="421" spans="1:13">
      <c r="A421" s="8">
        <v>42921</v>
      </c>
      <c r="B421" s="9">
        <v>0.52777777777777779</v>
      </c>
      <c r="C421" s="10" t="str">
        <f>"FES1162560502"</f>
        <v>FES1162560502</v>
      </c>
      <c r="D421" s="10" t="s">
        <v>19</v>
      </c>
      <c r="E421" s="10" t="s">
        <v>399</v>
      </c>
      <c r="F421" s="10" t="str">
        <f>"2170577294 "</f>
        <v xml:space="preserve">2170577294 </v>
      </c>
      <c r="G421" s="10" t="str">
        <f t="shared" si="14"/>
        <v>ON1</v>
      </c>
      <c r="H421" s="10" t="s">
        <v>21</v>
      </c>
      <c r="I421" s="10" t="s">
        <v>400</v>
      </c>
      <c r="J421" s="10" t="str">
        <f>""</f>
        <v/>
      </c>
      <c r="K421" s="10" t="str">
        <f>"PFES1162560502_0001"</f>
        <v>PFES1162560502_0001</v>
      </c>
      <c r="L421" s="10">
        <v>1</v>
      </c>
      <c r="M421" s="10">
        <v>2</v>
      </c>
    </row>
    <row r="422" spans="1:13">
      <c r="A422" s="8">
        <v>42921</v>
      </c>
      <c r="B422" s="9">
        <v>0.52708333333333335</v>
      </c>
      <c r="C422" s="10" t="str">
        <f>"FES1162560543"</f>
        <v>FES1162560543</v>
      </c>
      <c r="D422" s="10" t="s">
        <v>19</v>
      </c>
      <c r="E422" s="10" t="s">
        <v>265</v>
      </c>
      <c r="F422" s="10" t="str">
        <f>"2170577295 "</f>
        <v xml:space="preserve">2170577295 </v>
      </c>
      <c r="G422" s="10" t="str">
        <f t="shared" si="14"/>
        <v>ON1</v>
      </c>
      <c r="H422" s="10" t="s">
        <v>21</v>
      </c>
      <c r="I422" s="10" t="s">
        <v>230</v>
      </c>
      <c r="J422" s="10" t="str">
        <f>""</f>
        <v/>
      </c>
      <c r="K422" s="10" t="str">
        <f>"PFES1162560543_0001"</f>
        <v>PFES1162560543_0001</v>
      </c>
      <c r="L422" s="10">
        <v>1</v>
      </c>
      <c r="M422" s="10">
        <v>4</v>
      </c>
    </row>
    <row r="423" spans="1:13">
      <c r="A423" s="8">
        <v>42921</v>
      </c>
      <c r="B423" s="9">
        <v>0.52708333333333335</v>
      </c>
      <c r="C423" s="10" t="str">
        <f>"FES1162560558"</f>
        <v>FES1162560558</v>
      </c>
      <c r="D423" s="10" t="s">
        <v>19</v>
      </c>
      <c r="E423" s="10" t="s">
        <v>243</v>
      </c>
      <c r="F423" s="10" t="str">
        <f>"2170577355 "</f>
        <v xml:space="preserve">2170577355 </v>
      </c>
      <c r="G423" s="10" t="str">
        <f t="shared" si="14"/>
        <v>ON1</v>
      </c>
      <c r="H423" s="10" t="s">
        <v>21</v>
      </c>
      <c r="I423" s="10" t="s">
        <v>244</v>
      </c>
      <c r="J423" s="10" t="str">
        <f>""</f>
        <v/>
      </c>
      <c r="K423" s="10" t="str">
        <f>"PFES1162560558_0001"</f>
        <v>PFES1162560558_0001</v>
      </c>
      <c r="L423" s="10">
        <v>1</v>
      </c>
      <c r="M423" s="10">
        <v>2</v>
      </c>
    </row>
    <row r="424" spans="1:13">
      <c r="A424" s="8">
        <v>42921</v>
      </c>
      <c r="B424" s="9">
        <v>0.52638888888888891</v>
      </c>
      <c r="C424" s="10" t="str">
        <f>"FES1162560510"</f>
        <v>FES1162560510</v>
      </c>
      <c r="D424" s="10" t="s">
        <v>19</v>
      </c>
      <c r="E424" s="10" t="s">
        <v>401</v>
      </c>
      <c r="F424" s="10" t="str">
        <f>"2170577303 "</f>
        <v xml:space="preserve">2170577303 </v>
      </c>
      <c r="G424" s="10" t="str">
        <f t="shared" si="14"/>
        <v>ON1</v>
      </c>
      <c r="H424" s="10" t="s">
        <v>21</v>
      </c>
      <c r="I424" s="10" t="s">
        <v>402</v>
      </c>
      <c r="J424" s="10" t="str">
        <f>""</f>
        <v/>
      </c>
      <c r="K424" s="10" t="str">
        <f>"PFES1162560510_0001"</f>
        <v>PFES1162560510_0001</v>
      </c>
      <c r="L424" s="10">
        <v>1</v>
      </c>
      <c r="M424" s="10">
        <v>2</v>
      </c>
    </row>
    <row r="425" spans="1:13">
      <c r="A425" s="8">
        <v>42921</v>
      </c>
      <c r="B425" s="9">
        <v>0.52638888888888891</v>
      </c>
      <c r="C425" s="10" t="str">
        <f>"FES1162560452"</f>
        <v>FES1162560452</v>
      </c>
      <c r="D425" s="10" t="s">
        <v>19</v>
      </c>
      <c r="E425" s="10" t="s">
        <v>376</v>
      </c>
      <c r="F425" s="10" t="str">
        <f>"2170577180 "</f>
        <v xml:space="preserve">2170577180 </v>
      </c>
      <c r="G425" s="10" t="str">
        <f t="shared" si="14"/>
        <v>ON1</v>
      </c>
      <c r="H425" s="10" t="s">
        <v>21</v>
      </c>
      <c r="I425" s="10" t="s">
        <v>377</v>
      </c>
      <c r="J425" s="10" t="str">
        <f>""</f>
        <v/>
      </c>
      <c r="K425" s="10" t="str">
        <f>"PFES1162560452_0001"</f>
        <v>PFES1162560452_0001</v>
      </c>
      <c r="L425" s="10">
        <v>1</v>
      </c>
      <c r="M425" s="10">
        <v>1</v>
      </c>
    </row>
    <row r="426" spans="1:13">
      <c r="A426" s="8">
        <v>42921</v>
      </c>
      <c r="B426" s="9">
        <v>0.52638888888888891</v>
      </c>
      <c r="C426" s="10" t="str">
        <f>"FES1162560520"</f>
        <v>FES1162560520</v>
      </c>
      <c r="D426" s="10" t="s">
        <v>19</v>
      </c>
      <c r="E426" s="10" t="s">
        <v>403</v>
      </c>
      <c r="F426" s="10" t="str">
        <f>"2170577315 "</f>
        <v xml:space="preserve">2170577315 </v>
      </c>
      <c r="G426" s="10" t="str">
        <f t="shared" si="14"/>
        <v>ON1</v>
      </c>
      <c r="H426" s="10" t="s">
        <v>21</v>
      </c>
      <c r="I426" s="10" t="s">
        <v>222</v>
      </c>
      <c r="J426" s="10" t="str">
        <f>""</f>
        <v/>
      </c>
      <c r="K426" s="10" t="str">
        <f>"PFES1162560520_0001"</f>
        <v>PFES1162560520_0001</v>
      </c>
      <c r="L426" s="10">
        <v>1</v>
      </c>
      <c r="M426" s="10">
        <v>1</v>
      </c>
    </row>
    <row r="427" spans="1:13">
      <c r="A427" s="8">
        <v>42921</v>
      </c>
      <c r="B427" s="9">
        <v>0.52569444444444446</v>
      </c>
      <c r="C427" s="10" t="str">
        <f>"FES1162560530"</f>
        <v>FES1162560530</v>
      </c>
      <c r="D427" s="10" t="s">
        <v>19</v>
      </c>
      <c r="E427" s="10" t="s">
        <v>404</v>
      </c>
      <c r="F427" s="10" t="str">
        <f>"2170577327 "</f>
        <v xml:space="preserve">2170577327 </v>
      </c>
      <c r="G427" s="10" t="str">
        <f t="shared" si="14"/>
        <v>ON1</v>
      </c>
      <c r="H427" s="10" t="s">
        <v>21</v>
      </c>
      <c r="I427" s="10" t="s">
        <v>405</v>
      </c>
      <c r="J427" s="10" t="str">
        <f>""</f>
        <v/>
      </c>
      <c r="K427" s="10" t="str">
        <f>"PFES1162560530_0001"</f>
        <v>PFES1162560530_0001</v>
      </c>
      <c r="L427" s="10">
        <v>1</v>
      </c>
      <c r="M427" s="10">
        <v>4</v>
      </c>
    </row>
    <row r="428" spans="1:13">
      <c r="A428" s="8">
        <v>42921</v>
      </c>
      <c r="B428" s="9">
        <v>0.52569444444444446</v>
      </c>
      <c r="C428" s="10" t="str">
        <f>"FES1162560418"</f>
        <v>FES1162560418</v>
      </c>
      <c r="D428" s="10" t="s">
        <v>19</v>
      </c>
      <c r="E428" s="10" t="s">
        <v>129</v>
      </c>
      <c r="F428" s="10" t="str">
        <f>"21705775243 "</f>
        <v xml:space="preserve">21705775243 </v>
      </c>
      <c r="G428" s="10" t="str">
        <f t="shared" si="14"/>
        <v>ON1</v>
      </c>
      <c r="H428" s="10" t="s">
        <v>21</v>
      </c>
      <c r="I428" s="10" t="s">
        <v>130</v>
      </c>
      <c r="J428" s="10" t="str">
        <f>""</f>
        <v/>
      </c>
      <c r="K428" s="10" t="str">
        <f>"PFES1162560418_0001"</f>
        <v>PFES1162560418_0001</v>
      </c>
      <c r="L428" s="10">
        <v>1</v>
      </c>
      <c r="M428" s="10">
        <v>3</v>
      </c>
    </row>
    <row r="429" spans="1:13">
      <c r="A429" s="8">
        <v>42921</v>
      </c>
      <c r="B429" s="9">
        <v>0.52500000000000002</v>
      </c>
      <c r="C429" s="10" t="str">
        <f>"FES1162560456"</f>
        <v>FES1162560456</v>
      </c>
      <c r="D429" s="10" t="s">
        <v>19</v>
      </c>
      <c r="E429" s="10" t="s">
        <v>376</v>
      </c>
      <c r="F429" s="10" t="str">
        <f>"2170577186 "</f>
        <v xml:space="preserve">2170577186 </v>
      </c>
      <c r="G429" s="10" t="str">
        <f t="shared" si="14"/>
        <v>ON1</v>
      </c>
      <c r="H429" s="10" t="s">
        <v>21</v>
      </c>
      <c r="I429" s="10" t="s">
        <v>377</v>
      </c>
      <c r="J429" s="10" t="str">
        <f>""</f>
        <v/>
      </c>
      <c r="K429" s="10" t="str">
        <f>"PFES1162560456_0001"</f>
        <v>PFES1162560456_0001</v>
      </c>
      <c r="L429" s="10">
        <v>1</v>
      </c>
      <c r="M429" s="10">
        <v>1</v>
      </c>
    </row>
    <row r="430" spans="1:13">
      <c r="A430" s="8">
        <v>42921</v>
      </c>
      <c r="B430" s="9">
        <v>0.52430555555555558</v>
      </c>
      <c r="C430" s="10" t="str">
        <f>"FES1162560391"</f>
        <v>FES1162560391</v>
      </c>
      <c r="D430" s="10" t="s">
        <v>19</v>
      </c>
      <c r="E430" s="10" t="s">
        <v>39</v>
      </c>
      <c r="F430" s="10" t="str">
        <f>"2170577241 "</f>
        <v xml:space="preserve">2170577241 </v>
      </c>
      <c r="G430" s="10" t="str">
        <f t="shared" si="14"/>
        <v>ON1</v>
      </c>
      <c r="H430" s="10" t="s">
        <v>21</v>
      </c>
      <c r="I430" s="10" t="s">
        <v>40</v>
      </c>
      <c r="J430" s="10" t="str">
        <f>""</f>
        <v/>
      </c>
      <c r="K430" s="10" t="str">
        <f>"PFES1162560391_0001"</f>
        <v>PFES1162560391_0001</v>
      </c>
      <c r="L430" s="10">
        <v>2</v>
      </c>
      <c r="M430" s="10">
        <v>5</v>
      </c>
    </row>
    <row r="431" spans="1:13">
      <c r="A431" s="8">
        <v>42921</v>
      </c>
      <c r="B431" s="9">
        <v>0.52430555555555558</v>
      </c>
      <c r="C431" s="10" t="str">
        <f>"FES1162560391"</f>
        <v>FES1162560391</v>
      </c>
      <c r="D431" s="10" t="s">
        <v>19</v>
      </c>
      <c r="E431" s="10" t="s">
        <v>39</v>
      </c>
      <c r="F431" s="10" t="str">
        <f>"2170577241 "</f>
        <v xml:space="preserve">2170577241 </v>
      </c>
      <c r="G431" s="10" t="str">
        <f t="shared" si="14"/>
        <v>ON1</v>
      </c>
      <c r="H431" s="10" t="s">
        <v>21</v>
      </c>
      <c r="I431" s="10" t="s">
        <v>40</v>
      </c>
      <c r="J431" s="10"/>
      <c r="K431" s="10" t="str">
        <f>"PFES1162560391_0002"</f>
        <v>PFES1162560391_0002</v>
      </c>
      <c r="L431" s="10">
        <v>2</v>
      </c>
      <c r="M431" s="10">
        <v>5</v>
      </c>
    </row>
    <row r="432" spans="1:13">
      <c r="A432" s="8">
        <v>42921</v>
      </c>
      <c r="B432" s="9">
        <v>0.52361111111111114</v>
      </c>
      <c r="C432" s="10" t="str">
        <f>"FES1162560378"</f>
        <v>FES1162560378</v>
      </c>
      <c r="D432" s="10" t="s">
        <v>19</v>
      </c>
      <c r="E432" s="10" t="s">
        <v>286</v>
      </c>
      <c r="F432" s="10" t="str">
        <f>"2170577218 "</f>
        <v xml:space="preserve">2170577218 </v>
      </c>
      <c r="G432" s="10" t="str">
        <f t="shared" ref="G432:G454" si="15">"ON1"</f>
        <v>ON1</v>
      </c>
      <c r="H432" s="10" t="s">
        <v>21</v>
      </c>
      <c r="I432" s="10" t="s">
        <v>177</v>
      </c>
      <c r="J432" s="10" t="str">
        <f>""</f>
        <v/>
      </c>
      <c r="K432" s="10" t="str">
        <f>"PFES1162560378_0001"</f>
        <v>PFES1162560378_0001</v>
      </c>
      <c r="L432" s="10">
        <v>1</v>
      </c>
      <c r="M432" s="10">
        <v>1</v>
      </c>
    </row>
    <row r="433" spans="1:13">
      <c r="A433" s="8">
        <v>42921</v>
      </c>
      <c r="B433" s="9">
        <v>0.5229166666666667</v>
      </c>
      <c r="C433" s="10" t="str">
        <f>"FES1162560474"</f>
        <v>FES1162560474</v>
      </c>
      <c r="D433" s="10" t="s">
        <v>19</v>
      </c>
      <c r="E433" s="10" t="s">
        <v>406</v>
      </c>
      <c r="F433" s="10" t="str">
        <f>"2170574673 "</f>
        <v xml:space="preserve">2170574673 </v>
      </c>
      <c r="G433" s="10" t="str">
        <f t="shared" si="15"/>
        <v>ON1</v>
      </c>
      <c r="H433" s="10" t="s">
        <v>21</v>
      </c>
      <c r="I433" s="10" t="s">
        <v>407</v>
      </c>
      <c r="J433" s="10" t="str">
        <f>""</f>
        <v/>
      </c>
      <c r="K433" s="10" t="str">
        <f>"PFES1162560474_0001"</f>
        <v>PFES1162560474_0001</v>
      </c>
      <c r="L433" s="10">
        <v>1</v>
      </c>
      <c r="M433" s="10">
        <v>1</v>
      </c>
    </row>
    <row r="434" spans="1:13">
      <c r="A434" s="8">
        <v>42921</v>
      </c>
      <c r="B434" s="9">
        <v>0.52222222222222225</v>
      </c>
      <c r="C434" s="10" t="str">
        <f>"FES1162560455"</f>
        <v>FES1162560455</v>
      </c>
      <c r="D434" s="10" t="s">
        <v>19</v>
      </c>
      <c r="E434" s="10" t="s">
        <v>376</v>
      </c>
      <c r="F434" s="10" t="str">
        <f>"2170577184 "</f>
        <v xml:space="preserve">2170577184 </v>
      </c>
      <c r="G434" s="10" t="str">
        <f t="shared" si="15"/>
        <v>ON1</v>
      </c>
      <c r="H434" s="10" t="s">
        <v>21</v>
      </c>
      <c r="I434" s="10" t="s">
        <v>377</v>
      </c>
      <c r="J434" s="10" t="str">
        <f>""</f>
        <v/>
      </c>
      <c r="K434" s="10" t="str">
        <f>"PFES1162560455_0001"</f>
        <v>PFES1162560455_0001</v>
      </c>
      <c r="L434" s="10">
        <v>1</v>
      </c>
      <c r="M434" s="10">
        <v>1</v>
      </c>
    </row>
    <row r="435" spans="1:13">
      <c r="A435" s="8">
        <v>42921</v>
      </c>
      <c r="B435" s="9">
        <v>0.52152777777777781</v>
      </c>
      <c r="C435" s="10" t="str">
        <f>"FES1162560458"</f>
        <v>FES1162560458</v>
      </c>
      <c r="D435" s="10" t="s">
        <v>19</v>
      </c>
      <c r="E435" s="10" t="s">
        <v>376</v>
      </c>
      <c r="F435" s="10" t="str">
        <f>"2170577189 "</f>
        <v xml:space="preserve">2170577189 </v>
      </c>
      <c r="G435" s="10" t="str">
        <f t="shared" si="15"/>
        <v>ON1</v>
      </c>
      <c r="H435" s="10" t="s">
        <v>21</v>
      </c>
      <c r="I435" s="10" t="s">
        <v>377</v>
      </c>
      <c r="J435" s="10" t="str">
        <f>""</f>
        <v/>
      </c>
      <c r="K435" s="10" t="str">
        <f>"PFES1162560458_0001"</f>
        <v>PFES1162560458_0001</v>
      </c>
      <c r="L435" s="10">
        <v>1</v>
      </c>
      <c r="M435" s="10">
        <v>1</v>
      </c>
    </row>
    <row r="436" spans="1:13">
      <c r="A436" s="8">
        <v>42921</v>
      </c>
      <c r="B436" s="9">
        <v>0.52083333333333337</v>
      </c>
      <c r="C436" s="10" t="str">
        <f>"FES1162560416"</f>
        <v>FES1162560416</v>
      </c>
      <c r="D436" s="10" t="s">
        <v>19</v>
      </c>
      <c r="E436" s="10" t="s">
        <v>408</v>
      </c>
      <c r="F436" s="10" t="str">
        <f>"2170575222 "</f>
        <v xml:space="preserve">2170575222 </v>
      </c>
      <c r="G436" s="10" t="str">
        <f t="shared" si="15"/>
        <v>ON1</v>
      </c>
      <c r="H436" s="10" t="s">
        <v>21</v>
      </c>
      <c r="I436" s="10" t="s">
        <v>177</v>
      </c>
      <c r="J436" s="10" t="str">
        <f>""</f>
        <v/>
      </c>
      <c r="K436" s="10" t="str">
        <f>"PFES1162560416_0001"</f>
        <v>PFES1162560416_0001</v>
      </c>
      <c r="L436" s="10">
        <v>1</v>
      </c>
      <c r="M436" s="10">
        <v>1</v>
      </c>
    </row>
    <row r="437" spans="1:13">
      <c r="A437" s="8">
        <v>42921</v>
      </c>
      <c r="B437" s="9">
        <v>0.52083333333333337</v>
      </c>
      <c r="C437" s="10" t="str">
        <f>"FES1162560398"</f>
        <v>FES1162560398</v>
      </c>
      <c r="D437" s="10" t="s">
        <v>19</v>
      </c>
      <c r="E437" s="10" t="s">
        <v>376</v>
      </c>
      <c r="F437" s="10" t="str">
        <f>"2170574287 "</f>
        <v xml:space="preserve">2170574287 </v>
      </c>
      <c r="G437" s="10" t="str">
        <f t="shared" si="15"/>
        <v>ON1</v>
      </c>
      <c r="H437" s="10" t="s">
        <v>21</v>
      </c>
      <c r="I437" s="10" t="s">
        <v>377</v>
      </c>
      <c r="J437" s="10" t="str">
        <f>""</f>
        <v/>
      </c>
      <c r="K437" s="10" t="str">
        <f>"PFES1162560398_0001"</f>
        <v>PFES1162560398_0001</v>
      </c>
      <c r="L437" s="10">
        <v>1</v>
      </c>
      <c r="M437" s="10">
        <v>1</v>
      </c>
    </row>
    <row r="438" spans="1:13">
      <c r="A438" s="8">
        <v>42921</v>
      </c>
      <c r="B438" s="9">
        <v>0.51874999999999993</v>
      </c>
      <c r="C438" s="10" t="str">
        <f>"FES1162560449"</f>
        <v>FES1162560449</v>
      </c>
      <c r="D438" s="10" t="s">
        <v>19</v>
      </c>
      <c r="E438" s="10" t="s">
        <v>376</v>
      </c>
      <c r="F438" s="10" t="str">
        <f>"2170577173 "</f>
        <v xml:space="preserve">2170577173 </v>
      </c>
      <c r="G438" s="10" t="str">
        <f t="shared" si="15"/>
        <v>ON1</v>
      </c>
      <c r="H438" s="10" t="s">
        <v>21</v>
      </c>
      <c r="I438" s="10" t="s">
        <v>377</v>
      </c>
      <c r="J438" s="10" t="str">
        <f>""</f>
        <v/>
      </c>
      <c r="K438" s="10" t="str">
        <f>"PFES1162560449_0001"</f>
        <v>PFES1162560449_0001</v>
      </c>
      <c r="L438" s="10">
        <v>1</v>
      </c>
      <c r="M438" s="10">
        <v>1</v>
      </c>
    </row>
    <row r="439" spans="1:13">
      <c r="A439" s="8">
        <v>42921</v>
      </c>
      <c r="B439" s="9">
        <v>0.5180555555555556</v>
      </c>
      <c r="C439" s="10" t="str">
        <f>"FES1162560454"</f>
        <v>FES1162560454</v>
      </c>
      <c r="D439" s="10" t="s">
        <v>19</v>
      </c>
      <c r="E439" s="10" t="s">
        <v>376</v>
      </c>
      <c r="F439" s="10" t="str">
        <f>"2170577183 "</f>
        <v xml:space="preserve">2170577183 </v>
      </c>
      <c r="G439" s="10" t="str">
        <f t="shared" si="15"/>
        <v>ON1</v>
      </c>
      <c r="H439" s="10" t="s">
        <v>21</v>
      </c>
      <c r="I439" s="10" t="s">
        <v>377</v>
      </c>
      <c r="J439" s="10" t="str">
        <f>""</f>
        <v/>
      </c>
      <c r="K439" s="10" t="str">
        <f>"PFES1162560454_0001"</f>
        <v>PFES1162560454_0001</v>
      </c>
      <c r="L439" s="10">
        <v>1</v>
      </c>
      <c r="M439" s="10">
        <v>1</v>
      </c>
    </row>
    <row r="440" spans="1:13">
      <c r="A440" s="8">
        <v>42921</v>
      </c>
      <c r="B440" s="9">
        <v>0.51736111111111105</v>
      </c>
      <c r="C440" s="10" t="str">
        <f>"FES1162560425"</f>
        <v>FES1162560425</v>
      </c>
      <c r="D440" s="10" t="s">
        <v>19</v>
      </c>
      <c r="E440" s="10" t="s">
        <v>287</v>
      </c>
      <c r="F440" s="10" t="str">
        <f>"2170575293 "</f>
        <v xml:space="preserve">2170575293 </v>
      </c>
      <c r="G440" s="10" t="str">
        <f t="shared" si="15"/>
        <v>ON1</v>
      </c>
      <c r="H440" s="10" t="s">
        <v>21</v>
      </c>
      <c r="I440" s="10" t="s">
        <v>177</v>
      </c>
      <c r="J440" s="10" t="str">
        <f>""</f>
        <v/>
      </c>
      <c r="K440" s="10" t="str">
        <f>"PFES1162560425_0001"</f>
        <v>PFES1162560425_0001</v>
      </c>
      <c r="L440" s="10">
        <v>1</v>
      </c>
      <c r="M440" s="10">
        <v>1</v>
      </c>
    </row>
    <row r="441" spans="1:13">
      <c r="A441" s="8">
        <v>42921</v>
      </c>
      <c r="B441" s="9">
        <v>0.51666666666666672</v>
      </c>
      <c r="C441" s="10" t="str">
        <f>"FES1162560444"</f>
        <v>FES1162560444</v>
      </c>
      <c r="D441" s="10" t="s">
        <v>19</v>
      </c>
      <c r="E441" s="10" t="s">
        <v>376</v>
      </c>
      <c r="F441" s="10" t="str">
        <f>"2170577168 "</f>
        <v xml:space="preserve">2170577168 </v>
      </c>
      <c r="G441" s="10" t="str">
        <f t="shared" si="15"/>
        <v>ON1</v>
      </c>
      <c r="H441" s="10" t="s">
        <v>21</v>
      </c>
      <c r="I441" s="10" t="s">
        <v>377</v>
      </c>
      <c r="J441" s="10" t="str">
        <f>""</f>
        <v/>
      </c>
      <c r="K441" s="10" t="str">
        <f>"PFES1162560444_0001"</f>
        <v>PFES1162560444_0001</v>
      </c>
      <c r="L441" s="10">
        <v>1</v>
      </c>
      <c r="M441" s="10">
        <v>1</v>
      </c>
    </row>
    <row r="442" spans="1:13">
      <c r="A442" s="8">
        <v>42921</v>
      </c>
      <c r="B442" s="9">
        <v>0.51597222222222217</v>
      </c>
      <c r="C442" s="10" t="str">
        <f>"FES1162560478"</f>
        <v>FES1162560478</v>
      </c>
      <c r="D442" s="10" t="s">
        <v>19</v>
      </c>
      <c r="E442" s="10" t="s">
        <v>103</v>
      </c>
      <c r="F442" s="10" t="str">
        <f>"2170577263 "</f>
        <v xml:space="preserve">2170577263 </v>
      </c>
      <c r="G442" s="10" t="str">
        <f t="shared" si="15"/>
        <v>ON1</v>
      </c>
      <c r="H442" s="10" t="s">
        <v>21</v>
      </c>
      <c r="I442" s="10" t="s">
        <v>106</v>
      </c>
      <c r="J442" s="10" t="str">
        <f>""</f>
        <v/>
      </c>
      <c r="K442" s="10" t="str">
        <f>"PFES1162560478_0001"</f>
        <v>PFES1162560478_0001</v>
      </c>
      <c r="L442" s="10">
        <v>1</v>
      </c>
      <c r="M442" s="10">
        <v>1</v>
      </c>
    </row>
    <row r="443" spans="1:13">
      <c r="A443" s="8">
        <v>42921</v>
      </c>
      <c r="B443" s="9">
        <v>0.51458333333333328</v>
      </c>
      <c r="C443" s="10" t="str">
        <f>"FES1162560369"</f>
        <v>FES1162560369</v>
      </c>
      <c r="D443" s="10" t="s">
        <v>19</v>
      </c>
      <c r="E443" s="10" t="s">
        <v>409</v>
      </c>
      <c r="F443" s="10" t="str">
        <f>"2170577190 "</f>
        <v xml:space="preserve">2170577190 </v>
      </c>
      <c r="G443" s="10" t="str">
        <f t="shared" si="15"/>
        <v>ON1</v>
      </c>
      <c r="H443" s="10" t="s">
        <v>21</v>
      </c>
      <c r="I443" s="10" t="s">
        <v>410</v>
      </c>
      <c r="J443" s="10" t="str">
        <f>""</f>
        <v/>
      </c>
      <c r="K443" s="10" t="str">
        <f>"PFES1162560369_0001"</f>
        <v>PFES1162560369_0001</v>
      </c>
      <c r="L443" s="10">
        <v>1</v>
      </c>
      <c r="M443" s="10">
        <v>1</v>
      </c>
    </row>
    <row r="444" spans="1:13">
      <c r="A444" s="8">
        <v>42921</v>
      </c>
      <c r="B444" s="9">
        <v>0.51388888888888895</v>
      </c>
      <c r="C444" s="10" t="str">
        <f>"FES1162560446"</f>
        <v>FES1162560446</v>
      </c>
      <c r="D444" s="10" t="s">
        <v>19</v>
      </c>
      <c r="E444" s="10" t="s">
        <v>376</v>
      </c>
      <c r="F444" s="10" t="str">
        <f>"2170577170 "</f>
        <v xml:space="preserve">2170577170 </v>
      </c>
      <c r="G444" s="10" t="str">
        <f t="shared" si="15"/>
        <v>ON1</v>
      </c>
      <c r="H444" s="10" t="s">
        <v>21</v>
      </c>
      <c r="I444" s="10" t="s">
        <v>377</v>
      </c>
      <c r="J444" s="10" t="str">
        <f>""</f>
        <v/>
      </c>
      <c r="K444" s="10" t="str">
        <f>"PFES1162560446_0001"</f>
        <v>PFES1162560446_0001</v>
      </c>
      <c r="L444" s="10">
        <v>1</v>
      </c>
      <c r="M444" s="10">
        <v>1</v>
      </c>
    </row>
    <row r="445" spans="1:13">
      <c r="A445" s="8">
        <v>42921</v>
      </c>
      <c r="B445" s="9">
        <v>0.51388888888888895</v>
      </c>
      <c r="C445" s="10" t="str">
        <f>"FES1162560470"</f>
        <v>FES1162560470</v>
      </c>
      <c r="D445" s="10" t="s">
        <v>19</v>
      </c>
      <c r="E445" s="10" t="s">
        <v>411</v>
      </c>
      <c r="F445" s="10" t="str">
        <f>"2170577255 "</f>
        <v xml:space="preserve">2170577255 </v>
      </c>
      <c r="G445" s="10" t="str">
        <f t="shared" si="15"/>
        <v>ON1</v>
      </c>
      <c r="H445" s="10" t="s">
        <v>21</v>
      </c>
      <c r="I445" s="10" t="s">
        <v>351</v>
      </c>
      <c r="J445" s="10" t="str">
        <f>""</f>
        <v/>
      </c>
      <c r="K445" s="10" t="str">
        <f>"PFES1162560470_0001"</f>
        <v>PFES1162560470_0001</v>
      </c>
      <c r="L445" s="10">
        <v>1</v>
      </c>
      <c r="M445" s="10">
        <v>1</v>
      </c>
    </row>
    <row r="446" spans="1:13">
      <c r="A446" s="8">
        <v>42921</v>
      </c>
      <c r="B446" s="9">
        <v>0.5131944444444444</v>
      </c>
      <c r="C446" s="10" t="str">
        <f>"FES1162560451"</f>
        <v>FES1162560451</v>
      </c>
      <c r="D446" s="10" t="s">
        <v>19</v>
      </c>
      <c r="E446" s="10" t="s">
        <v>376</v>
      </c>
      <c r="F446" s="10" t="str">
        <f>"2170577179 "</f>
        <v xml:space="preserve">2170577179 </v>
      </c>
      <c r="G446" s="10" t="str">
        <f t="shared" si="15"/>
        <v>ON1</v>
      </c>
      <c r="H446" s="10" t="s">
        <v>21</v>
      </c>
      <c r="I446" s="10" t="s">
        <v>377</v>
      </c>
      <c r="J446" s="10" t="str">
        <f>""</f>
        <v/>
      </c>
      <c r="K446" s="10" t="str">
        <f>"PFES1162560451_0001"</f>
        <v>PFES1162560451_0001</v>
      </c>
      <c r="L446" s="10">
        <v>1</v>
      </c>
      <c r="M446" s="10">
        <v>1</v>
      </c>
    </row>
    <row r="447" spans="1:13">
      <c r="A447" s="8">
        <v>42921</v>
      </c>
      <c r="B447" s="9">
        <v>0.51250000000000007</v>
      </c>
      <c r="C447" s="10" t="str">
        <f>"FES1162560450"</f>
        <v>FES1162560450</v>
      </c>
      <c r="D447" s="10" t="s">
        <v>19</v>
      </c>
      <c r="E447" s="10" t="s">
        <v>376</v>
      </c>
      <c r="F447" s="10" t="str">
        <f>"2170577176 "</f>
        <v xml:space="preserve">2170577176 </v>
      </c>
      <c r="G447" s="10" t="str">
        <f t="shared" si="15"/>
        <v>ON1</v>
      </c>
      <c r="H447" s="10" t="s">
        <v>21</v>
      </c>
      <c r="I447" s="10" t="s">
        <v>377</v>
      </c>
      <c r="J447" s="10" t="str">
        <f>""</f>
        <v/>
      </c>
      <c r="K447" s="10" t="str">
        <f>"PFES1162560450_0001"</f>
        <v>PFES1162560450_0001</v>
      </c>
      <c r="L447" s="10">
        <v>1</v>
      </c>
      <c r="M447" s="10">
        <v>1</v>
      </c>
    </row>
    <row r="448" spans="1:13">
      <c r="A448" s="8">
        <v>42921</v>
      </c>
      <c r="B448" s="9">
        <v>0.51180555555555551</v>
      </c>
      <c r="C448" s="10" t="str">
        <f>"FES1162560443"</f>
        <v>FES1162560443</v>
      </c>
      <c r="D448" s="10" t="s">
        <v>19</v>
      </c>
      <c r="E448" s="10" t="s">
        <v>376</v>
      </c>
      <c r="F448" s="10" t="str">
        <f>"2170577166 "</f>
        <v xml:space="preserve">2170577166 </v>
      </c>
      <c r="G448" s="10" t="str">
        <f t="shared" si="15"/>
        <v>ON1</v>
      </c>
      <c r="H448" s="10" t="s">
        <v>21</v>
      </c>
      <c r="I448" s="10" t="s">
        <v>377</v>
      </c>
      <c r="J448" s="10" t="str">
        <f>""</f>
        <v/>
      </c>
      <c r="K448" s="10" t="str">
        <f>"PFES1162560443_0001"</f>
        <v>PFES1162560443_0001</v>
      </c>
      <c r="L448" s="10">
        <v>1</v>
      </c>
      <c r="M448" s="10">
        <v>1</v>
      </c>
    </row>
    <row r="449" spans="1:13">
      <c r="A449" s="8">
        <v>42921</v>
      </c>
      <c r="B449" s="9">
        <v>0.51111111111111118</v>
      </c>
      <c r="C449" s="10" t="str">
        <f>"FES1162560399"</f>
        <v>FES1162560399</v>
      </c>
      <c r="D449" s="10" t="s">
        <v>19</v>
      </c>
      <c r="E449" s="10" t="s">
        <v>376</v>
      </c>
      <c r="F449" s="10" t="str">
        <f>"2170574294 "</f>
        <v xml:space="preserve">2170574294 </v>
      </c>
      <c r="G449" s="10" t="str">
        <f t="shared" si="15"/>
        <v>ON1</v>
      </c>
      <c r="H449" s="10" t="s">
        <v>21</v>
      </c>
      <c r="I449" s="10" t="s">
        <v>377</v>
      </c>
      <c r="J449" s="10" t="str">
        <f>""</f>
        <v/>
      </c>
      <c r="K449" s="10" t="str">
        <f>"PFES1162560399_0001"</f>
        <v>PFES1162560399_0001</v>
      </c>
      <c r="L449" s="10">
        <v>1</v>
      </c>
      <c r="M449" s="10">
        <v>1</v>
      </c>
    </row>
    <row r="450" spans="1:13">
      <c r="A450" s="8">
        <v>42921</v>
      </c>
      <c r="B450" s="9">
        <v>0.50972222222222219</v>
      </c>
      <c r="C450" s="10" t="str">
        <f>"FES1162560541"</f>
        <v>FES1162560541</v>
      </c>
      <c r="D450" s="10" t="s">
        <v>19</v>
      </c>
      <c r="E450" s="10" t="s">
        <v>39</v>
      </c>
      <c r="F450" s="10" t="str">
        <f>"2170575639 "</f>
        <v xml:space="preserve">2170575639 </v>
      </c>
      <c r="G450" s="10" t="str">
        <f t="shared" si="15"/>
        <v>ON1</v>
      </c>
      <c r="H450" s="10" t="s">
        <v>21</v>
      </c>
      <c r="I450" s="10" t="s">
        <v>40</v>
      </c>
      <c r="J450" s="10" t="str">
        <f>""</f>
        <v/>
      </c>
      <c r="K450" s="10" t="str">
        <f>"PFES1162560541_0001"</f>
        <v>PFES1162560541_0001</v>
      </c>
      <c r="L450" s="10">
        <v>1</v>
      </c>
      <c r="M450" s="10">
        <v>13</v>
      </c>
    </row>
    <row r="451" spans="1:13">
      <c r="A451" s="8">
        <v>42921</v>
      </c>
      <c r="B451" s="9">
        <v>0.5083333333333333</v>
      </c>
      <c r="C451" s="10" t="str">
        <f>"FES1162560539"</f>
        <v>FES1162560539</v>
      </c>
      <c r="D451" s="10" t="s">
        <v>19</v>
      </c>
      <c r="E451" s="10" t="s">
        <v>288</v>
      </c>
      <c r="F451" s="10" t="str">
        <f>"2170571367 "</f>
        <v xml:space="preserve">2170571367 </v>
      </c>
      <c r="G451" s="10" t="str">
        <f t="shared" si="15"/>
        <v>ON1</v>
      </c>
      <c r="H451" s="10" t="s">
        <v>21</v>
      </c>
      <c r="I451" s="10" t="s">
        <v>412</v>
      </c>
      <c r="J451" s="10" t="str">
        <f>""</f>
        <v/>
      </c>
      <c r="K451" s="10" t="str">
        <f>"PFES1162560539_0001"</f>
        <v>PFES1162560539_0001</v>
      </c>
      <c r="L451" s="10">
        <v>1</v>
      </c>
      <c r="M451" s="10">
        <v>7</v>
      </c>
    </row>
    <row r="452" spans="1:13">
      <c r="A452" s="8">
        <v>42921</v>
      </c>
      <c r="B452" s="9">
        <v>0.5083333333333333</v>
      </c>
      <c r="C452" s="10" t="str">
        <f>"FES1162560571"</f>
        <v>FES1162560571</v>
      </c>
      <c r="D452" s="10" t="s">
        <v>19</v>
      </c>
      <c r="E452" s="10" t="s">
        <v>413</v>
      </c>
      <c r="F452" s="10" t="str">
        <f>"2170577374 "</f>
        <v xml:space="preserve">2170577374 </v>
      </c>
      <c r="G452" s="10" t="str">
        <f t="shared" si="15"/>
        <v>ON1</v>
      </c>
      <c r="H452" s="10" t="s">
        <v>21</v>
      </c>
      <c r="I452" s="10" t="s">
        <v>414</v>
      </c>
      <c r="J452" s="10" t="str">
        <f>""</f>
        <v/>
      </c>
      <c r="K452" s="10" t="str">
        <f>"PFES1162560571_0001"</f>
        <v>PFES1162560571_0001</v>
      </c>
      <c r="L452" s="10">
        <v>1</v>
      </c>
      <c r="M452" s="10">
        <v>1</v>
      </c>
    </row>
    <row r="453" spans="1:13">
      <c r="A453" s="8">
        <v>42921</v>
      </c>
      <c r="B453" s="9">
        <v>0.50763888888888886</v>
      </c>
      <c r="C453" s="10" t="str">
        <f>"FES1162560568"</f>
        <v>FES1162560568</v>
      </c>
      <c r="D453" s="10" t="s">
        <v>19</v>
      </c>
      <c r="E453" s="10" t="s">
        <v>378</v>
      </c>
      <c r="F453" s="10" t="str">
        <f>"2170577368 "</f>
        <v xml:space="preserve">2170577368 </v>
      </c>
      <c r="G453" s="10" t="str">
        <f t="shared" si="15"/>
        <v>ON1</v>
      </c>
      <c r="H453" s="10" t="s">
        <v>21</v>
      </c>
      <c r="I453" s="10" t="s">
        <v>36</v>
      </c>
      <c r="J453" s="10" t="str">
        <f>""</f>
        <v/>
      </c>
      <c r="K453" s="10" t="str">
        <f>"PFES1162560568_0001"</f>
        <v>PFES1162560568_0001</v>
      </c>
      <c r="L453" s="10">
        <v>1</v>
      </c>
      <c r="M453" s="10">
        <v>1</v>
      </c>
    </row>
    <row r="454" spans="1:13">
      <c r="A454" s="8">
        <v>42921</v>
      </c>
      <c r="B454" s="9">
        <v>0.50763888888888886</v>
      </c>
      <c r="C454" s="10" t="str">
        <f>"FES1162560519"</f>
        <v>FES1162560519</v>
      </c>
      <c r="D454" s="10" t="s">
        <v>19</v>
      </c>
      <c r="E454" s="10" t="s">
        <v>99</v>
      </c>
      <c r="F454" s="10" t="str">
        <f>"2170577310 "</f>
        <v xml:space="preserve">2170577310 </v>
      </c>
      <c r="G454" s="10" t="str">
        <f t="shared" si="15"/>
        <v>ON1</v>
      </c>
      <c r="H454" s="10" t="s">
        <v>21</v>
      </c>
      <c r="I454" s="10" t="s">
        <v>100</v>
      </c>
      <c r="J454" s="10" t="str">
        <f>""</f>
        <v/>
      </c>
      <c r="K454" s="10" t="str">
        <f>"PFES1162560519_0001"</f>
        <v>PFES1162560519_0001</v>
      </c>
      <c r="L454" s="10">
        <v>1</v>
      </c>
      <c r="M454" s="10">
        <v>1</v>
      </c>
    </row>
    <row r="455" spans="1:13">
      <c r="A455" s="8">
        <v>42921</v>
      </c>
      <c r="B455" s="9">
        <v>0.50694444444444442</v>
      </c>
      <c r="C455" s="10" t="str">
        <f>"FES1162560397"</f>
        <v>FES1162560397</v>
      </c>
      <c r="D455" s="10" t="s">
        <v>19</v>
      </c>
      <c r="E455" s="10" t="s">
        <v>415</v>
      </c>
      <c r="F455" s="10" t="str">
        <f>"2170574199 "</f>
        <v xml:space="preserve">2170574199 </v>
      </c>
      <c r="G455" s="10" t="str">
        <f>"DBC"</f>
        <v>DBC</v>
      </c>
      <c r="H455" s="10" t="s">
        <v>21</v>
      </c>
      <c r="I455" s="10" t="s">
        <v>92</v>
      </c>
      <c r="J455" s="10" t="str">
        <f>""</f>
        <v/>
      </c>
      <c r="K455" s="10" t="str">
        <f>"PFES1162560397_0001"</f>
        <v>PFES1162560397_0001</v>
      </c>
      <c r="L455" s="10">
        <v>4</v>
      </c>
      <c r="M455" s="10">
        <v>60</v>
      </c>
    </row>
    <row r="456" spans="1:13">
      <c r="A456" s="8">
        <v>42921</v>
      </c>
      <c r="B456" s="9">
        <v>0.50694444444444442</v>
      </c>
      <c r="C456" s="10" t="str">
        <f>"FES1162560397"</f>
        <v>FES1162560397</v>
      </c>
      <c r="D456" s="10" t="s">
        <v>19</v>
      </c>
      <c r="E456" s="10" t="s">
        <v>415</v>
      </c>
      <c r="F456" s="10" t="str">
        <f t="shared" ref="F456:F458" si="16">"2170574199 "</f>
        <v xml:space="preserve">2170574199 </v>
      </c>
      <c r="G456" s="10" t="str">
        <f t="shared" ref="G456:G458" si="17">"DBC"</f>
        <v>DBC</v>
      </c>
      <c r="H456" s="10" t="s">
        <v>21</v>
      </c>
      <c r="I456" s="10" t="s">
        <v>92</v>
      </c>
      <c r="J456" s="10"/>
      <c r="K456" s="10" t="str">
        <f>"PFES1162560397_0002"</f>
        <v>PFES1162560397_0002</v>
      </c>
      <c r="L456" s="10">
        <v>4</v>
      </c>
      <c r="M456" s="10">
        <v>60</v>
      </c>
    </row>
    <row r="457" spans="1:13">
      <c r="A457" s="8">
        <v>42921</v>
      </c>
      <c r="B457" s="9">
        <v>0.50694444444444442</v>
      </c>
      <c r="C457" s="10" t="str">
        <f>"FES1162560397"</f>
        <v>FES1162560397</v>
      </c>
      <c r="D457" s="10" t="s">
        <v>19</v>
      </c>
      <c r="E457" s="10" t="s">
        <v>415</v>
      </c>
      <c r="F457" s="10" t="str">
        <f t="shared" si="16"/>
        <v xml:space="preserve">2170574199 </v>
      </c>
      <c r="G457" s="10" t="str">
        <f t="shared" si="17"/>
        <v>DBC</v>
      </c>
      <c r="H457" s="10" t="s">
        <v>21</v>
      </c>
      <c r="I457" s="10" t="s">
        <v>92</v>
      </c>
      <c r="J457" s="10"/>
      <c r="K457" s="10" t="str">
        <f>"PFES1162560397_0003"</f>
        <v>PFES1162560397_0003</v>
      </c>
      <c r="L457" s="10">
        <v>4</v>
      </c>
      <c r="M457" s="10">
        <v>60</v>
      </c>
    </row>
    <row r="458" spans="1:13">
      <c r="A458" s="8">
        <v>42921</v>
      </c>
      <c r="B458" s="9">
        <v>0.50694444444444442</v>
      </c>
      <c r="C458" s="10" t="str">
        <f>"FES1162560397"</f>
        <v>FES1162560397</v>
      </c>
      <c r="D458" s="10" t="s">
        <v>19</v>
      </c>
      <c r="E458" s="10" t="s">
        <v>415</v>
      </c>
      <c r="F458" s="10" t="str">
        <f t="shared" si="16"/>
        <v xml:space="preserve">2170574199 </v>
      </c>
      <c r="G458" s="10" t="str">
        <f t="shared" si="17"/>
        <v>DBC</v>
      </c>
      <c r="H458" s="10" t="s">
        <v>21</v>
      </c>
      <c r="I458" s="10" t="s">
        <v>92</v>
      </c>
      <c r="J458" s="10"/>
      <c r="K458" s="10" t="str">
        <f>"PFES1162560397_0004"</f>
        <v>PFES1162560397_0004</v>
      </c>
      <c r="L458" s="10">
        <v>4</v>
      </c>
      <c r="M458" s="10">
        <v>60</v>
      </c>
    </row>
    <row r="459" spans="1:13">
      <c r="A459" s="8">
        <v>42921</v>
      </c>
      <c r="B459" s="9">
        <v>0.50694444444444442</v>
      </c>
      <c r="C459" s="10" t="str">
        <f>"FES1162560554"</f>
        <v>FES1162560554</v>
      </c>
      <c r="D459" s="10" t="s">
        <v>19</v>
      </c>
      <c r="E459" s="10" t="s">
        <v>33</v>
      </c>
      <c r="F459" s="10" t="str">
        <f>"2170577345 "</f>
        <v xml:space="preserve">2170577345 </v>
      </c>
      <c r="G459" s="10" t="str">
        <f>"ON1"</f>
        <v>ON1</v>
      </c>
      <c r="H459" s="10" t="s">
        <v>21</v>
      </c>
      <c r="I459" s="10" t="s">
        <v>34</v>
      </c>
      <c r="J459" s="10" t="str">
        <f>""</f>
        <v/>
      </c>
      <c r="K459" s="10" t="str">
        <f>"PFES1162560554_0001"</f>
        <v>PFES1162560554_0001</v>
      </c>
      <c r="L459" s="10">
        <v>1</v>
      </c>
      <c r="M459" s="10">
        <v>1</v>
      </c>
    </row>
    <row r="460" spans="1:13">
      <c r="A460" s="8">
        <v>42921</v>
      </c>
      <c r="B460" s="9">
        <v>0.50694444444444442</v>
      </c>
      <c r="C460" s="10" t="str">
        <f>"FES1162560362"</f>
        <v>FES1162560362</v>
      </c>
      <c r="D460" s="10" t="s">
        <v>19</v>
      </c>
      <c r="E460" s="10" t="s">
        <v>416</v>
      </c>
      <c r="F460" s="10" t="str">
        <f>"2170577196 "</f>
        <v xml:space="preserve">2170577196 </v>
      </c>
      <c r="G460" s="10" t="str">
        <f>"ON1"</f>
        <v>ON1</v>
      </c>
      <c r="H460" s="10" t="s">
        <v>21</v>
      </c>
      <c r="I460" s="10" t="s">
        <v>157</v>
      </c>
      <c r="J460" s="10" t="str">
        <f>""</f>
        <v/>
      </c>
      <c r="K460" s="10" t="str">
        <f>"PFES1162560362_0001"</f>
        <v>PFES1162560362_0001</v>
      </c>
      <c r="L460" s="10">
        <v>1</v>
      </c>
      <c r="M460" s="10">
        <v>1</v>
      </c>
    </row>
    <row r="461" spans="1:13">
      <c r="A461" s="8">
        <v>42921</v>
      </c>
      <c r="B461" s="9">
        <v>0.50624999999999998</v>
      </c>
      <c r="C461" s="10" t="str">
        <f>"FES1162560400"</f>
        <v>FES1162560400</v>
      </c>
      <c r="D461" s="10" t="s">
        <v>19</v>
      </c>
      <c r="E461" s="10" t="s">
        <v>376</v>
      </c>
      <c r="F461" s="10" t="str">
        <f>"2170574394 "</f>
        <v xml:space="preserve">2170574394 </v>
      </c>
      <c r="G461" s="10" t="str">
        <f>"DBC"</f>
        <v>DBC</v>
      </c>
      <c r="H461" s="10" t="s">
        <v>21</v>
      </c>
      <c r="I461" s="10" t="s">
        <v>377</v>
      </c>
      <c r="J461" s="10" t="str">
        <f>""</f>
        <v/>
      </c>
      <c r="K461" s="10" t="str">
        <f>"PFES1162560400_0001"</f>
        <v>PFES1162560400_0001</v>
      </c>
      <c r="L461" s="10">
        <v>1</v>
      </c>
      <c r="M461" s="10">
        <v>17</v>
      </c>
    </row>
    <row r="462" spans="1:13">
      <c r="A462" s="8">
        <v>42921</v>
      </c>
      <c r="B462" s="9">
        <v>0.50555555555555554</v>
      </c>
      <c r="C462" s="10" t="str">
        <f>"FES11625600535"</f>
        <v>FES11625600535</v>
      </c>
      <c r="D462" s="10" t="s">
        <v>19</v>
      </c>
      <c r="E462" s="10" t="s">
        <v>417</v>
      </c>
      <c r="F462" s="10" t="str">
        <f>"2170577230 "</f>
        <v xml:space="preserve">2170577230 </v>
      </c>
      <c r="G462" s="10" t="str">
        <f>"ON2"</f>
        <v>ON2</v>
      </c>
      <c r="H462" s="10" t="s">
        <v>21</v>
      </c>
      <c r="I462" s="10" t="s">
        <v>418</v>
      </c>
      <c r="J462" s="10" t="str">
        <f>""</f>
        <v/>
      </c>
      <c r="K462" s="10" t="str">
        <f>"PFES11625600535_0001"</f>
        <v>PFES11625600535_0001</v>
      </c>
      <c r="L462" s="10">
        <v>1</v>
      </c>
      <c r="M462" s="10">
        <v>5</v>
      </c>
    </row>
    <row r="463" spans="1:13">
      <c r="A463" s="8">
        <v>42921</v>
      </c>
      <c r="B463" s="9">
        <v>0.50555555555555554</v>
      </c>
      <c r="C463" s="10" t="str">
        <f>"FES1162560394"</f>
        <v>FES1162560394</v>
      </c>
      <c r="D463" s="10" t="s">
        <v>19</v>
      </c>
      <c r="E463" s="10" t="s">
        <v>419</v>
      </c>
      <c r="F463" s="10" t="str">
        <f>"2170572830 "</f>
        <v xml:space="preserve">2170572830 </v>
      </c>
      <c r="G463" s="10" t="str">
        <f>"DBC"</f>
        <v>DBC</v>
      </c>
      <c r="H463" s="10" t="s">
        <v>21</v>
      </c>
      <c r="I463" s="10" t="s">
        <v>177</v>
      </c>
      <c r="J463" s="10" t="str">
        <f>""</f>
        <v/>
      </c>
      <c r="K463" s="10" t="str">
        <f>"PFES1162560394_0001"</f>
        <v>PFES1162560394_0001</v>
      </c>
      <c r="L463" s="10">
        <v>2</v>
      </c>
      <c r="M463" s="10">
        <v>27</v>
      </c>
    </row>
    <row r="464" spans="1:13">
      <c r="A464" s="8">
        <v>42921</v>
      </c>
      <c r="B464" s="9">
        <v>0.50555555555555554</v>
      </c>
      <c r="C464" s="10" t="str">
        <f>"FES1162560394"</f>
        <v>FES1162560394</v>
      </c>
      <c r="D464" s="10" t="s">
        <v>19</v>
      </c>
      <c r="E464" s="10" t="s">
        <v>419</v>
      </c>
      <c r="F464" s="10" t="str">
        <f>"2170572830 "</f>
        <v xml:space="preserve">2170572830 </v>
      </c>
      <c r="G464" s="10" t="str">
        <f>"DBC"</f>
        <v>DBC</v>
      </c>
      <c r="H464" s="10" t="s">
        <v>21</v>
      </c>
      <c r="I464" s="10" t="s">
        <v>177</v>
      </c>
      <c r="J464" s="10"/>
      <c r="K464" s="10" t="str">
        <f>"PFES1162560394_0002"</f>
        <v>PFES1162560394_0002</v>
      </c>
      <c r="L464" s="10">
        <v>2</v>
      </c>
      <c r="M464" s="10">
        <v>27</v>
      </c>
    </row>
    <row r="465" spans="1:13">
      <c r="A465" s="8">
        <v>42921</v>
      </c>
      <c r="B465" s="9">
        <v>0.50347222222222221</v>
      </c>
      <c r="C465" s="10" t="str">
        <f>"FES1162560540"</f>
        <v>FES1162560540</v>
      </c>
      <c r="D465" s="10" t="s">
        <v>19</v>
      </c>
      <c r="E465" s="10" t="s">
        <v>420</v>
      </c>
      <c r="F465" s="10" t="str">
        <f>"2170574747 "</f>
        <v xml:space="preserve">2170574747 </v>
      </c>
      <c r="G465" s="10" t="str">
        <f>"ON1"</f>
        <v>ON1</v>
      </c>
      <c r="H465" s="10" t="s">
        <v>21</v>
      </c>
      <c r="I465" s="10" t="s">
        <v>56</v>
      </c>
      <c r="J465" s="10" t="str">
        <f>""</f>
        <v/>
      </c>
      <c r="K465" s="10" t="str">
        <f>"PFES1162560540_0001"</f>
        <v>PFES1162560540_0001</v>
      </c>
      <c r="L465" s="10">
        <v>1</v>
      </c>
      <c r="M465" s="10">
        <v>17</v>
      </c>
    </row>
    <row r="466" spans="1:13">
      <c r="A466" s="8">
        <v>42921</v>
      </c>
      <c r="B466" s="9">
        <v>0.50347222222222221</v>
      </c>
      <c r="C466" s="10" t="str">
        <f>"FES1162560560"</f>
        <v>FES1162560560</v>
      </c>
      <c r="D466" s="10" t="s">
        <v>19</v>
      </c>
      <c r="E466" s="10" t="s">
        <v>255</v>
      </c>
      <c r="F466" s="10" t="str">
        <f>"2170577257 "</f>
        <v xml:space="preserve">2170577257 </v>
      </c>
      <c r="G466" s="10" t="str">
        <f>"DBC"</f>
        <v>DBC</v>
      </c>
      <c r="H466" s="10" t="s">
        <v>21</v>
      </c>
      <c r="I466" s="10" t="s">
        <v>256</v>
      </c>
      <c r="J466" s="10" t="str">
        <f>""</f>
        <v/>
      </c>
      <c r="K466" s="10" t="str">
        <f>"PFES1162560560_0001"</f>
        <v>PFES1162560560_0001</v>
      </c>
      <c r="L466" s="10">
        <v>1</v>
      </c>
      <c r="M466" s="10">
        <v>21</v>
      </c>
    </row>
    <row r="467" spans="1:13">
      <c r="A467" s="8">
        <v>42921</v>
      </c>
      <c r="B467" s="9">
        <v>0.50277777777777777</v>
      </c>
      <c r="C467" s="10" t="str">
        <f>"FES1162560489"</f>
        <v>FES1162560489</v>
      </c>
      <c r="D467" s="10" t="s">
        <v>19</v>
      </c>
      <c r="E467" s="10" t="s">
        <v>345</v>
      </c>
      <c r="F467" s="10" t="str">
        <f>"2170577273 "</f>
        <v xml:space="preserve">2170577273 </v>
      </c>
      <c r="G467" s="10" t="str">
        <f t="shared" ref="G467:G474" si="18">"ON1"</f>
        <v>ON1</v>
      </c>
      <c r="H467" s="10" t="s">
        <v>21</v>
      </c>
      <c r="I467" s="10" t="s">
        <v>119</v>
      </c>
      <c r="J467" s="10" t="str">
        <f>""</f>
        <v/>
      </c>
      <c r="K467" s="10" t="str">
        <f>"PFES1162560489_0001"</f>
        <v>PFES1162560489_0001</v>
      </c>
      <c r="L467" s="10">
        <v>1</v>
      </c>
      <c r="M467" s="10">
        <v>4</v>
      </c>
    </row>
    <row r="468" spans="1:13">
      <c r="A468" s="8">
        <v>42921</v>
      </c>
      <c r="B468" s="9">
        <v>0.50277777777777777</v>
      </c>
      <c r="C468" s="10" t="str">
        <f>"FES1162560486"</f>
        <v>FES1162560486</v>
      </c>
      <c r="D468" s="10" t="s">
        <v>19</v>
      </c>
      <c r="E468" s="10" t="s">
        <v>345</v>
      </c>
      <c r="F468" s="10" t="str">
        <f>"2170577272 "</f>
        <v xml:space="preserve">2170577272 </v>
      </c>
      <c r="G468" s="10" t="str">
        <f t="shared" si="18"/>
        <v>ON1</v>
      </c>
      <c r="H468" s="10" t="s">
        <v>21</v>
      </c>
      <c r="I468" s="10" t="s">
        <v>119</v>
      </c>
      <c r="J468" s="10" t="str">
        <f>""</f>
        <v/>
      </c>
      <c r="K468" s="10" t="str">
        <f>"PFES1162560486_0001"</f>
        <v>PFES1162560486_0001</v>
      </c>
      <c r="L468" s="10">
        <v>1</v>
      </c>
      <c r="M468" s="10">
        <v>4</v>
      </c>
    </row>
    <row r="469" spans="1:13">
      <c r="A469" s="8">
        <v>42921</v>
      </c>
      <c r="B469" s="9">
        <v>0.50277777777777777</v>
      </c>
      <c r="C469" s="10" t="str">
        <f>"FES1162560388"</f>
        <v>FES1162560388</v>
      </c>
      <c r="D469" s="10" t="s">
        <v>19</v>
      </c>
      <c r="E469" s="10" t="s">
        <v>39</v>
      </c>
      <c r="F469" s="10" t="str">
        <f>"2170577237 "</f>
        <v xml:space="preserve">2170577237 </v>
      </c>
      <c r="G469" s="10" t="str">
        <f t="shared" si="18"/>
        <v>ON1</v>
      </c>
      <c r="H469" s="10" t="s">
        <v>21</v>
      </c>
      <c r="I469" s="10" t="s">
        <v>40</v>
      </c>
      <c r="J469" s="10" t="str">
        <f>""</f>
        <v/>
      </c>
      <c r="K469" s="10" t="str">
        <f>"PFES1162560388_0001"</f>
        <v>PFES1162560388_0001</v>
      </c>
      <c r="L469" s="10">
        <v>1</v>
      </c>
      <c r="M469" s="10">
        <v>1</v>
      </c>
    </row>
    <row r="470" spans="1:13">
      <c r="A470" s="8">
        <v>42921</v>
      </c>
      <c r="B470" s="9">
        <v>0.50208333333333333</v>
      </c>
      <c r="C470" s="10" t="str">
        <f>"FES1162560542"</f>
        <v>FES1162560542</v>
      </c>
      <c r="D470" s="10" t="s">
        <v>19</v>
      </c>
      <c r="E470" s="10" t="s">
        <v>421</v>
      </c>
      <c r="F470" s="10" t="str">
        <f>"2170575849 "</f>
        <v xml:space="preserve">2170575849 </v>
      </c>
      <c r="G470" s="10" t="str">
        <f t="shared" si="18"/>
        <v>ON1</v>
      </c>
      <c r="H470" s="10" t="s">
        <v>21</v>
      </c>
      <c r="I470" s="10" t="s">
        <v>179</v>
      </c>
      <c r="J470" s="10" t="str">
        <f>""</f>
        <v/>
      </c>
      <c r="K470" s="10" t="str">
        <f>"PFES1162560542_0001"</f>
        <v>PFES1162560542_0001</v>
      </c>
      <c r="L470" s="10">
        <v>1</v>
      </c>
      <c r="M470" s="10">
        <v>17</v>
      </c>
    </row>
    <row r="471" spans="1:13">
      <c r="A471" s="8">
        <v>42921</v>
      </c>
      <c r="B471" s="9">
        <v>0.50208333333333333</v>
      </c>
      <c r="C471" s="10" t="str">
        <f>"FES1162560471"</f>
        <v>FES1162560471</v>
      </c>
      <c r="D471" s="10" t="s">
        <v>19</v>
      </c>
      <c r="E471" s="10" t="s">
        <v>243</v>
      </c>
      <c r="F471" s="10" t="str">
        <f>"2170577256 "</f>
        <v xml:space="preserve">2170577256 </v>
      </c>
      <c r="G471" s="10" t="str">
        <f t="shared" si="18"/>
        <v>ON1</v>
      </c>
      <c r="H471" s="10" t="s">
        <v>21</v>
      </c>
      <c r="I471" s="10" t="s">
        <v>244</v>
      </c>
      <c r="J471" s="10" t="str">
        <f>""</f>
        <v/>
      </c>
      <c r="K471" s="10" t="str">
        <f>"PFES1162560471_0001"</f>
        <v>PFES1162560471_0001</v>
      </c>
      <c r="L471" s="10">
        <v>1</v>
      </c>
      <c r="M471" s="10">
        <v>1</v>
      </c>
    </row>
    <row r="472" spans="1:13">
      <c r="A472" s="8">
        <v>42921</v>
      </c>
      <c r="B472" s="9">
        <v>0.50138888888888888</v>
      </c>
      <c r="C472" s="10" t="str">
        <f>"FES1162560559"</f>
        <v>FES1162560559</v>
      </c>
      <c r="D472" s="10" t="s">
        <v>19</v>
      </c>
      <c r="E472" s="10" t="s">
        <v>76</v>
      </c>
      <c r="F472" s="10" t="str">
        <f>"2170577356 "</f>
        <v xml:space="preserve">2170577356 </v>
      </c>
      <c r="G472" s="10" t="str">
        <f t="shared" si="18"/>
        <v>ON1</v>
      </c>
      <c r="H472" s="10" t="s">
        <v>21</v>
      </c>
      <c r="I472" s="10" t="s">
        <v>77</v>
      </c>
      <c r="J472" s="10" t="str">
        <f>""</f>
        <v/>
      </c>
      <c r="K472" s="10" t="str">
        <f>"PFES1162560559_0001"</f>
        <v>PFES1162560559_0001</v>
      </c>
      <c r="L472" s="10">
        <v>1</v>
      </c>
      <c r="M472" s="10">
        <v>2</v>
      </c>
    </row>
    <row r="473" spans="1:13">
      <c r="A473" s="8">
        <v>42921</v>
      </c>
      <c r="B473" s="9">
        <v>0.50138888888888888</v>
      </c>
      <c r="C473" s="10" t="str">
        <f>"FES1162560420"</f>
        <v>FES1162560420</v>
      </c>
      <c r="D473" s="10" t="s">
        <v>19</v>
      </c>
      <c r="E473" s="10" t="s">
        <v>265</v>
      </c>
      <c r="F473" s="10" t="str">
        <f>"2170575726 "</f>
        <v xml:space="preserve">2170575726 </v>
      </c>
      <c r="G473" s="10" t="str">
        <f t="shared" si="18"/>
        <v>ON1</v>
      </c>
      <c r="H473" s="10" t="s">
        <v>21</v>
      </c>
      <c r="I473" s="10" t="s">
        <v>230</v>
      </c>
      <c r="J473" s="10" t="str">
        <f>""</f>
        <v/>
      </c>
      <c r="K473" s="10" t="str">
        <f>"PFES1162560420_0001"</f>
        <v>PFES1162560420_0001</v>
      </c>
      <c r="L473" s="10">
        <v>1</v>
      </c>
      <c r="M473" s="10">
        <v>2</v>
      </c>
    </row>
    <row r="474" spans="1:13">
      <c r="A474" s="8">
        <v>42921</v>
      </c>
      <c r="B474" s="9">
        <v>0.50069444444444444</v>
      </c>
      <c r="C474" s="10" t="str">
        <f>"FES1162560403"</f>
        <v>FES1162560403</v>
      </c>
      <c r="D474" s="10" t="s">
        <v>19</v>
      </c>
      <c r="E474" s="10" t="s">
        <v>110</v>
      </c>
      <c r="F474" s="10" t="str">
        <f>"2170575033 "</f>
        <v xml:space="preserve">2170575033 </v>
      </c>
      <c r="G474" s="10" t="str">
        <f t="shared" si="18"/>
        <v>ON1</v>
      </c>
      <c r="H474" s="10" t="s">
        <v>21</v>
      </c>
      <c r="I474" s="10" t="s">
        <v>111</v>
      </c>
      <c r="J474" s="10" t="str">
        <f>""</f>
        <v/>
      </c>
      <c r="K474" s="10" t="str">
        <f>"PFES1162560403_0001"</f>
        <v>PFES1162560403_0001</v>
      </c>
      <c r="L474" s="10">
        <v>1</v>
      </c>
      <c r="M474" s="10">
        <v>2</v>
      </c>
    </row>
    <row r="475" spans="1:13">
      <c r="A475" s="8">
        <v>42921</v>
      </c>
      <c r="B475" s="9">
        <v>0.4993055555555555</v>
      </c>
      <c r="C475" s="10" t="str">
        <f>"FES1162560396"</f>
        <v>FES1162560396</v>
      </c>
      <c r="D475" s="10" t="s">
        <v>19</v>
      </c>
      <c r="E475" s="10" t="s">
        <v>155</v>
      </c>
      <c r="F475" s="10" t="str">
        <f>"2170573482 "</f>
        <v xml:space="preserve">2170573482 </v>
      </c>
      <c r="G475" s="10" t="str">
        <f>"DBC"</f>
        <v>DBC</v>
      </c>
      <c r="H475" s="10" t="s">
        <v>21</v>
      </c>
      <c r="I475" s="10" t="s">
        <v>121</v>
      </c>
      <c r="J475" s="10" t="str">
        <f>""</f>
        <v/>
      </c>
      <c r="K475" s="10" t="str">
        <f>"PFES1162560396_0001"</f>
        <v>PFES1162560396_0001</v>
      </c>
      <c r="L475" s="10">
        <v>2</v>
      </c>
      <c r="M475" s="10">
        <v>25</v>
      </c>
    </row>
    <row r="476" spans="1:13">
      <c r="A476" s="8">
        <v>42921</v>
      </c>
      <c r="B476" s="9">
        <v>0.4993055555555555</v>
      </c>
      <c r="C476" s="10" t="str">
        <f>"FES1162560396"</f>
        <v>FES1162560396</v>
      </c>
      <c r="D476" s="10" t="s">
        <v>19</v>
      </c>
      <c r="E476" s="10" t="s">
        <v>155</v>
      </c>
      <c r="F476" s="10" t="str">
        <f>"2170573482 "</f>
        <v xml:space="preserve">2170573482 </v>
      </c>
      <c r="G476" s="10" t="str">
        <f>"DBC"</f>
        <v>DBC</v>
      </c>
      <c r="H476" s="10" t="s">
        <v>21</v>
      </c>
      <c r="I476" s="10" t="s">
        <v>121</v>
      </c>
      <c r="J476" s="10"/>
      <c r="K476" s="10" t="str">
        <f>"PFES1162560396_0002"</f>
        <v>PFES1162560396_0002</v>
      </c>
      <c r="L476" s="10">
        <v>2</v>
      </c>
      <c r="M476" s="10">
        <v>25</v>
      </c>
    </row>
    <row r="477" spans="1:13">
      <c r="A477" s="8">
        <v>42921</v>
      </c>
      <c r="B477" s="9">
        <v>0.4993055555555555</v>
      </c>
      <c r="C477" s="10" t="str">
        <f>"FES1162560556"</f>
        <v>FES1162560556</v>
      </c>
      <c r="D477" s="10" t="s">
        <v>19</v>
      </c>
      <c r="E477" s="10" t="s">
        <v>190</v>
      </c>
      <c r="F477" s="10" t="str">
        <f>"2170577348 "</f>
        <v xml:space="preserve">2170577348 </v>
      </c>
      <c r="G477" s="10" t="str">
        <f t="shared" ref="G477:G499" si="19">"ON1"</f>
        <v>ON1</v>
      </c>
      <c r="H477" s="10" t="s">
        <v>21</v>
      </c>
      <c r="I477" s="10" t="s">
        <v>52</v>
      </c>
      <c r="J477" s="10" t="str">
        <f>""</f>
        <v/>
      </c>
      <c r="K477" s="10" t="str">
        <f>"PFES1162560556_0001"</f>
        <v>PFES1162560556_0001</v>
      </c>
      <c r="L477" s="10">
        <v>1</v>
      </c>
      <c r="M477" s="10">
        <v>1</v>
      </c>
    </row>
    <row r="478" spans="1:13">
      <c r="A478" s="8">
        <v>42921</v>
      </c>
      <c r="B478" s="9">
        <v>0.49861111111111112</v>
      </c>
      <c r="C478" s="10" t="str">
        <f>"FES1162560387"</f>
        <v>FES1162560387</v>
      </c>
      <c r="D478" s="10" t="s">
        <v>19</v>
      </c>
      <c r="E478" s="10" t="s">
        <v>365</v>
      </c>
      <c r="F478" s="10" t="str">
        <f>"2170577235 "</f>
        <v xml:space="preserve">2170577235 </v>
      </c>
      <c r="G478" s="10" t="str">
        <f t="shared" si="19"/>
        <v>ON1</v>
      </c>
      <c r="H478" s="10" t="s">
        <v>21</v>
      </c>
      <c r="I478" s="10" t="s">
        <v>330</v>
      </c>
      <c r="J478" s="10" t="str">
        <f>""</f>
        <v/>
      </c>
      <c r="K478" s="10" t="str">
        <f>"PFES1162560387_0001"</f>
        <v>PFES1162560387_0001</v>
      </c>
      <c r="L478" s="10">
        <v>1</v>
      </c>
      <c r="M478" s="10">
        <v>1</v>
      </c>
    </row>
    <row r="479" spans="1:13">
      <c r="A479" s="8">
        <v>42921</v>
      </c>
      <c r="B479" s="9">
        <v>0.49791666666666662</v>
      </c>
      <c r="C479" s="10" t="str">
        <f>"FES1162560503"</f>
        <v>FES1162560503</v>
      </c>
      <c r="D479" s="10" t="s">
        <v>19</v>
      </c>
      <c r="E479" s="10" t="s">
        <v>369</v>
      </c>
      <c r="F479" s="10" t="str">
        <f>"217077296 "</f>
        <v xml:space="preserve">217077296 </v>
      </c>
      <c r="G479" s="10" t="str">
        <f t="shared" si="19"/>
        <v>ON1</v>
      </c>
      <c r="H479" s="10" t="s">
        <v>21</v>
      </c>
      <c r="I479" s="10" t="s">
        <v>183</v>
      </c>
      <c r="J479" s="10" t="str">
        <f>""</f>
        <v/>
      </c>
      <c r="K479" s="10" t="str">
        <f>"PFES1162560503_0001"</f>
        <v>PFES1162560503_0001</v>
      </c>
      <c r="L479" s="10">
        <v>1</v>
      </c>
      <c r="M479" s="10">
        <v>1</v>
      </c>
    </row>
    <row r="480" spans="1:13">
      <c r="A480" s="8">
        <v>42921</v>
      </c>
      <c r="B480" s="9">
        <v>0.48125000000000001</v>
      </c>
      <c r="C480" s="10" t="str">
        <f>"FES1162560494"</f>
        <v>FES1162560494</v>
      </c>
      <c r="D480" s="10" t="s">
        <v>19</v>
      </c>
      <c r="E480" s="10" t="s">
        <v>422</v>
      </c>
      <c r="F480" s="10" t="str">
        <f>"2170577282 "</f>
        <v xml:space="preserve">2170577282 </v>
      </c>
      <c r="G480" s="10" t="str">
        <f t="shared" si="19"/>
        <v>ON1</v>
      </c>
      <c r="H480" s="10" t="s">
        <v>21</v>
      </c>
      <c r="I480" s="10" t="s">
        <v>330</v>
      </c>
      <c r="J480" s="10" t="str">
        <f>""</f>
        <v/>
      </c>
      <c r="K480" s="10" t="str">
        <f>"PFES1162560494_0001"</f>
        <v>PFES1162560494_0001</v>
      </c>
      <c r="L480" s="10">
        <v>1</v>
      </c>
      <c r="M480" s="10">
        <v>1</v>
      </c>
    </row>
    <row r="481" spans="1:13">
      <c r="A481" s="8">
        <v>42921</v>
      </c>
      <c r="B481" s="9">
        <v>0.48125000000000001</v>
      </c>
      <c r="C481" s="10" t="str">
        <f>"FES1162560421"</f>
        <v>FES1162560421</v>
      </c>
      <c r="D481" s="10" t="s">
        <v>19</v>
      </c>
      <c r="E481" s="10" t="s">
        <v>423</v>
      </c>
      <c r="F481" s="10" t="str">
        <f>"2170575270 "</f>
        <v xml:space="preserve">2170575270 </v>
      </c>
      <c r="G481" s="10" t="str">
        <f t="shared" si="19"/>
        <v>ON1</v>
      </c>
      <c r="H481" s="10" t="s">
        <v>21</v>
      </c>
      <c r="I481" s="10" t="s">
        <v>424</v>
      </c>
      <c r="J481" s="10" t="str">
        <f>""</f>
        <v/>
      </c>
      <c r="K481" s="10" t="str">
        <f>"PFES1162560421_0001"</f>
        <v>PFES1162560421_0001</v>
      </c>
      <c r="L481" s="10">
        <v>1</v>
      </c>
      <c r="M481" s="10">
        <v>1</v>
      </c>
    </row>
    <row r="482" spans="1:13">
      <c r="A482" s="8">
        <v>42921</v>
      </c>
      <c r="B482" s="9">
        <v>0.48055555555555557</v>
      </c>
      <c r="C482" s="10" t="str">
        <f>"FES1162560507"</f>
        <v>FES1162560507</v>
      </c>
      <c r="D482" s="10" t="s">
        <v>19</v>
      </c>
      <c r="E482" s="10" t="s">
        <v>396</v>
      </c>
      <c r="F482" s="10" t="str">
        <f>"2170577300 "</f>
        <v xml:space="preserve">2170577300 </v>
      </c>
      <c r="G482" s="10" t="str">
        <f t="shared" si="19"/>
        <v>ON1</v>
      </c>
      <c r="H482" s="10" t="s">
        <v>21</v>
      </c>
      <c r="I482" s="10" t="s">
        <v>340</v>
      </c>
      <c r="J482" s="10" t="str">
        <f>""</f>
        <v/>
      </c>
      <c r="K482" s="10" t="str">
        <f>"PFES1162560507_0001"</f>
        <v>PFES1162560507_0001</v>
      </c>
      <c r="L482" s="10">
        <v>1</v>
      </c>
      <c r="M482" s="10">
        <v>1</v>
      </c>
    </row>
    <row r="483" spans="1:13">
      <c r="A483" s="8">
        <v>42921</v>
      </c>
      <c r="B483" s="9">
        <v>0.48055555555555557</v>
      </c>
      <c r="C483" s="10" t="str">
        <f>"FES1162560493"</f>
        <v>FES1162560493</v>
      </c>
      <c r="D483" s="10" t="s">
        <v>19</v>
      </c>
      <c r="E483" s="10" t="s">
        <v>422</v>
      </c>
      <c r="F483" s="10" t="str">
        <f>"2170577280 "</f>
        <v xml:space="preserve">2170577280 </v>
      </c>
      <c r="G483" s="10" t="str">
        <f t="shared" si="19"/>
        <v>ON1</v>
      </c>
      <c r="H483" s="10" t="s">
        <v>21</v>
      </c>
      <c r="I483" s="10" t="s">
        <v>330</v>
      </c>
      <c r="J483" s="10" t="str">
        <f>""</f>
        <v/>
      </c>
      <c r="K483" s="10" t="str">
        <f>"PFES1162560493_0001"</f>
        <v>PFES1162560493_0001</v>
      </c>
      <c r="L483" s="10">
        <v>1</v>
      </c>
      <c r="M483" s="10">
        <v>1</v>
      </c>
    </row>
    <row r="484" spans="1:13">
      <c r="A484" s="8">
        <v>42921</v>
      </c>
      <c r="B484" s="9">
        <v>0.48055555555555557</v>
      </c>
      <c r="C484" s="10" t="str">
        <f>"FES1162560498"</f>
        <v>FES1162560498</v>
      </c>
      <c r="D484" s="10" t="s">
        <v>19</v>
      </c>
      <c r="E484" s="10" t="s">
        <v>425</v>
      </c>
      <c r="F484" s="10" t="str">
        <f>"2170577289 "</f>
        <v xml:space="preserve">2170577289 </v>
      </c>
      <c r="G484" s="10" t="str">
        <f t="shared" si="19"/>
        <v>ON1</v>
      </c>
      <c r="H484" s="10" t="s">
        <v>21</v>
      </c>
      <c r="I484" s="10" t="s">
        <v>426</v>
      </c>
      <c r="J484" s="10" t="str">
        <f>""</f>
        <v/>
      </c>
      <c r="K484" s="10" t="str">
        <f>"PFES1162560498_0001"</f>
        <v>PFES1162560498_0001</v>
      </c>
      <c r="L484" s="10">
        <v>1</v>
      </c>
      <c r="M484" s="10">
        <v>1</v>
      </c>
    </row>
    <row r="485" spans="1:13">
      <c r="A485" s="8">
        <v>42921</v>
      </c>
      <c r="B485" s="9">
        <v>0.47986111111111113</v>
      </c>
      <c r="C485" s="10" t="str">
        <f>"FES1162560508"</f>
        <v>FES1162560508</v>
      </c>
      <c r="D485" s="10" t="s">
        <v>19</v>
      </c>
      <c r="E485" s="10" t="s">
        <v>301</v>
      </c>
      <c r="F485" s="10" t="str">
        <f>"2170577285 "</f>
        <v xml:space="preserve">2170577285 </v>
      </c>
      <c r="G485" s="10" t="str">
        <f t="shared" si="19"/>
        <v>ON1</v>
      </c>
      <c r="H485" s="10" t="s">
        <v>21</v>
      </c>
      <c r="I485" s="10" t="s">
        <v>302</v>
      </c>
      <c r="J485" s="10" t="str">
        <f>""</f>
        <v/>
      </c>
      <c r="K485" s="10" t="str">
        <f>"PFES1162560508_0001"</f>
        <v>PFES1162560508_0001</v>
      </c>
      <c r="L485" s="10">
        <v>1</v>
      </c>
      <c r="M485" s="10">
        <v>1</v>
      </c>
    </row>
    <row r="486" spans="1:13">
      <c r="A486" s="8">
        <v>42921</v>
      </c>
      <c r="B486" s="9">
        <v>0.47986111111111113</v>
      </c>
      <c r="C486" s="10" t="str">
        <f>"FES1162560467"</f>
        <v>FES1162560467</v>
      </c>
      <c r="D486" s="10" t="s">
        <v>19</v>
      </c>
      <c r="E486" s="10" t="s">
        <v>356</v>
      </c>
      <c r="F486" s="10" t="str">
        <f>"2170577248 "</f>
        <v xml:space="preserve">2170577248 </v>
      </c>
      <c r="G486" s="10" t="str">
        <f t="shared" si="19"/>
        <v>ON1</v>
      </c>
      <c r="H486" s="10" t="s">
        <v>21</v>
      </c>
      <c r="I486" s="10" t="s">
        <v>119</v>
      </c>
      <c r="J486" s="10" t="str">
        <f>""</f>
        <v/>
      </c>
      <c r="K486" s="10" t="str">
        <f>"PFES1162560467_0001"</f>
        <v>PFES1162560467_0001</v>
      </c>
      <c r="L486" s="10">
        <v>1</v>
      </c>
      <c r="M486" s="10">
        <v>1</v>
      </c>
    </row>
    <row r="487" spans="1:13">
      <c r="A487" s="8">
        <v>42921</v>
      </c>
      <c r="B487" s="9">
        <v>0.47916666666666669</v>
      </c>
      <c r="C487" s="10" t="str">
        <f>"FES1162560440"</f>
        <v>FES1162560440</v>
      </c>
      <c r="D487" s="10" t="s">
        <v>19</v>
      </c>
      <c r="E487" s="10" t="s">
        <v>178</v>
      </c>
      <c r="F487" s="10" t="str">
        <f>"2170576879 "</f>
        <v xml:space="preserve">2170576879 </v>
      </c>
      <c r="G487" s="10" t="str">
        <f t="shared" si="19"/>
        <v>ON1</v>
      </c>
      <c r="H487" s="10" t="s">
        <v>21</v>
      </c>
      <c r="I487" s="10" t="s">
        <v>179</v>
      </c>
      <c r="J487" s="10" t="str">
        <f>""</f>
        <v/>
      </c>
      <c r="K487" s="10" t="str">
        <f>"PFES1162560440_0001"</f>
        <v>PFES1162560440_0001</v>
      </c>
      <c r="L487" s="10">
        <v>1</v>
      </c>
      <c r="M487" s="10">
        <v>1</v>
      </c>
    </row>
    <row r="488" spans="1:13">
      <c r="A488" s="8">
        <v>42921</v>
      </c>
      <c r="B488" s="9">
        <v>0.47916666666666669</v>
      </c>
      <c r="C488" s="10" t="str">
        <f>"FES1162560431"</f>
        <v>FES1162560431</v>
      </c>
      <c r="D488" s="10" t="s">
        <v>19</v>
      </c>
      <c r="E488" s="10" t="s">
        <v>49</v>
      </c>
      <c r="F488" s="10" t="str">
        <f>"2170575305 "</f>
        <v xml:space="preserve">2170575305 </v>
      </c>
      <c r="G488" s="10" t="str">
        <f t="shared" si="19"/>
        <v>ON1</v>
      </c>
      <c r="H488" s="10" t="s">
        <v>21</v>
      </c>
      <c r="I488" s="10" t="s">
        <v>50</v>
      </c>
      <c r="J488" s="10" t="str">
        <f>""</f>
        <v/>
      </c>
      <c r="K488" s="10" t="str">
        <f>"PFES1162560431_0001"</f>
        <v>PFES1162560431_0001</v>
      </c>
      <c r="L488" s="10">
        <v>1</v>
      </c>
      <c r="M488" s="10">
        <v>1</v>
      </c>
    </row>
    <row r="489" spans="1:13">
      <c r="A489" s="8">
        <v>42921</v>
      </c>
      <c r="B489" s="9">
        <v>0.47847222222222219</v>
      </c>
      <c r="C489" s="10" t="str">
        <f>"FES1162560459"</f>
        <v>FES1162560459</v>
      </c>
      <c r="D489" s="10" t="s">
        <v>19</v>
      </c>
      <c r="E489" s="10" t="s">
        <v>288</v>
      </c>
      <c r="F489" s="10" t="str">
        <f>"2170577206 "</f>
        <v xml:space="preserve">2170577206 </v>
      </c>
      <c r="G489" s="10" t="str">
        <f t="shared" si="19"/>
        <v>ON1</v>
      </c>
      <c r="H489" s="10" t="s">
        <v>21</v>
      </c>
      <c r="I489" s="10" t="s">
        <v>300</v>
      </c>
      <c r="J489" s="10" t="str">
        <f>""</f>
        <v/>
      </c>
      <c r="K489" s="10" t="str">
        <f>"PFES1162560459_0001"</f>
        <v>PFES1162560459_0001</v>
      </c>
      <c r="L489" s="10">
        <v>1</v>
      </c>
      <c r="M489" s="10">
        <v>1</v>
      </c>
    </row>
    <row r="490" spans="1:13">
      <c r="A490" s="8">
        <v>42921</v>
      </c>
      <c r="B490" s="9">
        <v>0.47847222222222219</v>
      </c>
      <c r="C490" s="10" t="str">
        <f>"FES1162560429"</f>
        <v>FES1162560429</v>
      </c>
      <c r="D490" s="10" t="s">
        <v>19</v>
      </c>
      <c r="E490" s="10" t="s">
        <v>427</v>
      </c>
      <c r="F490" s="10" t="str">
        <f>"2170575303 "</f>
        <v xml:space="preserve">2170575303 </v>
      </c>
      <c r="G490" s="10" t="str">
        <f t="shared" si="19"/>
        <v>ON1</v>
      </c>
      <c r="H490" s="10" t="s">
        <v>21</v>
      </c>
      <c r="I490" s="10" t="s">
        <v>50</v>
      </c>
      <c r="J490" s="10" t="str">
        <f>""</f>
        <v/>
      </c>
      <c r="K490" s="10" t="str">
        <f>"PFES1162560429_0001"</f>
        <v>PFES1162560429_0001</v>
      </c>
      <c r="L490" s="10">
        <v>1</v>
      </c>
      <c r="M490" s="10">
        <v>1</v>
      </c>
    </row>
    <row r="491" spans="1:13">
      <c r="A491" s="8">
        <v>42921</v>
      </c>
      <c r="B491" s="9">
        <v>0.4777777777777778</v>
      </c>
      <c r="C491" s="10" t="str">
        <f>"FES1162560432"</f>
        <v>FES1162560432</v>
      </c>
      <c r="D491" s="10" t="s">
        <v>19</v>
      </c>
      <c r="E491" s="10" t="s">
        <v>49</v>
      </c>
      <c r="F491" s="10" t="str">
        <f>"2170575306 "</f>
        <v xml:space="preserve">2170575306 </v>
      </c>
      <c r="G491" s="10" t="str">
        <f t="shared" si="19"/>
        <v>ON1</v>
      </c>
      <c r="H491" s="10" t="s">
        <v>21</v>
      </c>
      <c r="I491" s="10" t="s">
        <v>50</v>
      </c>
      <c r="J491" s="10" t="str">
        <f>""</f>
        <v/>
      </c>
      <c r="K491" s="10" t="str">
        <f>"PFES1162560432_0001"</f>
        <v>PFES1162560432_0001</v>
      </c>
      <c r="L491" s="10">
        <v>1</v>
      </c>
      <c r="M491" s="10">
        <v>1</v>
      </c>
    </row>
    <row r="492" spans="1:13">
      <c r="A492" s="8">
        <v>42921</v>
      </c>
      <c r="B492" s="9">
        <v>0.4770833333333333</v>
      </c>
      <c r="C492" s="10" t="str">
        <f>"FES1162560413"</f>
        <v>FES1162560413</v>
      </c>
      <c r="D492" s="10" t="s">
        <v>19</v>
      </c>
      <c r="E492" s="10" t="s">
        <v>428</v>
      </c>
      <c r="F492" s="10" t="str">
        <f>"2170575194 "</f>
        <v xml:space="preserve">2170575194 </v>
      </c>
      <c r="G492" s="10" t="str">
        <f t="shared" si="19"/>
        <v>ON1</v>
      </c>
      <c r="H492" s="10" t="s">
        <v>21</v>
      </c>
      <c r="I492" s="10" t="s">
        <v>179</v>
      </c>
      <c r="J492" s="10" t="str">
        <f>""</f>
        <v/>
      </c>
      <c r="K492" s="10" t="str">
        <f>"PFES1162560413_0001"</f>
        <v>PFES1162560413_0001</v>
      </c>
      <c r="L492" s="10">
        <v>1</v>
      </c>
      <c r="M492" s="10">
        <v>1</v>
      </c>
    </row>
    <row r="493" spans="1:13">
      <c r="A493" s="8">
        <v>42921</v>
      </c>
      <c r="B493" s="9">
        <v>0.4770833333333333</v>
      </c>
      <c r="C493" s="10" t="str">
        <f>"FES1162560430"</f>
        <v>FES1162560430</v>
      </c>
      <c r="D493" s="10" t="s">
        <v>19</v>
      </c>
      <c r="E493" s="10" t="s">
        <v>49</v>
      </c>
      <c r="F493" s="10" t="str">
        <f>"2170575304 "</f>
        <v xml:space="preserve">2170575304 </v>
      </c>
      <c r="G493" s="10" t="str">
        <f t="shared" si="19"/>
        <v>ON1</v>
      </c>
      <c r="H493" s="10" t="s">
        <v>21</v>
      </c>
      <c r="I493" s="10" t="s">
        <v>50</v>
      </c>
      <c r="J493" s="10" t="str">
        <f>""</f>
        <v/>
      </c>
      <c r="K493" s="10" t="str">
        <f>"PFES1162560430_0001"</f>
        <v>PFES1162560430_0001</v>
      </c>
      <c r="L493" s="10">
        <v>1</v>
      </c>
      <c r="M493" s="10">
        <v>1</v>
      </c>
    </row>
    <row r="494" spans="1:13">
      <c r="A494" s="8">
        <v>42921</v>
      </c>
      <c r="B494" s="9">
        <v>0.4770833333333333</v>
      </c>
      <c r="C494" s="10" t="str">
        <f>"FES1162560438"</f>
        <v>FES1162560438</v>
      </c>
      <c r="D494" s="10" t="s">
        <v>19</v>
      </c>
      <c r="E494" s="10" t="s">
        <v>288</v>
      </c>
      <c r="F494" s="10" t="str">
        <f>"2170575972 "</f>
        <v xml:space="preserve">2170575972 </v>
      </c>
      <c r="G494" s="10" t="str">
        <f t="shared" si="19"/>
        <v>ON1</v>
      </c>
      <c r="H494" s="10" t="s">
        <v>21</v>
      </c>
      <c r="I494" s="10" t="s">
        <v>300</v>
      </c>
      <c r="J494" s="10" t="str">
        <f>""</f>
        <v/>
      </c>
      <c r="K494" s="10" t="str">
        <f>"PFES1162560438_0001"</f>
        <v>PFES1162560438_0001</v>
      </c>
      <c r="L494" s="10">
        <v>1</v>
      </c>
      <c r="M494" s="10">
        <v>1</v>
      </c>
    </row>
    <row r="495" spans="1:13">
      <c r="A495" s="8">
        <v>42921</v>
      </c>
      <c r="B495" s="9">
        <v>0.47569444444444442</v>
      </c>
      <c r="C495" s="10" t="str">
        <f>"FES1162560469"</f>
        <v>FES1162560469</v>
      </c>
      <c r="D495" s="10" t="s">
        <v>19</v>
      </c>
      <c r="E495" s="10" t="s">
        <v>429</v>
      </c>
      <c r="F495" s="10" t="str">
        <f>"2170577253 "</f>
        <v xml:space="preserve">2170577253 </v>
      </c>
      <c r="G495" s="10" t="str">
        <f t="shared" si="19"/>
        <v>ON1</v>
      </c>
      <c r="H495" s="10" t="s">
        <v>21</v>
      </c>
      <c r="I495" s="10" t="s">
        <v>430</v>
      </c>
      <c r="J495" s="10" t="str">
        <f>""</f>
        <v/>
      </c>
      <c r="K495" s="10" t="str">
        <f>"PFES1162560469_0001"</f>
        <v>PFES1162560469_0001</v>
      </c>
      <c r="L495" s="10">
        <v>1</v>
      </c>
      <c r="M495" s="10">
        <v>1</v>
      </c>
    </row>
    <row r="496" spans="1:13">
      <c r="A496" s="8">
        <v>42921</v>
      </c>
      <c r="B496" s="9">
        <v>0.47569444444444442</v>
      </c>
      <c r="C496" s="10" t="str">
        <f>"FES1162560475"</f>
        <v>FES1162560475</v>
      </c>
      <c r="D496" s="10" t="s">
        <v>19</v>
      </c>
      <c r="E496" s="10" t="s">
        <v>431</v>
      </c>
      <c r="F496" s="10" t="str">
        <f>"2170577260 "</f>
        <v xml:space="preserve">2170577260 </v>
      </c>
      <c r="G496" s="10" t="str">
        <f t="shared" si="19"/>
        <v>ON1</v>
      </c>
      <c r="H496" s="10" t="s">
        <v>21</v>
      </c>
      <c r="I496" s="10" t="s">
        <v>179</v>
      </c>
      <c r="J496" s="10" t="str">
        <f>""</f>
        <v/>
      </c>
      <c r="K496" s="10" t="str">
        <f>"PFES1162560475_0001"</f>
        <v>PFES1162560475_0001</v>
      </c>
      <c r="L496" s="10">
        <v>1</v>
      </c>
      <c r="M496" s="10">
        <v>1</v>
      </c>
    </row>
    <row r="497" spans="1:13">
      <c r="A497" s="8">
        <v>42921</v>
      </c>
      <c r="B497" s="9">
        <v>0.47569444444444442</v>
      </c>
      <c r="C497" s="10" t="str">
        <f>"FES1162560522"</f>
        <v>FES1162560522</v>
      </c>
      <c r="D497" s="10" t="s">
        <v>19</v>
      </c>
      <c r="E497" s="10" t="s">
        <v>190</v>
      </c>
      <c r="F497" s="10" t="str">
        <f>"2170577317 "</f>
        <v xml:space="preserve">2170577317 </v>
      </c>
      <c r="G497" s="10" t="str">
        <f t="shared" si="19"/>
        <v>ON1</v>
      </c>
      <c r="H497" s="10" t="s">
        <v>21</v>
      </c>
      <c r="I497" s="10" t="s">
        <v>52</v>
      </c>
      <c r="J497" s="10" t="str">
        <f>""</f>
        <v/>
      </c>
      <c r="K497" s="10" t="str">
        <f>"PFES1162560522_0001"</f>
        <v>PFES1162560522_0001</v>
      </c>
      <c r="L497" s="10">
        <v>1</v>
      </c>
      <c r="M497" s="10">
        <v>1</v>
      </c>
    </row>
    <row r="498" spans="1:13">
      <c r="A498" s="8">
        <v>42921</v>
      </c>
      <c r="B498" s="9">
        <v>0.47500000000000003</v>
      </c>
      <c r="C498" s="10" t="str">
        <f>"FES1162560511"</f>
        <v>FES1162560511</v>
      </c>
      <c r="D498" s="10" t="s">
        <v>19</v>
      </c>
      <c r="E498" s="10" t="s">
        <v>432</v>
      </c>
      <c r="F498" s="10" t="str">
        <f>"2170577306 "</f>
        <v xml:space="preserve">2170577306 </v>
      </c>
      <c r="G498" s="10" t="str">
        <f t="shared" si="19"/>
        <v>ON1</v>
      </c>
      <c r="H498" s="10" t="s">
        <v>21</v>
      </c>
      <c r="I498" s="10" t="s">
        <v>433</v>
      </c>
      <c r="J498" s="10" t="str">
        <f>""</f>
        <v/>
      </c>
      <c r="K498" s="10" t="str">
        <f>"PFES1162560511_0001"</f>
        <v>PFES1162560511_0001</v>
      </c>
      <c r="L498" s="10">
        <v>1</v>
      </c>
      <c r="M498" s="10">
        <v>1</v>
      </c>
    </row>
    <row r="499" spans="1:13">
      <c r="A499" s="8">
        <v>42921</v>
      </c>
      <c r="B499" s="9">
        <v>0.47500000000000003</v>
      </c>
      <c r="C499" s="10" t="str">
        <f>"FES1162560524"</f>
        <v>FES1162560524</v>
      </c>
      <c r="D499" s="10" t="s">
        <v>19</v>
      </c>
      <c r="E499" s="10" t="s">
        <v>78</v>
      </c>
      <c r="F499" s="10" t="str">
        <f>"2170577321 "</f>
        <v xml:space="preserve">2170577321 </v>
      </c>
      <c r="G499" s="10" t="str">
        <f t="shared" si="19"/>
        <v>ON1</v>
      </c>
      <c r="H499" s="10" t="s">
        <v>21</v>
      </c>
      <c r="I499" s="10" t="s">
        <v>79</v>
      </c>
      <c r="J499" s="10" t="str">
        <f>""</f>
        <v/>
      </c>
      <c r="K499" s="10" t="str">
        <f>"PFES1162560524_0001"</f>
        <v>PFES1162560524_0001</v>
      </c>
      <c r="L499" s="10">
        <v>1</v>
      </c>
      <c r="M499" s="10">
        <v>1</v>
      </c>
    </row>
    <row r="500" spans="1:13">
      <c r="A500" s="8">
        <v>42921</v>
      </c>
      <c r="B500" s="9">
        <v>0.47291666666666665</v>
      </c>
      <c r="C500" s="10" t="str">
        <f>"FES1162558058"</f>
        <v>FES1162558058</v>
      </c>
      <c r="D500" s="10" t="s">
        <v>19</v>
      </c>
      <c r="E500" s="10" t="s">
        <v>434</v>
      </c>
      <c r="F500" s="10" t="str">
        <f>"217056620 "</f>
        <v xml:space="preserve">217056620 </v>
      </c>
      <c r="G500" s="10" t="str">
        <f>"DBC"</f>
        <v>DBC</v>
      </c>
      <c r="H500" s="10" t="s">
        <v>21</v>
      </c>
      <c r="I500" s="10" t="s">
        <v>435</v>
      </c>
      <c r="J500" s="10" t="str">
        <f>""</f>
        <v/>
      </c>
      <c r="K500" s="10" t="str">
        <f>"PFES1162558058_0001"</f>
        <v>PFES1162558058_0001</v>
      </c>
      <c r="L500" s="10">
        <v>1</v>
      </c>
      <c r="M500" s="10">
        <v>27</v>
      </c>
    </row>
    <row r="501" spans="1:13">
      <c r="A501" s="8">
        <v>42921</v>
      </c>
      <c r="B501" s="9">
        <v>0.47083333333333338</v>
      </c>
      <c r="C501" s="10" t="str">
        <f>"FES1162560538"</f>
        <v>FES1162560538</v>
      </c>
      <c r="D501" s="10" t="s">
        <v>19</v>
      </c>
      <c r="E501" s="10" t="s">
        <v>436</v>
      </c>
      <c r="F501" s="10" t="str">
        <f>"2170571020 "</f>
        <v xml:space="preserve">2170571020 </v>
      </c>
      <c r="G501" s="10" t="str">
        <f t="shared" ref="G501:G545" si="20">"ON1"</f>
        <v>ON1</v>
      </c>
      <c r="H501" s="10" t="s">
        <v>21</v>
      </c>
      <c r="I501" s="10" t="s">
        <v>252</v>
      </c>
      <c r="J501" s="10" t="str">
        <f>""</f>
        <v/>
      </c>
      <c r="K501" s="10" t="str">
        <f>"PFES1162560538_0001"</f>
        <v>PFES1162560538_0001</v>
      </c>
      <c r="L501" s="10">
        <v>1</v>
      </c>
      <c r="M501" s="10">
        <v>5</v>
      </c>
    </row>
    <row r="502" spans="1:13">
      <c r="A502" s="8">
        <v>42921</v>
      </c>
      <c r="B502" s="9">
        <v>0.47013888888888888</v>
      </c>
      <c r="C502" s="10" t="str">
        <f>"FES1162560523"</f>
        <v>FES1162560523</v>
      </c>
      <c r="D502" s="10" t="s">
        <v>19</v>
      </c>
      <c r="E502" s="10" t="s">
        <v>190</v>
      </c>
      <c r="F502" s="10" t="str">
        <f>"2170577319 "</f>
        <v xml:space="preserve">2170577319 </v>
      </c>
      <c r="G502" s="10" t="str">
        <f t="shared" si="20"/>
        <v>ON1</v>
      </c>
      <c r="H502" s="10" t="s">
        <v>21</v>
      </c>
      <c r="I502" s="10" t="s">
        <v>52</v>
      </c>
      <c r="J502" s="10" t="str">
        <f>""</f>
        <v/>
      </c>
      <c r="K502" s="10" t="str">
        <f>"PFES1162560523_0001"</f>
        <v>PFES1162560523_0001</v>
      </c>
      <c r="L502" s="10">
        <v>1</v>
      </c>
      <c r="M502" s="10">
        <v>6</v>
      </c>
    </row>
    <row r="503" spans="1:13">
      <c r="A503" s="8">
        <v>42921</v>
      </c>
      <c r="B503" s="9">
        <v>0.47013888888888888</v>
      </c>
      <c r="C503" s="10" t="str">
        <f>"FES1162560468"</f>
        <v>FES1162560468</v>
      </c>
      <c r="D503" s="10" t="s">
        <v>19</v>
      </c>
      <c r="E503" s="10" t="s">
        <v>437</v>
      </c>
      <c r="F503" s="10" t="str">
        <f>"2170577250 "</f>
        <v xml:space="preserve">2170577250 </v>
      </c>
      <c r="G503" s="10" t="str">
        <f t="shared" si="20"/>
        <v>ON1</v>
      </c>
      <c r="H503" s="10" t="s">
        <v>21</v>
      </c>
      <c r="I503" s="10" t="s">
        <v>159</v>
      </c>
      <c r="J503" s="10" t="str">
        <f>""</f>
        <v/>
      </c>
      <c r="K503" s="10" t="str">
        <f>"PFES1162560468_0001"</f>
        <v>PFES1162560468_0001</v>
      </c>
      <c r="L503" s="10">
        <v>1</v>
      </c>
      <c r="M503" s="10">
        <v>1</v>
      </c>
    </row>
    <row r="504" spans="1:13">
      <c r="A504" s="8">
        <v>42921</v>
      </c>
      <c r="B504" s="9">
        <v>0.47013888888888888</v>
      </c>
      <c r="C504" s="10" t="str">
        <f>"FES1162560462"</f>
        <v>FES1162560462</v>
      </c>
      <c r="D504" s="10" t="s">
        <v>19</v>
      </c>
      <c r="E504" s="10" t="s">
        <v>269</v>
      </c>
      <c r="F504" s="10" t="str">
        <f>"2170577243 "</f>
        <v xml:space="preserve">2170577243 </v>
      </c>
      <c r="G504" s="10" t="str">
        <f t="shared" si="20"/>
        <v>ON1</v>
      </c>
      <c r="H504" s="10" t="s">
        <v>21</v>
      </c>
      <c r="I504" s="10" t="s">
        <v>405</v>
      </c>
      <c r="J504" s="10" t="str">
        <f>""</f>
        <v/>
      </c>
      <c r="K504" s="10" t="str">
        <f>"PFES1162560462_0001"</f>
        <v>PFES1162560462_0001</v>
      </c>
      <c r="L504" s="10">
        <v>1</v>
      </c>
      <c r="M504" s="10">
        <v>1</v>
      </c>
    </row>
    <row r="505" spans="1:13">
      <c r="A505" s="8">
        <v>42921</v>
      </c>
      <c r="B505" s="9">
        <v>0.4694444444444445</v>
      </c>
      <c r="C505" s="10" t="str">
        <f>"FES1162560386"</f>
        <v>FES1162560386</v>
      </c>
      <c r="D505" s="10" t="s">
        <v>19</v>
      </c>
      <c r="E505" s="10" t="s">
        <v>336</v>
      </c>
      <c r="F505" s="10" t="str">
        <f>"2170577234 "</f>
        <v xml:space="preserve">2170577234 </v>
      </c>
      <c r="G505" s="10" t="str">
        <f t="shared" si="20"/>
        <v>ON1</v>
      </c>
      <c r="H505" s="10" t="s">
        <v>21</v>
      </c>
      <c r="I505" s="10" t="s">
        <v>337</v>
      </c>
      <c r="J505" s="10" t="str">
        <f>""</f>
        <v/>
      </c>
      <c r="K505" s="10" t="str">
        <f>"PFES1162560386_0001"</f>
        <v>PFES1162560386_0001</v>
      </c>
      <c r="L505" s="10">
        <v>1</v>
      </c>
      <c r="M505" s="10">
        <v>1</v>
      </c>
    </row>
    <row r="506" spans="1:13">
      <c r="A506" s="8">
        <v>42921</v>
      </c>
      <c r="B506" s="9">
        <v>0.46875</v>
      </c>
      <c r="C506" s="10" t="str">
        <f>"FES1162560395"</f>
        <v>FES1162560395</v>
      </c>
      <c r="D506" s="10" t="s">
        <v>19</v>
      </c>
      <c r="E506" s="10" t="s">
        <v>155</v>
      </c>
      <c r="F506" s="10" t="str">
        <f>"2170573069 "</f>
        <v xml:space="preserve">2170573069 </v>
      </c>
      <c r="G506" s="10" t="str">
        <f t="shared" si="20"/>
        <v>ON1</v>
      </c>
      <c r="H506" s="10" t="s">
        <v>21</v>
      </c>
      <c r="I506" s="10" t="s">
        <v>121</v>
      </c>
      <c r="J506" s="10" t="str">
        <f>""</f>
        <v/>
      </c>
      <c r="K506" s="10" t="str">
        <f>"PFES1162560395_0001"</f>
        <v>PFES1162560395_0001</v>
      </c>
      <c r="L506" s="10">
        <v>1</v>
      </c>
      <c r="M506" s="10">
        <v>1</v>
      </c>
    </row>
    <row r="507" spans="1:13">
      <c r="A507" s="8">
        <v>42921</v>
      </c>
      <c r="B507" s="9">
        <v>0.46875</v>
      </c>
      <c r="C507" s="10" t="str">
        <f>"FES1162560411"</f>
        <v>FES1162560411</v>
      </c>
      <c r="D507" s="10" t="s">
        <v>19</v>
      </c>
      <c r="E507" s="10" t="s">
        <v>438</v>
      </c>
      <c r="F507" s="10" t="str">
        <f>"2170575155 "</f>
        <v xml:space="preserve">2170575155 </v>
      </c>
      <c r="G507" s="10" t="str">
        <f t="shared" si="20"/>
        <v>ON1</v>
      </c>
      <c r="H507" s="10" t="s">
        <v>21</v>
      </c>
      <c r="I507" s="10" t="s">
        <v>115</v>
      </c>
      <c r="J507" s="10" t="str">
        <f>""</f>
        <v/>
      </c>
      <c r="K507" s="10" t="str">
        <f>"PFES1162560411_0001"</f>
        <v>PFES1162560411_0001</v>
      </c>
      <c r="L507" s="10">
        <v>1</v>
      </c>
      <c r="M507" s="10">
        <v>1</v>
      </c>
    </row>
    <row r="508" spans="1:13">
      <c r="A508" s="8">
        <v>42921</v>
      </c>
      <c r="B508" s="9">
        <v>0.4680555555555555</v>
      </c>
      <c r="C508" s="10" t="str">
        <f>"FES1162560390"</f>
        <v>FES1162560390</v>
      </c>
      <c r="D508" s="10" t="s">
        <v>19</v>
      </c>
      <c r="E508" s="10" t="s">
        <v>39</v>
      </c>
      <c r="F508" s="10" t="str">
        <f>"2170577239 "</f>
        <v xml:space="preserve">2170577239 </v>
      </c>
      <c r="G508" s="10" t="str">
        <f t="shared" si="20"/>
        <v>ON1</v>
      </c>
      <c r="H508" s="10" t="s">
        <v>21</v>
      </c>
      <c r="I508" s="10" t="s">
        <v>40</v>
      </c>
      <c r="J508" s="10" t="str">
        <f>""</f>
        <v/>
      </c>
      <c r="K508" s="10" t="str">
        <f>"PFES1162560390_0001"</f>
        <v>PFES1162560390_0001</v>
      </c>
      <c r="L508" s="10">
        <v>1</v>
      </c>
      <c r="M508" s="10">
        <v>1</v>
      </c>
    </row>
    <row r="509" spans="1:13">
      <c r="A509" s="8">
        <v>42921</v>
      </c>
      <c r="B509" s="9">
        <v>0.4680555555555555</v>
      </c>
      <c r="C509" s="10" t="str">
        <f>"FES1162560463"</f>
        <v>FES1162560463</v>
      </c>
      <c r="D509" s="10" t="s">
        <v>19</v>
      </c>
      <c r="E509" s="10" t="s">
        <v>439</v>
      </c>
      <c r="F509" s="10" t="str">
        <f>"2170577244 "</f>
        <v xml:space="preserve">2170577244 </v>
      </c>
      <c r="G509" s="10" t="str">
        <f t="shared" si="20"/>
        <v>ON1</v>
      </c>
      <c r="H509" s="10" t="s">
        <v>21</v>
      </c>
      <c r="I509" s="10" t="s">
        <v>232</v>
      </c>
      <c r="J509" s="10" t="str">
        <f>""</f>
        <v/>
      </c>
      <c r="K509" s="10" t="str">
        <f>"PFES1162560463_0001"</f>
        <v>PFES1162560463_0001</v>
      </c>
      <c r="L509" s="10">
        <v>1</v>
      </c>
      <c r="M509" s="10">
        <v>1</v>
      </c>
    </row>
    <row r="510" spans="1:13">
      <c r="A510" s="8">
        <v>42921</v>
      </c>
      <c r="B510" s="9">
        <v>0.46736111111111112</v>
      </c>
      <c r="C510" s="10" t="str">
        <f>"FES1162560402"</f>
        <v>FES1162560402</v>
      </c>
      <c r="D510" s="10" t="s">
        <v>19</v>
      </c>
      <c r="E510" s="10" t="s">
        <v>146</v>
      </c>
      <c r="F510" s="10" t="str">
        <f>"2170574944 "</f>
        <v xml:space="preserve">2170574944 </v>
      </c>
      <c r="G510" s="10" t="str">
        <f t="shared" si="20"/>
        <v>ON1</v>
      </c>
      <c r="H510" s="10" t="s">
        <v>21</v>
      </c>
      <c r="I510" s="10" t="s">
        <v>147</v>
      </c>
      <c r="J510" s="10" t="str">
        <f>""</f>
        <v/>
      </c>
      <c r="K510" s="10" t="str">
        <f>"PFES1162560402_0001"</f>
        <v>PFES1162560402_0001</v>
      </c>
      <c r="L510" s="10">
        <v>1</v>
      </c>
      <c r="M510" s="10">
        <v>1</v>
      </c>
    </row>
    <row r="511" spans="1:13">
      <c r="A511" s="8">
        <v>42921</v>
      </c>
      <c r="B511" s="9">
        <v>0.46736111111111112</v>
      </c>
      <c r="C511" s="10" t="str">
        <f>"FES1162560389"</f>
        <v>FES1162560389</v>
      </c>
      <c r="D511" s="10" t="s">
        <v>19</v>
      </c>
      <c r="E511" s="10" t="s">
        <v>154</v>
      </c>
      <c r="F511" s="10" t="str">
        <f>"2170577238 "</f>
        <v xml:space="preserve">2170577238 </v>
      </c>
      <c r="G511" s="10" t="str">
        <f t="shared" si="20"/>
        <v>ON1</v>
      </c>
      <c r="H511" s="10" t="s">
        <v>21</v>
      </c>
      <c r="I511" s="10" t="s">
        <v>130</v>
      </c>
      <c r="J511" s="10" t="str">
        <f>""</f>
        <v/>
      </c>
      <c r="K511" s="10" t="str">
        <f>"PFES1162560389_0001"</f>
        <v>PFES1162560389_0001</v>
      </c>
      <c r="L511" s="10">
        <v>1</v>
      </c>
      <c r="M511" s="10">
        <v>1</v>
      </c>
    </row>
    <row r="512" spans="1:13">
      <c r="A512" s="8">
        <v>42921</v>
      </c>
      <c r="B512" s="9">
        <v>0.45694444444444443</v>
      </c>
      <c r="C512" s="10" t="str">
        <f>"009935791514"</f>
        <v>009935791514</v>
      </c>
      <c r="D512" s="10" t="s">
        <v>19</v>
      </c>
      <c r="E512" s="10" t="s">
        <v>288</v>
      </c>
      <c r="F512" s="10" t="str">
        <f>"1162559967 "</f>
        <v xml:space="preserve">1162559967 </v>
      </c>
      <c r="G512" s="10" t="str">
        <f t="shared" si="20"/>
        <v>ON1</v>
      </c>
      <c r="H512" s="10" t="s">
        <v>21</v>
      </c>
      <c r="I512" s="10" t="s">
        <v>84</v>
      </c>
      <c r="J512" s="10" t="str">
        <f>""</f>
        <v/>
      </c>
      <c r="K512" s="10" t="str">
        <f>"P009935791514_0001"</f>
        <v>P009935791514_0001</v>
      </c>
      <c r="L512" s="10">
        <v>1</v>
      </c>
      <c r="M512" s="10">
        <v>1</v>
      </c>
    </row>
    <row r="513" spans="1:13">
      <c r="A513" s="8">
        <v>42921</v>
      </c>
      <c r="B513" s="9">
        <v>0.45555555555555555</v>
      </c>
      <c r="C513" s="10" t="str">
        <f>"FES1162560476"</f>
        <v>FES1162560476</v>
      </c>
      <c r="D513" s="10" t="s">
        <v>19</v>
      </c>
      <c r="E513" s="10" t="s">
        <v>440</v>
      </c>
      <c r="F513" s="10" t="str">
        <f>"2170577261 "</f>
        <v xml:space="preserve">2170577261 </v>
      </c>
      <c r="G513" s="10" t="str">
        <f t="shared" si="20"/>
        <v>ON1</v>
      </c>
      <c r="H513" s="10" t="s">
        <v>21</v>
      </c>
      <c r="I513" s="10" t="s">
        <v>79</v>
      </c>
      <c r="J513" s="10" t="str">
        <f>""</f>
        <v/>
      </c>
      <c r="K513" s="10" t="str">
        <f>"PFES1162560476_0001"</f>
        <v>PFES1162560476_0001</v>
      </c>
      <c r="L513" s="10">
        <v>1</v>
      </c>
      <c r="M513" s="10">
        <v>5</v>
      </c>
    </row>
    <row r="514" spans="1:13">
      <c r="A514" s="8">
        <v>42921</v>
      </c>
      <c r="B514" s="9">
        <v>0.4548611111111111</v>
      </c>
      <c r="C514" s="10" t="str">
        <f>"FES1162560464"</f>
        <v>FES1162560464</v>
      </c>
      <c r="D514" s="10" t="s">
        <v>19</v>
      </c>
      <c r="E514" s="10" t="s">
        <v>270</v>
      </c>
      <c r="F514" s="10" t="str">
        <f>"2170577245 "</f>
        <v xml:space="preserve">2170577245 </v>
      </c>
      <c r="G514" s="10" t="str">
        <f t="shared" si="20"/>
        <v>ON1</v>
      </c>
      <c r="H514" s="10" t="s">
        <v>21</v>
      </c>
      <c r="I514" s="10" t="s">
        <v>271</v>
      </c>
      <c r="J514" s="10" t="str">
        <f>""</f>
        <v/>
      </c>
      <c r="K514" s="10" t="str">
        <f>"PFES1162560464_0001"</f>
        <v>PFES1162560464_0001</v>
      </c>
      <c r="L514" s="10">
        <v>1</v>
      </c>
      <c r="M514" s="10">
        <v>1</v>
      </c>
    </row>
    <row r="515" spans="1:13">
      <c r="A515" s="8">
        <v>42921</v>
      </c>
      <c r="B515" s="9">
        <v>0.4548611111111111</v>
      </c>
      <c r="C515" s="10" t="str">
        <f>"FES1162560439"</f>
        <v>FES1162560439</v>
      </c>
      <c r="D515" s="10" t="s">
        <v>19</v>
      </c>
      <c r="E515" s="10" t="s">
        <v>441</v>
      </c>
      <c r="F515" s="10" t="str">
        <f>"2170576659 "</f>
        <v xml:space="preserve">2170576659 </v>
      </c>
      <c r="G515" s="10" t="str">
        <f t="shared" si="20"/>
        <v>ON1</v>
      </c>
      <c r="H515" s="10" t="s">
        <v>21</v>
      </c>
      <c r="I515" s="10" t="s">
        <v>166</v>
      </c>
      <c r="J515" s="10" t="str">
        <f>""</f>
        <v/>
      </c>
      <c r="K515" s="10" t="str">
        <f>"PFES1162560439_0001"</f>
        <v>PFES1162560439_0001</v>
      </c>
      <c r="L515" s="10">
        <v>1</v>
      </c>
      <c r="M515" s="10">
        <v>4</v>
      </c>
    </row>
    <row r="516" spans="1:13">
      <c r="A516" s="8">
        <v>42921</v>
      </c>
      <c r="B516" s="9">
        <v>0.45416666666666666</v>
      </c>
      <c r="C516" s="10" t="str">
        <f>"FES1162560461"</f>
        <v>FES1162560461</v>
      </c>
      <c r="D516" s="10" t="s">
        <v>19</v>
      </c>
      <c r="E516" s="10" t="s">
        <v>436</v>
      </c>
      <c r="F516" s="10" t="str">
        <f>"2170577242 "</f>
        <v xml:space="preserve">2170577242 </v>
      </c>
      <c r="G516" s="10" t="str">
        <f t="shared" si="20"/>
        <v>ON1</v>
      </c>
      <c r="H516" s="10" t="s">
        <v>21</v>
      </c>
      <c r="I516" s="10" t="s">
        <v>252</v>
      </c>
      <c r="J516" s="10" t="str">
        <f>""</f>
        <v/>
      </c>
      <c r="K516" s="10" t="str">
        <f>"PFES1162560461_0001"</f>
        <v>PFES1162560461_0001</v>
      </c>
      <c r="L516" s="10">
        <v>1</v>
      </c>
      <c r="M516" s="10">
        <v>2</v>
      </c>
    </row>
    <row r="517" spans="1:13">
      <c r="A517" s="8">
        <v>42921</v>
      </c>
      <c r="B517" s="9">
        <v>0.45416666666666666</v>
      </c>
      <c r="C517" s="10" t="str">
        <f>"FES1162560492"</f>
        <v>FES1162560492</v>
      </c>
      <c r="D517" s="10" t="s">
        <v>19</v>
      </c>
      <c r="E517" s="10" t="s">
        <v>237</v>
      </c>
      <c r="F517" s="10" t="str">
        <f>"2170577279 "</f>
        <v xml:space="preserve">2170577279 </v>
      </c>
      <c r="G517" s="10" t="str">
        <f t="shared" si="20"/>
        <v>ON1</v>
      </c>
      <c r="H517" s="10" t="s">
        <v>21</v>
      </c>
      <c r="I517" s="10" t="s">
        <v>238</v>
      </c>
      <c r="J517" s="10" t="str">
        <f>""</f>
        <v/>
      </c>
      <c r="K517" s="10" t="str">
        <f>"PFES1162560492_0001"</f>
        <v>PFES1162560492_0001</v>
      </c>
      <c r="L517" s="10">
        <v>1</v>
      </c>
      <c r="M517" s="10">
        <v>3</v>
      </c>
    </row>
    <row r="518" spans="1:13">
      <c r="A518" s="8">
        <v>42921</v>
      </c>
      <c r="B518" s="9">
        <v>0.45347222222222222</v>
      </c>
      <c r="C518" s="10" t="str">
        <f>"FES1162560491"</f>
        <v>FES1162560491</v>
      </c>
      <c r="D518" s="10" t="s">
        <v>19</v>
      </c>
      <c r="E518" s="10" t="s">
        <v>78</v>
      </c>
      <c r="F518" s="10" t="str">
        <f>"2170577278 "</f>
        <v xml:space="preserve">2170577278 </v>
      </c>
      <c r="G518" s="10" t="str">
        <f t="shared" si="20"/>
        <v>ON1</v>
      </c>
      <c r="H518" s="10" t="s">
        <v>21</v>
      </c>
      <c r="I518" s="10" t="s">
        <v>79</v>
      </c>
      <c r="J518" s="10" t="str">
        <f>""</f>
        <v/>
      </c>
      <c r="K518" s="10" t="str">
        <f>"PFES1162560491_0001"</f>
        <v>PFES1162560491_0001</v>
      </c>
      <c r="L518" s="10">
        <v>1</v>
      </c>
      <c r="M518" s="10">
        <v>4</v>
      </c>
    </row>
    <row r="519" spans="1:13">
      <c r="A519" s="8">
        <v>42921</v>
      </c>
      <c r="B519" s="9">
        <v>0.45347222222222222</v>
      </c>
      <c r="C519" s="10" t="str">
        <f>"FES1162560385"</f>
        <v>FES1162560385</v>
      </c>
      <c r="D519" s="10" t="s">
        <v>19</v>
      </c>
      <c r="E519" s="10" t="s">
        <v>282</v>
      </c>
      <c r="F519" s="10" t="str">
        <f>"2170577233 "</f>
        <v xml:space="preserve">2170577233 </v>
      </c>
      <c r="G519" s="10" t="str">
        <f t="shared" si="20"/>
        <v>ON1</v>
      </c>
      <c r="H519" s="10" t="s">
        <v>21</v>
      </c>
      <c r="I519" s="10" t="s">
        <v>252</v>
      </c>
      <c r="J519" s="10" t="str">
        <f>""</f>
        <v/>
      </c>
      <c r="K519" s="10" t="str">
        <f>"PFES1162560385_0001"</f>
        <v>PFES1162560385_0001</v>
      </c>
      <c r="L519" s="10">
        <v>1</v>
      </c>
      <c r="M519" s="10">
        <v>12</v>
      </c>
    </row>
    <row r="520" spans="1:13">
      <c r="A520" s="8">
        <v>42921</v>
      </c>
      <c r="B520" s="9">
        <v>0.45277777777777778</v>
      </c>
      <c r="C520" s="10" t="str">
        <f>"FES1162560120"</f>
        <v>FES1162560120</v>
      </c>
      <c r="D520" s="10" t="s">
        <v>19</v>
      </c>
      <c r="E520" s="10" t="s">
        <v>442</v>
      </c>
      <c r="F520" s="10" t="str">
        <f>"2170575969 "</f>
        <v xml:space="preserve">2170575969 </v>
      </c>
      <c r="G520" s="10" t="str">
        <f t="shared" si="20"/>
        <v>ON1</v>
      </c>
      <c r="H520" s="10" t="s">
        <v>21</v>
      </c>
      <c r="I520" s="10" t="s">
        <v>443</v>
      </c>
      <c r="J520" s="10" t="str">
        <f>""</f>
        <v/>
      </c>
      <c r="K520" s="10" t="str">
        <f>"PFES1162560120_0001"</f>
        <v>PFES1162560120_0001</v>
      </c>
      <c r="L520" s="10">
        <v>1</v>
      </c>
      <c r="M520" s="10">
        <v>2</v>
      </c>
    </row>
    <row r="521" spans="1:13">
      <c r="A521" s="8">
        <v>42921</v>
      </c>
      <c r="B521" s="9">
        <v>0.45277777777777778</v>
      </c>
      <c r="C521" s="10" t="str">
        <f>"FES1162560482"</f>
        <v>FES1162560482</v>
      </c>
      <c r="D521" s="10" t="s">
        <v>19</v>
      </c>
      <c r="E521" s="10" t="s">
        <v>237</v>
      </c>
      <c r="F521" s="10" t="str">
        <f>"2170577268 "</f>
        <v xml:space="preserve">2170577268 </v>
      </c>
      <c r="G521" s="10" t="str">
        <f t="shared" si="20"/>
        <v>ON1</v>
      </c>
      <c r="H521" s="10" t="s">
        <v>21</v>
      </c>
      <c r="I521" s="10" t="s">
        <v>238</v>
      </c>
      <c r="J521" s="10" t="str">
        <f>""</f>
        <v/>
      </c>
      <c r="K521" s="10" t="str">
        <f>"PFES1162560482_0001"</f>
        <v>PFES1162560482_0001</v>
      </c>
      <c r="L521" s="10">
        <v>1</v>
      </c>
      <c r="M521" s="10">
        <v>1</v>
      </c>
    </row>
    <row r="522" spans="1:13">
      <c r="A522" s="8">
        <v>42921</v>
      </c>
      <c r="B522" s="9">
        <v>0.45208333333333334</v>
      </c>
      <c r="C522" s="10" t="str">
        <f>"FES1162560405"</f>
        <v>FES1162560405</v>
      </c>
      <c r="D522" s="10" t="s">
        <v>19</v>
      </c>
      <c r="E522" s="10" t="s">
        <v>78</v>
      </c>
      <c r="F522" s="10" t="str">
        <f>"2170575061 "</f>
        <v xml:space="preserve">2170575061 </v>
      </c>
      <c r="G522" s="10" t="str">
        <f t="shared" si="20"/>
        <v>ON1</v>
      </c>
      <c r="H522" s="10" t="s">
        <v>21</v>
      </c>
      <c r="I522" s="10" t="s">
        <v>79</v>
      </c>
      <c r="J522" s="10" t="str">
        <f>""</f>
        <v/>
      </c>
      <c r="K522" s="10" t="str">
        <f>"PFES1162560405_0001"</f>
        <v>PFES1162560405_0001</v>
      </c>
      <c r="L522" s="10">
        <v>1</v>
      </c>
      <c r="M522" s="10">
        <v>1</v>
      </c>
    </row>
    <row r="523" spans="1:13">
      <c r="A523" s="8">
        <v>42921</v>
      </c>
      <c r="B523" s="9">
        <v>0.45208333333333334</v>
      </c>
      <c r="C523" s="10" t="str">
        <f>"FES1162560424"</f>
        <v>FES1162560424</v>
      </c>
      <c r="D523" s="10" t="s">
        <v>19</v>
      </c>
      <c r="E523" s="10" t="s">
        <v>260</v>
      </c>
      <c r="F523" s="10" t="str">
        <f>"2170575280 "</f>
        <v xml:space="preserve">2170575280 </v>
      </c>
      <c r="G523" s="10" t="str">
        <f t="shared" si="20"/>
        <v>ON1</v>
      </c>
      <c r="H523" s="10" t="s">
        <v>21</v>
      </c>
      <c r="I523" s="10" t="s">
        <v>261</v>
      </c>
      <c r="J523" s="10" t="str">
        <f>""</f>
        <v/>
      </c>
      <c r="K523" s="10" t="str">
        <f>"PFES1162560424_0001"</f>
        <v>PFES1162560424_0001</v>
      </c>
      <c r="L523" s="10">
        <v>1</v>
      </c>
      <c r="M523" s="10">
        <v>1</v>
      </c>
    </row>
    <row r="524" spans="1:13">
      <c r="A524" s="8">
        <v>42921</v>
      </c>
      <c r="B524" s="9">
        <v>0.44513888888888892</v>
      </c>
      <c r="C524" s="10" t="str">
        <f>"FES1162560392"</f>
        <v>FES1162560392</v>
      </c>
      <c r="D524" s="10" t="s">
        <v>19</v>
      </c>
      <c r="E524" s="10" t="s">
        <v>184</v>
      </c>
      <c r="F524" s="10" t="str">
        <f>"2170571476 "</f>
        <v xml:space="preserve">2170571476 </v>
      </c>
      <c r="G524" s="10" t="str">
        <f t="shared" si="20"/>
        <v>ON1</v>
      </c>
      <c r="H524" s="10" t="s">
        <v>21</v>
      </c>
      <c r="I524" s="10" t="s">
        <v>185</v>
      </c>
      <c r="J524" s="10" t="str">
        <f>""</f>
        <v/>
      </c>
      <c r="K524" s="10" t="str">
        <f>"PFES1162560392_0001"</f>
        <v>PFES1162560392_0001</v>
      </c>
      <c r="L524" s="10">
        <v>1</v>
      </c>
      <c r="M524" s="10">
        <v>1</v>
      </c>
    </row>
    <row r="525" spans="1:13">
      <c r="A525" s="8">
        <v>42921</v>
      </c>
      <c r="B525" s="9">
        <v>0.44444444444444442</v>
      </c>
      <c r="C525" s="10" t="str">
        <f>"FES1162560422"</f>
        <v>FES1162560422</v>
      </c>
      <c r="D525" s="10" t="s">
        <v>19</v>
      </c>
      <c r="E525" s="10" t="s">
        <v>184</v>
      </c>
      <c r="F525" s="10" t="str">
        <f>"2170575271 "</f>
        <v xml:space="preserve">2170575271 </v>
      </c>
      <c r="G525" s="10" t="str">
        <f t="shared" si="20"/>
        <v>ON1</v>
      </c>
      <c r="H525" s="10" t="s">
        <v>21</v>
      </c>
      <c r="I525" s="10" t="s">
        <v>185</v>
      </c>
      <c r="J525" s="10" t="str">
        <f>""</f>
        <v/>
      </c>
      <c r="K525" s="10" t="str">
        <f>"PFES1162560422_0001"</f>
        <v>PFES1162560422_0001</v>
      </c>
      <c r="L525" s="10">
        <v>1</v>
      </c>
      <c r="M525" s="10">
        <v>1</v>
      </c>
    </row>
    <row r="526" spans="1:13">
      <c r="A526" s="8">
        <v>42921</v>
      </c>
      <c r="B526" s="9">
        <v>0.44375000000000003</v>
      </c>
      <c r="C526" s="10" t="str">
        <f>"FES1162560437"</f>
        <v>FES1162560437</v>
      </c>
      <c r="D526" s="10" t="s">
        <v>19</v>
      </c>
      <c r="E526" s="10" t="s">
        <v>184</v>
      </c>
      <c r="F526" s="10" t="str">
        <f>"2170575880 "</f>
        <v xml:space="preserve">2170575880 </v>
      </c>
      <c r="G526" s="10" t="str">
        <f t="shared" si="20"/>
        <v>ON1</v>
      </c>
      <c r="H526" s="10" t="s">
        <v>21</v>
      </c>
      <c r="I526" s="10" t="s">
        <v>185</v>
      </c>
      <c r="J526" s="10" t="str">
        <f>""</f>
        <v/>
      </c>
      <c r="K526" s="10" t="str">
        <f>"PFES1162560437_0001"</f>
        <v>PFES1162560437_0001</v>
      </c>
      <c r="L526" s="10">
        <v>1</v>
      </c>
      <c r="M526" s="10">
        <v>1</v>
      </c>
    </row>
    <row r="527" spans="1:13">
      <c r="A527" s="8">
        <v>42921</v>
      </c>
      <c r="B527" s="9">
        <v>0.44305555555555554</v>
      </c>
      <c r="C527" s="10" t="str">
        <f>"FES1162560428"</f>
        <v>FES1162560428</v>
      </c>
      <c r="D527" s="10" t="s">
        <v>19</v>
      </c>
      <c r="E527" s="10" t="s">
        <v>99</v>
      </c>
      <c r="F527" s="10" t="str">
        <f>"2170575301 "</f>
        <v xml:space="preserve">2170575301 </v>
      </c>
      <c r="G527" s="10" t="str">
        <f t="shared" si="20"/>
        <v>ON1</v>
      </c>
      <c r="H527" s="10" t="s">
        <v>21</v>
      </c>
      <c r="I527" s="10" t="s">
        <v>100</v>
      </c>
      <c r="J527" s="10" t="str">
        <f>""</f>
        <v/>
      </c>
      <c r="K527" s="10" t="str">
        <f>"PFES1162560428_0001"</f>
        <v>PFES1162560428_0001</v>
      </c>
      <c r="L527" s="10">
        <v>1</v>
      </c>
      <c r="M527" s="10">
        <v>1</v>
      </c>
    </row>
    <row r="528" spans="1:13">
      <c r="A528" s="8">
        <v>42921</v>
      </c>
      <c r="B528" s="9">
        <v>0.43611111111111112</v>
      </c>
      <c r="C528" s="10" t="str">
        <f>"FES1162560435"</f>
        <v>FES1162560435</v>
      </c>
      <c r="D528" s="10" t="s">
        <v>19</v>
      </c>
      <c r="E528" s="10" t="s">
        <v>27</v>
      </c>
      <c r="F528" s="10" t="str">
        <f>"217057498 "</f>
        <v xml:space="preserve">217057498 </v>
      </c>
      <c r="G528" s="10" t="str">
        <f t="shared" si="20"/>
        <v>ON1</v>
      </c>
      <c r="H528" s="10" t="s">
        <v>21</v>
      </c>
      <c r="I528" s="10" t="s">
        <v>28</v>
      </c>
      <c r="J528" s="10" t="str">
        <f>""</f>
        <v/>
      </c>
      <c r="K528" s="10" t="str">
        <f>"PFES1162560435_0001"</f>
        <v>PFES1162560435_0001</v>
      </c>
      <c r="L528" s="10">
        <v>1</v>
      </c>
      <c r="M528" s="10">
        <v>1</v>
      </c>
    </row>
    <row r="529" spans="1:13">
      <c r="A529" s="8">
        <v>42921</v>
      </c>
      <c r="B529" s="9">
        <v>0.43124999999999997</v>
      </c>
      <c r="C529" s="10" t="str">
        <f>"FES1162560426"</f>
        <v>FES1162560426</v>
      </c>
      <c r="D529" s="10" t="s">
        <v>19</v>
      </c>
      <c r="E529" s="10" t="s">
        <v>444</v>
      </c>
      <c r="F529" s="10" t="str">
        <f>"2170575299 "</f>
        <v xml:space="preserve">2170575299 </v>
      </c>
      <c r="G529" s="10" t="str">
        <f t="shared" si="20"/>
        <v>ON1</v>
      </c>
      <c r="H529" s="10" t="s">
        <v>21</v>
      </c>
      <c r="I529" s="10" t="s">
        <v>36</v>
      </c>
      <c r="J529" s="10" t="str">
        <f>""</f>
        <v/>
      </c>
      <c r="K529" s="10" t="str">
        <f>"PFES1162560426_0001"</f>
        <v>PFES1162560426_0001</v>
      </c>
      <c r="L529" s="10">
        <v>1</v>
      </c>
      <c r="M529" s="10">
        <v>1</v>
      </c>
    </row>
    <row r="530" spans="1:13">
      <c r="A530" s="8">
        <v>42921</v>
      </c>
      <c r="B530" s="9">
        <v>0.42638888888888887</v>
      </c>
      <c r="C530" s="10" t="str">
        <f>"FES1162560401"</f>
        <v>FES1162560401</v>
      </c>
      <c r="D530" s="10" t="s">
        <v>19</v>
      </c>
      <c r="E530" s="10" t="s">
        <v>445</v>
      </c>
      <c r="F530" s="10" t="str">
        <f>"2170574886 "</f>
        <v xml:space="preserve">2170574886 </v>
      </c>
      <c r="G530" s="10" t="str">
        <f t="shared" si="20"/>
        <v>ON1</v>
      </c>
      <c r="H530" s="10" t="s">
        <v>21</v>
      </c>
      <c r="I530" s="10" t="s">
        <v>106</v>
      </c>
      <c r="J530" s="10" t="str">
        <f>""</f>
        <v/>
      </c>
      <c r="K530" s="10" t="str">
        <f>"PFES1162560401_0001"</f>
        <v>PFES1162560401_0001</v>
      </c>
      <c r="L530" s="10">
        <v>1</v>
      </c>
      <c r="M530" s="10">
        <v>1</v>
      </c>
    </row>
    <row r="531" spans="1:13">
      <c r="A531" s="8">
        <v>42921</v>
      </c>
      <c r="B531" s="9">
        <v>0.42430555555555555</v>
      </c>
      <c r="C531" s="10" t="str">
        <f>"FES1162560477"</f>
        <v>FES1162560477</v>
      </c>
      <c r="D531" s="10" t="s">
        <v>19</v>
      </c>
      <c r="E531" s="10" t="s">
        <v>446</v>
      </c>
      <c r="F531" s="10" t="str">
        <f>"2170577262 "</f>
        <v xml:space="preserve">2170577262 </v>
      </c>
      <c r="G531" s="10" t="str">
        <f t="shared" si="20"/>
        <v>ON1</v>
      </c>
      <c r="H531" s="10" t="s">
        <v>21</v>
      </c>
      <c r="I531" s="10" t="s">
        <v>86</v>
      </c>
      <c r="J531" s="10" t="str">
        <f>""</f>
        <v/>
      </c>
      <c r="K531" s="10" t="str">
        <f>"PFES1162560477_0001"</f>
        <v>PFES1162560477_0001</v>
      </c>
      <c r="L531" s="10">
        <v>1</v>
      </c>
      <c r="M531" s="10">
        <v>1</v>
      </c>
    </row>
    <row r="532" spans="1:13">
      <c r="A532" s="8">
        <v>42921</v>
      </c>
      <c r="B532" s="9">
        <v>0.4236111111111111</v>
      </c>
      <c r="C532" s="10" t="str">
        <f>"FES1162560415"</f>
        <v>FES1162560415</v>
      </c>
      <c r="D532" s="10" t="s">
        <v>19</v>
      </c>
      <c r="E532" s="10" t="s">
        <v>447</v>
      </c>
      <c r="F532" s="10" t="str">
        <f>"2170575219 "</f>
        <v xml:space="preserve">2170575219 </v>
      </c>
      <c r="G532" s="10" t="str">
        <f t="shared" si="20"/>
        <v>ON1</v>
      </c>
      <c r="H532" s="10" t="s">
        <v>21</v>
      </c>
      <c r="I532" s="10" t="s">
        <v>259</v>
      </c>
      <c r="J532" s="10" t="str">
        <f>""</f>
        <v/>
      </c>
      <c r="K532" s="10" t="str">
        <f>"PFES1162560415_0001"</f>
        <v>PFES1162560415_0001</v>
      </c>
      <c r="L532" s="10">
        <v>1</v>
      </c>
      <c r="M532" s="10">
        <v>3</v>
      </c>
    </row>
    <row r="533" spans="1:13">
      <c r="A533" s="8">
        <v>42921</v>
      </c>
      <c r="B533" s="9">
        <v>0.42291666666666666</v>
      </c>
      <c r="C533" s="10" t="str">
        <f>"FES1162560466"</f>
        <v>FES1162560466</v>
      </c>
      <c r="D533" s="10" t="s">
        <v>19</v>
      </c>
      <c r="E533" s="10" t="s">
        <v>65</v>
      </c>
      <c r="F533" s="10" t="str">
        <f>"2170577247 "</f>
        <v xml:space="preserve">2170577247 </v>
      </c>
      <c r="G533" s="10" t="str">
        <f t="shared" si="20"/>
        <v>ON1</v>
      </c>
      <c r="H533" s="10" t="s">
        <v>21</v>
      </c>
      <c r="I533" s="10" t="s">
        <v>66</v>
      </c>
      <c r="J533" s="10" t="str">
        <f>""</f>
        <v/>
      </c>
      <c r="K533" s="10" t="str">
        <f>"PFES1162560466_0001"</f>
        <v>PFES1162560466_0001</v>
      </c>
      <c r="L533" s="10">
        <v>1</v>
      </c>
      <c r="M533" s="10">
        <v>1</v>
      </c>
    </row>
    <row r="534" spans="1:13">
      <c r="A534" s="8">
        <v>42921</v>
      </c>
      <c r="B534" s="9">
        <v>0.42222222222222222</v>
      </c>
      <c r="C534" s="10" t="str">
        <f>"FES1162560433"</f>
        <v>FES1162560433</v>
      </c>
      <c r="D534" s="10" t="s">
        <v>19</v>
      </c>
      <c r="E534" s="10" t="s">
        <v>448</v>
      </c>
      <c r="F534" s="10" t="str">
        <f>"2170575320 "</f>
        <v xml:space="preserve">2170575320 </v>
      </c>
      <c r="G534" s="10" t="str">
        <f t="shared" si="20"/>
        <v>ON1</v>
      </c>
      <c r="H534" s="10" t="s">
        <v>21</v>
      </c>
      <c r="I534" s="10" t="s">
        <v>449</v>
      </c>
      <c r="J534" s="10" t="str">
        <f>""</f>
        <v/>
      </c>
      <c r="K534" s="10" t="str">
        <f>"PFES1162560433_0001"</f>
        <v>PFES1162560433_0001</v>
      </c>
      <c r="L534" s="10">
        <v>1</v>
      </c>
      <c r="M534" s="10">
        <v>1</v>
      </c>
    </row>
    <row r="535" spans="1:13">
      <c r="A535" s="8">
        <v>42921</v>
      </c>
      <c r="B535" s="9">
        <v>0.42083333333333334</v>
      </c>
      <c r="C535" s="10" t="str">
        <f>"FES1162560414"</f>
        <v>FES1162560414</v>
      </c>
      <c r="D535" s="10" t="s">
        <v>19</v>
      </c>
      <c r="E535" s="10" t="s">
        <v>305</v>
      </c>
      <c r="F535" s="10" t="str">
        <f>"2170575210 "</f>
        <v xml:space="preserve">2170575210 </v>
      </c>
      <c r="G535" s="10" t="str">
        <f t="shared" si="20"/>
        <v>ON1</v>
      </c>
      <c r="H535" s="10" t="s">
        <v>21</v>
      </c>
      <c r="I535" s="10" t="s">
        <v>202</v>
      </c>
      <c r="J535" s="10" t="str">
        <f>""</f>
        <v/>
      </c>
      <c r="K535" s="10" t="str">
        <f>"PFES1162560414_0001"</f>
        <v>PFES1162560414_0001</v>
      </c>
      <c r="L535" s="10">
        <v>1</v>
      </c>
      <c r="M535" s="10">
        <v>1</v>
      </c>
    </row>
    <row r="536" spans="1:13">
      <c r="A536" s="8">
        <v>42921</v>
      </c>
      <c r="B536" s="9">
        <v>0.42083333333333334</v>
      </c>
      <c r="C536" s="10" t="str">
        <f>"FES1162560472"</f>
        <v>FES1162560472</v>
      </c>
      <c r="D536" s="10" t="s">
        <v>19</v>
      </c>
      <c r="E536" s="10" t="s">
        <v>288</v>
      </c>
      <c r="F536" s="10" t="str">
        <f>"2170577257 "</f>
        <v xml:space="preserve">2170577257 </v>
      </c>
      <c r="G536" s="10" t="str">
        <f t="shared" si="20"/>
        <v>ON1</v>
      </c>
      <c r="H536" s="10" t="s">
        <v>21</v>
      </c>
      <c r="I536" s="10" t="s">
        <v>84</v>
      </c>
      <c r="J536" s="10" t="str">
        <f>""</f>
        <v/>
      </c>
      <c r="K536" s="10" t="str">
        <f>"PFES1162560472_0001"</f>
        <v>PFES1162560472_0001</v>
      </c>
      <c r="L536" s="10">
        <v>1</v>
      </c>
      <c r="M536" s="10">
        <v>1</v>
      </c>
    </row>
    <row r="537" spans="1:13">
      <c r="A537" s="8">
        <v>42921</v>
      </c>
      <c r="B537" s="9">
        <v>0.4201388888888889</v>
      </c>
      <c r="C537" s="10" t="str">
        <f>"FES1162560480"</f>
        <v>FES1162560480</v>
      </c>
      <c r="D537" s="10" t="s">
        <v>19</v>
      </c>
      <c r="E537" s="10" t="s">
        <v>450</v>
      </c>
      <c r="F537" s="10" t="str">
        <f>"2170577265 "</f>
        <v xml:space="preserve">2170577265 </v>
      </c>
      <c r="G537" s="10" t="str">
        <f t="shared" si="20"/>
        <v>ON1</v>
      </c>
      <c r="H537" s="10" t="s">
        <v>21</v>
      </c>
      <c r="I537" s="10" t="s">
        <v>259</v>
      </c>
      <c r="J537" s="10" t="str">
        <f>""</f>
        <v/>
      </c>
      <c r="K537" s="10" t="str">
        <f>"PFES1162560480_0001"</f>
        <v>PFES1162560480_0001</v>
      </c>
      <c r="L537" s="10">
        <v>1</v>
      </c>
      <c r="M537" s="10">
        <v>1</v>
      </c>
    </row>
    <row r="538" spans="1:13">
      <c r="A538" s="8">
        <v>42921</v>
      </c>
      <c r="B538" s="9">
        <v>0.41944444444444445</v>
      </c>
      <c r="C538" s="10" t="str">
        <f>"FES1162560465"</f>
        <v>FES1162560465</v>
      </c>
      <c r="D538" s="10" t="s">
        <v>19</v>
      </c>
      <c r="E538" s="10" t="s">
        <v>65</v>
      </c>
      <c r="F538" s="10" t="str">
        <f>"2170577246 "</f>
        <v xml:space="preserve">2170577246 </v>
      </c>
      <c r="G538" s="10" t="str">
        <f t="shared" si="20"/>
        <v>ON1</v>
      </c>
      <c r="H538" s="10" t="s">
        <v>21</v>
      </c>
      <c r="I538" s="10" t="s">
        <v>66</v>
      </c>
      <c r="J538" s="10" t="str">
        <f>""</f>
        <v/>
      </c>
      <c r="K538" s="10" t="str">
        <f>"PFES1162560465_0001"</f>
        <v>PFES1162560465_0001</v>
      </c>
      <c r="L538" s="10">
        <v>1</v>
      </c>
      <c r="M538" s="10">
        <v>1</v>
      </c>
    </row>
    <row r="539" spans="1:13">
      <c r="A539" s="8">
        <v>42921</v>
      </c>
      <c r="B539" s="9">
        <v>0.41875000000000001</v>
      </c>
      <c r="C539" s="10" t="str">
        <f>"FES1162560460"</f>
        <v>FES1162560460</v>
      </c>
      <c r="D539" s="10" t="s">
        <v>19</v>
      </c>
      <c r="E539" s="10" t="s">
        <v>451</v>
      </c>
      <c r="F539" s="10" t="str">
        <f>"2170577229 "</f>
        <v xml:space="preserve">2170577229 </v>
      </c>
      <c r="G539" s="10" t="str">
        <f t="shared" si="20"/>
        <v>ON1</v>
      </c>
      <c r="H539" s="10" t="s">
        <v>21</v>
      </c>
      <c r="I539" s="10" t="s">
        <v>66</v>
      </c>
      <c r="J539" s="10" t="str">
        <f>""</f>
        <v/>
      </c>
      <c r="K539" s="10" t="str">
        <f>"PFES1162560460_0001"</f>
        <v>PFES1162560460_0001</v>
      </c>
      <c r="L539" s="10">
        <v>1</v>
      </c>
      <c r="M539" s="10">
        <v>1</v>
      </c>
    </row>
    <row r="540" spans="1:13">
      <c r="A540" s="8">
        <v>42921</v>
      </c>
      <c r="B540" s="9">
        <v>0.41875000000000001</v>
      </c>
      <c r="C540" s="10" t="str">
        <f>"FES1162560419"</f>
        <v>FES1162560419</v>
      </c>
      <c r="D540" s="10" t="s">
        <v>19</v>
      </c>
      <c r="E540" s="10" t="s">
        <v>452</v>
      </c>
      <c r="F540" s="10" t="str">
        <f>"2170575262 "</f>
        <v xml:space="preserve">2170575262 </v>
      </c>
      <c r="G540" s="10" t="str">
        <f t="shared" si="20"/>
        <v>ON1</v>
      </c>
      <c r="H540" s="10" t="s">
        <v>21</v>
      </c>
      <c r="I540" s="10" t="s">
        <v>453</v>
      </c>
      <c r="J540" s="10" t="str">
        <f>""</f>
        <v/>
      </c>
      <c r="K540" s="10" t="str">
        <f>"PFES1162560419_0001"</f>
        <v>PFES1162560419_0001</v>
      </c>
      <c r="L540" s="10">
        <v>1</v>
      </c>
      <c r="M540" s="10">
        <v>1</v>
      </c>
    </row>
    <row r="541" spans="1:13">
      <c r="A541" s="8">
        <v>42921</v>
      </c>
      <c r="B541" s="9">
        <v>0.41736111111111113</v>
      </c>
      <c r="C541" s="10" t="str">
        <f>"FES1162560481"</f>
        <v>FES1162560481</v>
      </c>
      <c r="D541" s="10" t="s">
        <v>19</v>
      </c>
      <c r="E541" s="10" t="s">
        <v>33</v>
      </c>
      <c r="F541" s="10" t="str">
        <f>"2170577267 "</f>
        <v xml:space="preserve">2170577267 </v>
      </c>
      <c r="G541" s="10" t="str">
        <f t="shared" si="20"/>
        <v>ON1</v>
      </c>
      <c r="H541" s="10" t="s">
        <v>21</v>
      </c>
      <c r="I541" s="10" t="s">
        <v>34</v>
      </c>
      <c r="J541" s="10" t="str">
        <f>""</f>
        <v/>
      </c>
      <c r="K541" s="10" t="str">
        <f>"PFES1162560481_0001"</f>
        <v>PFES1162560481_0001</v>
      </c>
      <c r="L541" s="10">
        <v>1</v>
      </c>
      <c r="M541" s="10">
        <v>1</v>
      </c>
    </row>
    <row r="542" spans="1:13">
      <c r="A542" s="8">
        <v>42921</v>
      </c>
      <c r="B542" s="9">
        <v>0.41666666666666669</v>
      </c>
      <c r="C542" s="10" t="str">
        <f>"FES1162560427"</f>
        <v>FES1162560427</v>
      </c>
      <c r="D542" s="10" t="s">
        <v>19</v>
      </c>
      <c r="E542" s="10" t="s">
        <v>454</v>
      </c>
      <c r="F542" s="10" t="str">
        <f>"2170575300 "</f>
        <v xml:space="preserve">2170575300 </v>
      </c>
      <c r="G542" s="10" t="str">
        <f t="shared" si="20"/>
        <v>ON1</v>
      </c>
      <c r="H542" s="10" t="s">
        <v>21</v>
      </c>
      <c r="I542" s="10" t="s">
        <v>455</v>
      </c>
      <c r="J542" s="10" t="str">
        <f>""</f>
        <v/>
      </c>
      <c r="K542" s="10" t="str">
        <f>"PFES1162560427_0001"</f>
        <v>PFES1162560427_0001</v>
      </c>
      <c r="L542" s="10">
        <v>1</v>
      </c>
      <c r="M542" s="10">
        <v>1</v>
      </c>
    </row>
    <row r="543" spans="1:13">
      <c r="A543" s="8">
        <v>42921</v>
      </c>
      <c r="B543" s="9">
        <v>0.41597222222222219</v>
      </c>
      <c r="C543" s="10" t="str">
        <f>"FES1162560412"</f>
        <v>FES1162560412</v>
      </c>
      <c r="D543" s="10" t="s">
        <v>19</v>
      </c>
      <c r="E543" s="10" t="s">
        <v>33</v>
      </c>
      <c r="F543" s="10" t="str">
        <f>"2170575158 "</f>
        <v xml:space="preserve">2170575158 </v>
      </c>
      <c r="G543" s="10" t="str">
        <f t="shared" si="20"/>
        <v>ON1</v>
      </c>
      <c r="H543" s="10" t="s">
        <v>21</v>
      </c>
      <c r="I543" s="10" t="s">
        <v>34</v>
      </c>
      <c r="J543" s="10" t="str">
        <f>""</f>
        <v/>
      </c>
      <c r="K543" s="10" t="str">
        <f>"PFES1162560412_0001"</f>
        <v>PFES1162560412_0001</v>
      </c>
      <c r="L543" s="10">
        <v>1</v>
      </c>
      <c r="M543" s="10">
        <v>1</v>
      </c>
    </row>
    <row r="544" spans="1:13">
      <c r="A544" s="8">
        <v>42921</v>
      </c>
      <c r="B544" s="9">
        <v>0.41180555555555554</v>
      </c>
      <c r="C544" s="10" t="str">
        <f>"FES1162560423"</f>
        <v>FES1162560423</v>
      </c>
      <c r="D544" s="10" t="s">
        <v>19</v>
      </c>
      <c r="E544" s="10" t="s">
        <v>99</v>
      </c>
      <c r="F544" s="10" t="str">
        <f>"2170575278 "</f>
        <v xml:space="preserve">2170575278 </v>
      </c>
      <c r="G544" s="10" t="str">
        <f t="shared" si="20"/>
        <v>ON1</v>
      </c>
      <c r="H544" s="10" t="s">
        <v>21</v>
      </c>
      <c r="I544" s="10" t="s">
        <v>100</v>
      </c>
      <c r="J544" s="10" t="str">
        <f>""</f>
        <v/>
      </c>
      <c r="K544" s="10" t="str">
        <f>"PFES1162560423_0001"</f>
        <v>PFES1162560423_0001</v>
      </c>
      <c r="L544" s="10">
        <v>1</v>
      </c>
      <c r="M544" s="10">
        <v>4</v>
      </c>
    </row>
    <row r="545" spans="1:13">
      <c r="A545" s="8">
        <v>42921</v>
      </c>
      <c r="B545" s="9">
        <v>0.41111111111111115</v>
      </c>
      <c r="C545" s="10" t="str">
        <f>"FES1162560410"</f>
        <v>FES1162560410</v>
      </c>
      <c r="D545" s="10" t="s">
        <v>19</v>
      </c>
      <c r="E545" s="10" t="s">
        <v>456</v>
      </c>
      <c r="F545" s="10" t="str">
        <f>"2170575152 "</f>
        <v xml:space="preserve">2170575152 </v>
      </c>
      <c r="G545" s="10" t="str">
        <f t="shared" si="20"/>
        <v>ON1</v>
      </c>
      <c r="H545" s="10" t="s">
        <v>21</v>
      </c>
      <c r="I545" s="10" t="s">
        <v>36</v>
      </c>
      <c r="J545" s="10" t="str">
        <f>""</f>
        <v/>
      </c>
      <c r="K545" s="10" t="str">
        <f>"PFES1162560410_0001"</f>
        <v>PFES1162560410_0001</v>
      </c>
      <c r="L545" s="10">
        <v>1</v>
      </c>
      <c r="M545" s="10">
        <v>3</v>
      </c>
    </row>
    <row r="546" spans="1:13">
      <c r="A546" s="8">
        <v>42921</v>
      </c>
      <c r="B546" s="9">
        <v>0.40972222222222227</v>
      </c>
      <c r="C546" s="10" t="str">
        <f>"FES1162560485"</f>
        <v>FES1162560485</v>
      </c>
      <c r="D546" s="10" t="s">
        <v>19</v>
      </c>
      <c r="E546" s="10" t="s">
        <v>457</v>
      </c>
      <c r="F546" s="10" t="str">
        <f>"2170577271 "</f>
        <v xml:space="preserve">2170577271 </v>
      </c>
      <c r="G546" s="10" t="str">
        <f>"ON2"</f>
        <v>ON2</v>
      </c>
      <c r="H546" s="10" t="s">
        <v>21</v>
      </c>
      <c r="I546" s="10" t="s">
        <v>414</v>
      </c>
      <c r="J546" s="10" t="str">
        <f>""</f>
        <v/>
      </c>
      <c r="K546" s="10" t="str">
        <f>"PFES1162560485_0001"</f>
        <v>PFES1162560485_0001</v>
      </c>
      <c r="L546" s="10">
        <v>1</v>
      </c>
      <c r="M546" s="10">
        <v>4</v>
      </c>
    </row>
    <row r="547" spans="1:13">
      <c r="A547" s="8">
        <v>42921</v>
      </c>
      <c r="B547" s="9">
        <v>0.40625</v>
      </c>
      <c r="C547" s="10" t="str">
        <f>"FES1162560483"</f>
        <v>FES1162560483</v>
      </c>
      <c r="D547" s="10" t="s">
        <v>19</v>
      </c>
      <c r="E547" s="10" t="s">
        <v>33</v>
      </c>
      <c r="F547" s="10" t="str">
        <f>"2170577269 "</f>
        <v xml:space="preserve">2170577269 </v>
      </c>
      <c r="G547" s="10" t="str">
        <f t="shared" ref="G547:G554" si="21">"ON1"</f>
        <v>ON1</v>
      </c>
      <c r="H547" s="10" t="s">
        <v>21</v>
      </c>
      <c r="I547" s="10" t="s">
        <v>34</v>
      </c>
      <c r="J547" s="10" t="str">
        <f>""</f>
        <v/>
      </c>
      <c r="K547" s="10" t="str">
        <f>"PFES1162560483_0001"</f>
        <v>PFES1162560483_0001</v>
      </c>
      <c r="L547" s="10">
        <v>1</v>
      </c>
      <c r="M547" s="10">
        <v>2</v>
      </c>
    </row>
    <row r="548" spans="1:13">
      <c r="A548" s="8">
        <v>42921</v>
      </c>
      <c r="B548" s="9">
        <v>0.40486111111111112</v>
      </c>
      <c r="C548" s="10" t="str">
        <f>"FES1162560496"</f>
        <v>FES1162560496</v>
      </c>
      <c r="D548" s="10" t="s">
        <v>19</v>
      </c>
      <c r="E548" s="10" t="s">
        <v>99</v>
      </c>
      <c r="F548" s="10" t="str">
        <f>"2170577286 "</f>
        <v xml:space="preserve">2170577286 </v>
      </c>
      <c r="G548" s="10" t="str">
        <f t="shared" si="21"/>
        <v>ON1</v>
      </c>
      <c r="H548" s="10" t="s">
        <v>21</v>
      </c>
      <c r="I548" s="10" t="s">
        <v>100</v>
      </c>
      <c r="J548" s="10" t="str">
        <f>""</f>
        <v/>
      </c>
      <c r="K548" s="10" t="str">
        <f>"PFES1162560496_0001"</f>
        <v>PFES1162560496_0001</v>
      </c>
      <c r="L548" s="10">
        <v>1</v>
      </c>
      <c r="M548" s="10">
        <v>2</v>
      </c>
    </row>
    <row r="549" spans="1:13">
      <c r="A549" s="8">
        <v>42921</v>
      </c>
      <c r="B549" s="9">
        <v>0.40277777777777773</v>
      </c>
      <c r="C549" s="10" t="str">
        <f>"FES1162560441"</f>
        <v>FES1162560441</v>
      </c>
      <c r="D549" s="10" t="s">
        <v>19</v>
      </c>
      <c r="E549" s="10" t="s">
        <v>184</v>
      </c>
      <c r="F549" s="10" t="str">
        <f>"2170576908 "</f>
        <v xml:space="preserve">2170576908 </v>
      </c>
      <c r="G549" s="10" t="str">
        <f t="shared" si="21"/>
        <v>ON1</v>
      </c>
      <c r="H549" s="10" t="s">
        <v>21</v>
      </c>
      <c r="I549" s="10" t="s">
        <v>185</v>
      </c>
      <c r="J549" s="10" t="str">
        <f>""</f>
        <v/>
      </c>
      <c r="K549" s="10" t="str">
        <f>"PFES1162560441_0001"</f>
        <v>PFES1162560441_0001</v>
      </c>
      <c r="L549" s="10">
        <v>1</v>
      </c>
      <c r="M549" s="10">
        <v>6</v>
      </c>
    </row>
    <row r="550" spans="1:13">
      <c r="A550" s="8">
        <v>42921</v>
      </c>
      <c r="B550" s="9">
        <v>0.65694444444444444</v>
      </c>
      <c r="C550" s="10" t="str">
        <f>"FES1162560652"</f>
        <v>FES1162560652</v>
      </c>
      <c r="D550" s="10" t="s">
        <v>19</v>
      </c>
      <c r="E550" s="10" t="s">
        <v>39</v>
      </c>
      <c r="F550" s="10" t="str">
        <f>"2170577471 "</f>
        <v xml:space="preserve">2170577471 </v>
      </c>
      <c r="G550" s="10" t="str">
        <f t="shared" si="21"/>
        <v>ON1</v>
      </c>
      <c r="H550" s="10" t="s">
        <v>21</v>
      </c>
      <c r="I550" s="10" t="s">
        <v>40</v>
      </c>
      <c r="J550" s="10" t="str">
        <f>""</f>
        <v/>
      </c>
      <c r="K550" s="10" t="str">
        <f>"PFES1162560652_0001"</f>
        <v>PFES1162560652_0001</v>
      </c>
      <c r="L550" s="10">
        <v>1</v>
      </c>
      <c r="M550" s="10">
        <v>3</v>
      </c>
    </row>
    <row r="551" spans="1:13">
      <c r="A551" s="8">
        <v>42921</v>
      </c>
      <c r="B551" s="9">
        <v>0.65555555555555556</v>
      </c>
      <c r="C551" s="10" t="str">
        <f>"FES1162560631"</f>
        <v>FES1162560631</v>
      </c>
      <c r="D551" s="10" t="s">
        <v>19</v>
      </c>
      <c r="E551" s="10" t="s">
        <v>299</v>
      </c>
      <c r="F551" s="10" t="str">
        <f>"2170577454 "</f>
        <v xml:space="preserve">2170577454 </v>
      </c>
      <c r="G551" s="10" t="str">
        <f t="shared" si="21"/>
        <v>ON1</v>
      </c>
      <c r="H551" s="10" t="s">
        <v>21</v>
      </c>
      <c r="I551" s="10" t="s">
        <v>183</v>
      </c>
      <c r="J551" s="10" t="str">
        <f>""</f>
        <v/>
      </c>
      <c r="K551" s="10" t="str">
        <f>"PFES1162560631_0001"</f>
        <v>PFES1162560631_0001</v>
      </c>
      <c r="L551" s="10">
        <v>2</v>
      </c>
      <c r="M551" s="10">
        <v>5</v>
      </c>
    </row>
    <row r="552" spans="1:13">
      <c r="A552" s="8">
        <v>42921</v>
      </c>
      <c r="B552" s="9">
        <v>0.65555555555555556</v>
      </c>
      <c r="C552" s="10" t="str">
        <f>"FES1162560631"</f>
        <v>FES1162560631</v>
      </c>
      <c r="D552" s="10" t="s">
        <v>19</v>
      </c>
      <c r="E552" s="10" t="s">
        <v>299</v>
      </c>
      <c r="F552" s="10" t="str">
        <f>"2170577454 "</f>
        <v xml:space="preserve">2170577454 </v>
      </c>
      <c r="G552" s="10" t="str">
        <f t="shared" si="21"/>
        <v>ON1</v>
      </c>
      <c r="H552" s="10" t="s">
        <v>21</v>
      </c>
      <c r="I552" s="10" t="s">
        <v>183</v>
      </c>
      <c r="J552" s="10"/>
      <c r="K552" s="10" t="str">
        <f>"PFES1162560631_0002"</f>
        <v>PFES1162560631_0002</v>
      </c>
      <c r="L552" s="10">
        <v>2</v>
      </c>
      <c r="M552" s="10">
        <v>5</v>
      </c>
    </row>
    <row r="553" spans="1:13">
      <c r="A553" s="8">
        <v>42921</v>
      </c>
      <c r="B553" s="9">
        <v>0.65555555555555556</v>
      </c>
      <c r="C553" s="10" t="str">
        <f>"FES1162560663"</f>
        <v>FES1162560663</v>
      </c>
      <c r="D553" s="10" t="s">
        <v>19</v>
      </c>
      <c r="E553" s="10" t="s">
        <v>63</v>
      </c>
      <c r="F553" s="10" t="str">
        <f>"2170573998 "</f>
        <v xml:space="preserve">2170573998 </v>
      </c>
      <c r="G553" s="10" t="str">
        <f t="shared" si="21"/>
        <v>ON1</v>
      </c>
      <c r="H553" s="10" t="s">
        <v>21</v>
      </c>
      <c r="I553" s="10" t="s">
        <v>64</v>
      </c>
      <c r="J553" s="10" t="str">
        <f>""</f>
        <v/>
      </c>
      <c r="K553" s="10" t="str">
        <f>"PFES1162560663_0001"</f>
        <v>PFES1162560663_0001</v>
      </c>
      <c r="L553" s="10">
        <v>1</v>
      </c>
      <c r="M553" s="10">
        <v>1</v>
      </c>
    </row>
    <row r="554" spans="1:13">
      <c r="A554" s="8">
        <v>42921</v>
      </c>
      <c r="B554" s="9">
        <v>0.65486111111111112</v>
      </c>
      <c r="C554" s="10" t="str">
        <f>"FES1162560646"</f>
        <v>FES1162560646</v>
      </c>
      <c r="D554" s="10" t="s">
        <v>19</v>
      </c>
      <c r="E554" s="10" t="s">
        <v>458</v>
      </c>
      <c r="F554" s="10" t="str">
        <f>"2170577462 "</f>
        <v xml:space="preserve">2170577462 </v>
      </c>
      <c r="G554" s="10" t="str">
        <f t="shared" si="21"/>
        <v>ON1</v>
      </c>
      <c r="H554" s="10" t="s">
        <v>21</v>
      </c>
      <c r="I554" s="10" t="s">
        <v>393</v>
      </c>
      <c r="J554" s="10" t="str">
        <f>""</f>
        <v/>
      </c>
      <c r="K554" s="10" t="str">
        <f>"PFES1162560646_0001"</f>
        <v>PFES1162560646_0001</v>
      </c>
      <c r="L554" s="10">
        <v>1</v>
      </c>
      <c r="M554" s="10">
        <v>1</v>
      </c>
    </row>
    <row r="555" spans="1:13">
      <c r="A555" s="8">
        <v>42921</v>
      </c>
      <c r="B555" s="9">
        <v>0.65486111111111112</v>
      </c>
      <c r="C555" s="10" t="str">
        <f>"FES1162560634"</f>
        <v>FES1162560634</v>
      </c>
      <c r="D555" s="10" t="s">
        <v>19</v>
      </c>
      <c r="E555" s="10" t="s">
        <v>239</v>
      </c>
      <c r="F555" s="10" t="str">
        <f>"2170577038 "</f>
        <v xml:space="preserve">2170577038 </v>
      </c>
      <c r="G555" s="10" t="str">
        <f>"DBC"</f>
        <v>DBC</v>
      </c>
      <c r="H555" s="10" t="s">
        <v>21</v>
      </c>
      <c r="I555" s="10" t="s">
        <v>240</v>
      </c>
      <c r="J555" s="10" t="str">
        <f>""</f>
        <v/>
      </c>
      <c r="K555" s="10" t="str">
        <f>"PFES1162560634_0001"</f>
        <v>PFES1162560634_0001</v>
      </c>
      <c r="L555" s="10">
        <v>1</v>
      </c>
      <c r="M555" s="10">
        <v>28</v>
      </c>
    </row>
    <row r="556" spans="1:13">
      <c r="A556" s="8">
        <v>42921</v>
      </c>
      <c r="B556" s="9">
        <v>0.65416666666666667</v>
      </c>
      <c r="C556" s="10" t="str">
        <f>"FES1162560638"</f>
        <v>FES1162560638</v>
      </c>
      <c r="D556" s="10" t="s">
        <v>19</v>
      </c>
      <c r="E556" s="10" t="s">
        <v>459</v>
      </c>
      <c r="F556" s="10" t="str">
        <f>"2170577457 "</f>
        <v xml:space="preserve">2170577457 </v>
      </c>
      <c r="G556" s="10" t="str">
        <f t="shared" ref="G556:G562" si="22">"ON1"</f>
        <v>ON1</v>
      </c>
      <c r="H556" s="10" t="s">
        <v>21</v>
      </c>
      <c r="I556" s="10" t="s">
        <v>330</v>
      </c>
      <c r="J556" s="10" t="str">
        <f>""</f>
        <v/>
      </c>
      <c r="K556" s="10" t="str">
        <f>"PFES1162560638_0001"</f>
        <v>PFES1162560638_0001</v>
      </c>
      <c r="L556" s="10">
        <v>1</v>
      </c>
      <c r="M556" s="10">
        <v>1</v>
      </c>
    </row>
    <row r="557" spans="1:13">
      <c r="A557" s="8">
        <v>42921</v>
      </c>
      <c r="B557" s="9">
        <v>0.65416666666666667</v>
      </c>
      <c r="C557" s="10" t="str">
        <f>"FES1162560639"</f>
        <v>FES1162560639</v>
      </c>
      <c r="D557" s="10" t="s">
        <v>19</v>
      </c>
      <c r="E557" s="10" t="s">
        <v>460</v>
      </c>
      <c r="F557" s="10" t="str">
        <f>"2170577458 "</f>
        <v xml:space="preserve">2170577458 </v>
      </c>
      <c r="G557" s="10" t="str">
        <f t="shared" si="22"/>
        <v>ON1</v>
      </c>
      <c r="H557" s="10" t="s">
        <v>21</v>
      </c>
      <c r="I557" s="10" t="s">
        <v>461</v>
      </c>
      <c r="J557" s="10" t="str">
        <f>""</f>
        <v/>
      </c>
      <c r="K557" s="10" t="str">
        <f>"PFES1162560639_0001"</f>
        <v>PFES1162560639_0001</v>
      </c>
      <c r="L557" s="10">
        <v>1</v>
      </c>
      <c r="M557" s="10">
        <v>1</v>
      </c>
    </row>
    <row r="558" spans="1:13">
      <c r="A558" s="8">
        <v>42921</v>
      </c>
      <c r="B558" s="9">
        <v>0.65347222222222223</v>
      </c>
      <c r="C558" s="10" t="str">
        <f>"FES1162560633"</f>
        <v>FES1162560633</v>
      </c>
      <c r="D558" s="10" t="s">
        <v>19</v>
      </c>
      <c r="E558" s="10" t="s">
        <v>178</v>
      </c>
      <c r="F558" s="10" t="str">
        <f>"21705768632 "</f>
        <v xml:space="preserve">21705768632 </v>
      </c>
      <c r="G558" s="10" t="str">
        <f t="shared" si="22"/>
        <v>ON1</v>
      </c>
      <c r="H558" s="10" t="s">
        <v>21</v>
      </c>
      <c r="I558" s="10" t="s">
        <v>179</v>
      </c>
      <c r="J558" s="10" t="str">
        <f>""</f>
        <v/>
      </c>
      <c r="K558" s="10" t="str">
        <f>"PFES1162560633_0001"</f>
        <v>PFES1162560633_0001</v>
      </c>
      <c r="L558" s="10">
        <v>1</v>
      </c>
      <c r="M558" s="10">
        <v>5</v>
      </c>
    </row>
    <row r="559" spans="1:13">
      <c r="A559" s="8">
        <v>42921</v>
      </c>
      <c r="B559" s="9">
        <v>0.65277777777777779</v>
      </c>
      <c r="C559" s="10" t="str">
        <f>"FES1162560650"</f>
        <v>FES1162560650</v>
      </c>
      <c r="D559" s="10" t="s">
        <v>19</v>
      </c>
      <c r="E559" s="10" t="s">
        <v>110</v>
      </c>
      <c r="F559" s="10" t="str">
        <f>"2170575779 "</f>
        <v xml:space="preserve">2170575779 </v>
      </c>
      <c r="G559" s="10" t="str">
        <f t="shared" si="22"/>
        <v>ON1</v>
      </c>
      <c r="H559" s="10" t="s">
        <v>21</v>
      </c>
      <c r="I559" s="10" t="s">
        <v>111</v>
      </c>
      <c r="J559" s="10" t="str">
        <f>""</f>
        <v/>
      </c>
      <c r="K559" s="10" t="str">
        <f>"PFES1162560650_0001"</f>
        <v>PFES1162560650_0001</v>
      </c>
      <c r="L559" s="10">
        <v>1</v>
      </c>
      <c r="M559" s="10">
        <v>2</v>
      </c>
    </row>
    <row r="560" spans="1:13">
      <c r="A560" s="8">
        <v>42921</v>
      </c>
      <c r="B560" s="9">
        <v>0.65277777777777779</v>
      </c>
      <c r="C560" s="10" t="str">
        <f>"FES1162560642"</f>
        <v>FES1162560642</v>
      </c>
      <c r="D560" s="10" t="s">
        <v>19</v>
      </c>
      <c r="E560" s="10" t="s">
        <v>462</v>
      </c>
      <c r="F560" s="10" t="str">
        <f>"2170576511 "</f>
        <v xml:space="preserve">2170576511 </v>
      </c>
      <c r="G560" s="10" t="str">
        <f t="shared" si="22"/>
        <v>ON1</v>
      </c>
      <c r="H560" s="10" t="s">
        <v>21</v>
      </c>
      <c r="I560" s="10" t="s">
        <v>463</v>
      </c>
      <c r="J560" s="10" t="str">
        <f>""</f>
        <v/>
      </c>
      <c r="K560" s="10" t="str">
        <f>"PFES1162560642_0001"</f>
        <v>PFES1162560642_0001</v>
      </c>
      <c r="L560" s="10">
        <v>1</v>
      </c>
      <c r="M560" s="10">
        <v>3</v>
      </c>
    </row>
    <row r="561" spans="1:13">
      <c r="A561" s="8">
        <v>42921</v>
      </c>
      <c r="B561" s="9">
        <v>0.64027777777777783</v>
      </c>
      <c r="C561" s="10" t="str">
        <f>"FES1162560637"</f>
        <v>FES1162560637</v>
      </c>
      <c r="D561" s="10" t="s">
        <v>19</v>
      </c>
      <c r="E561" s="10" t="s">
        <v>282</v>
      </c>
      <c r="F561" s="10" t="str">
        <f>"2170577233 "</f>
        <v xml:space="preserve">2170577233 </v>
      </c>
      <c r="G561" s="10" t="str">
        <f t="shared" si="22"/>
        <v>ON1</v>
      </c>
      <c r="H561" s="10" t="s">
        <v>21</v>
      </c>
      <c r="I561" s="10" t="s">
        <v>252</v>
      </c>
      <c r="J561" s="10" t="str">
        <f>""</f>
        <v/>
      </c>
      <c r="K561" s="10" t="str">
        <f>"PFES1162560637_0001"</f>
        <v>PFES1162560637_0001</v>
      </c>
      <c r="L561" s="10">
        <v>2</v>
      </c>
      <c r="M561" s="10">
        <v>14</v>
      </c>
    </row>
    <row r="562" spans="1:13">
      <c r="A562" s="8">
        <v>42921</v>
      </c>
      <c r="B562" s="9">
        <v>0.64027777777777783</v>
      </c>
      <c r="C562" s="10" t="str">
        <f>"FES1162560637"</f>
        <v>FES1162560637</v>
      </c>
      <c r="D562" s="10" t="s">
        <v>19</v>
      </c>
      <c r="E562" s="10" t="s">
        <v>282</v>
      </c>
      <c r="F562" s="10" t="str">
        <f>"2170577233 "</f>
        <v xml:space="preserve">2170577233 </v>
      </c>
      <c r="G562" s="10" t="str">
        <f t="shared" si="22"/>
        <v>ON1</v>
      </c>
      <c r="H562" s="10" t="s">
        <v>21</v>
      </c>
      <c r="I562" s="10" t="s">
        <v>252</v>
      </c>
      <c r="J562" s="10"/>
      <c r="K562" s="10" t="str">
        <f>"PFES1162560637_0002"</f>
        <v>PFES1162560637_0002</v>
      </c>
      <c r="L562" s="10">
        <v>2</v>
      </c>
      <c r="M562" s="10">
        <v>14</v>
      </c>
    </row>
    <row r="563" spans="1:13">
      <c r="A563" s="8">
        <v>42921</v>
      </c>
      <c r="B563" s="9">
        <v>0.63611111111111118</v>
      </c>
      <c r="C563" s="10" t="str">
        <f>"FES1162560649"</f>
        <v>FES1162560649</v>
      </c>
      <c r="D563" s="10" t="s">
        <v>19</v>
      </c>
      <c r="E563" s="10" t="s">
        <v>282</v>
      </c>
      <c r="F563" s="10" t="str">
        <f>"2170577468 "</f>
        <v xml:space="preserve">2170577468 </v>
      </c>
      <c r="G563" s="10" t="str">
        <f t="shared" ref="G563:G583" si="23">"ON1"</f>
        <v>ON1</v>
      </c>
      <c r="H563" s="10" t="s">
        <v>21</v>
      </c>
      <c r="I563" s="10" t="s">
        <v>252</v>
      </c>
      <c r="J563" s="10" t="str">
        <f>""</f>
        <v/>
      </c>
      <c r="K563" s="10" t="str">
        <f>"PFES1162560649_0001"</f>
        <v>PFES1162560649_0001</v>
      </c>
      <c r="L563" s="10">
        <v>1</v>
      </c>
      <c r="M563" s="10">
        <v>1</v>
      </c>
    </row>
    <row r="564" spans="1:13">
      <c r="A564" s="8">
        <v>42921</v>
      </c>
      <c r="B564" s="9">
        <v>0.63541666666666663</v>
      </c>
      <c r="C564" s="10" t="str">
        <f>"FES1162560647"</f>
        <v>FES1162560647</v>
      </c>
      <c r="D564" s="10" t="s">
        <v>19</v>
      </c>
      <c r="E564" s="10" t="s">
        <v>464</v>
      </c>
      <c r="F564" s="10" t="str">
        <f>"2170577463 "</f>
        <v xml:space="preserve">2170577463 </v>
      </c>
      <c r="G564" s="10" t="str">
        <f t="shared" si="23"/>
        <v>ON1</v>
      </c>
      <c r="H564" s="10" t="s">
        <v>21</v>
      </c>
      <c r="I564" s="10" t="s">
        <v>330</v>
      </c>
      <c r="J564" s="10" t="str">
        <f>""</f>
        <v/>
      </c>
      <c r="K564" s="10" t="str">
        <f>"PFES1162560647_0001"</f>
        <v>PFES1162560647_0001</v>
      </c>
      <c r="L564" s="10">
        <v>1</v>
      </c>
      <c r="M564" s="10">
        <v>1</v>
      </c>
    </row>
    <row r="565" spans="1:13">
      <c r="A565" s="8">
        <v>42921</v>
      </c>
      <c r="B565" s="9">
        <v>0.63472222222222219</v>
      </c>
      <c r="C565" s="10" t="str">
        <f>"FES1162560640"</f>
        <v>FES1162560640</v>
      </c>
      <c r="D565" s="10" t="s">
        <v>19</v>
      </c>
      <c r="E565" s="10" t="s">
        <v>465</v>
      </c>
      <c r="F565" s="10" t="str">
        <f>"2170577459 "</f>
        <v xml:space="preserve">2170577459 </v>
      </c>
      <c r="G565" s="10" t="str">
        <f t="shared" si="23"/>
        <v>ON1</v>
      </c>
      <c r="H565" s="10" t="s">
        <v>21</v>
      </c>
      <c r="I565" s="10" t="s">
        <v>84</v>
      </c>
      <c r="J565" s="10" t="str">
        <f>""</f>
        <v/>
      </c>
      <c r="K565" s="10" t="str">
        <f>"PFES1162560640_0001"</f>
        <v>PFES1162560640_0001</v>
      </c>
      <c r="L565" s="10">
        <v>1</v>
      </c>
      <c r="M565" s="10">
        <v>3</v>
      </c>
    </row>
    <row r="566" spans="1:13">
      <c r="A566" s="8">
        <v>42921</v>
      </c>
      <c r="B566" s="9">
        <v>0.6333333333333333</v>
      </c>
      <c r="C566" s="10" t="str">
        <f>"FES1162560636"</f>
        <v>FES1162560636</v>
      </c>
      <c r="D566" s="10" t="s">
        <v>19</v>
      </c>
      <c r="E566" s="10" t="s">
        <v>314</v>
      </c>
      <c r="F566" s="10" t="str">
        <f>"217577187 "</f>
        <v xml:space="preserve">217577187 </v>
      </c>
      <c r="G566" s="10" t="str">
        <f t="shared" si="23"/>
        <v>ON1</v>
      </c>
      <c r="H566" s="10" t="s">
        <v>21</v>
      </c>
      <c r="I566" s="10" t="s">
        <v>90</v>
      </c>
      <c r="J566" s="10" t="str">
        <f>""</f>
        <v/>
      </c>
      <c r="K566" s="10" t="str">
        <f>"PFES1162560636_0001"</f>
        <v>PFES1162560636_0001</v>
      </c>
      <c r="L566" s="10">
        <v>1</v>
      </c>
      <c r="M566" s="10">
        <v>3</v>
      </c>
    </row>
    <row r="567" spans="1:13">
      <c r="A567" s="8">
        <v>42921</v>
      </c>
      <c r="B567" s="9">
        <v>0.62708333333333333</v>
      </c>
      <c r="C567" s="10" t="str">
        <f>"FES1162560603"</f>
        <v>FES1162560603</v>
      </c>
      <c r="D567" s="10" t="s">
        <v>19</v>
      </c>
      <c r="E567" s="10" t="s">
        <v>180</v>
      </c>
      <c r="F567" s="10" t="str">
        <f>"2170577415 "</f>
        <v xml:space="preserve">2170577415 </v>
      </c>
      <c r="G567" s="10" t="str">
        <f t="shared" si="23"/>
        <v>ON1</v>
      </c>
      <c r="H567" s="10" t="s">
        <v>21</v>
      </c>
      <c r="I567" s="10" t="s">
        <v>168</v>
      </c>
      <c r="J567" s="10" t="str">
        <f>""</f>
        <v/>
      </c>
      <c r="K567" s="10" t="str">
        <f>"PFES1162560603_0001"</f>
        <v>PFES1162560603_0001</v>
      </c>
      <c r="L567" s="10">
        <v>1</v>
      </c>
      <c r="M567" s="10">
        <v>1</v>
      </c>
    </row>
    <row r="568" spans="1:13">
      <c r="A568" s="8">
        <v>42921</v>
      </c>
      <c r="B568" s="9">
        <v>0.62638888888888888</v>
      </c>
      <c r="C568" s="10" t="str">
        <f>"FES1162560567"</f>
        <v>FES1162560567</v>
      </c>
      <c r="D568" s="10" t="s">
        <v>19</v>
      </c>
      <c r="E568" s="10" t="s">
        <v>118</v>
      </c>
      <c r="F568" s="10" t="str">
        <f>"2170577354 "</f>
        <v xml:space="preserve">2170577354 </v>
      </c>
      <c r="G568" s="10" t="str">
        <f t="shared" si="23"/>
        <v>ON1</v>
      </c>
      <c r="H568" s="10" t="s">
        <v>21</v>
      </c>
      <c r="I568" s="10" t="s">
        <v>119</v>
      </c>
      <c r="J568" s="10" t="str">
        <f>""</f>
        <v/>
      </c>
      <c r="K568" s="10" t="str">
        <f>"PFES1162560567_0001"</f>
        <v>PFES1162560567_0001</v>
      </c>
      <c r="L568" s="10">
        <v>1</v>
      </c>
      <c r="M568" s="10">
        <v>3</v>
      </c>
    </row>
    <row r="569" spans="1:13">
      <c r="A569" s="8">
        <v>42921</v>
      </c>
      <c r="B569" s="9">
        <v>0.62569444444444444</v>
      </c>
      <c r="C569" s="10" t="str">
        <f>"FES1162560570"</f>
        <v>FES1162560570</v>
      </c>
      <c r="D569" s="10" t="s">
        <v>19</v>
      </c>
      <c r="E569" s="10" t="s">
        <v>466</v>
      </c>
      <c r="F569" s="10" t="str">
        <f>"2170577372 "</f>
        <v xml:space="preserve">2170577372 </v>
      </c>
      <c r="G569" s="10" t="str">
        <f t="shared" si="23"/>
        <v>ON1</v>
      </c>
      <c r="H569" s="10" t="s">
        <v>21</v>
      </c>
      <c r="I569" s="10" t="s">
        <v>467</v>
      </c>
      <c r="J569" s="10" t="str">
        <f>""</f>
        <v/>
      </c>
      <c r="K569" s="10" t="str">
        <f>"PFES1162560570_0001"</f>
        <v>PFES1162560570_0001</v>
      </c>
      <c r="L569" s="10">
        <v>1</v>
      </c>
      <c r="M569" s="10">
        <v>1</v>
      </c>
    </row>
    <row r="570" spans="1:13">
      <c r="A570" s="8">
        <v>42921</v>
      </c>
      <c r="B570" s="9">
        <v>0.62569444444444444</v>
      </c>
      <c r="C570" s="10" t="str">
        <f>"FES1162560569"</f>
        <v>FES1162560569</v>
      </c>
      <c r="D570" s="10" t="s">
        <v>19</v>
      </c>
      <c r="E570" s="10" t="s">
        <v>207</v>
      </c>
      <c r="F570" s="10" t="str">
        <f>"2170577370 "</f>
        <v xml:space="preserve">2170577370 </v>
      </c>
      <c r="G570" s="10" t="str">
        <f t="shared" si="23"/>
        <v>ON1</v>
      </c>
      <c r="H570" s="10" t="s">
        <v>21</v>
      </c>
      <c r="I570" s="10" t="s">
        <v>22</v>
      </c>
      <c r="J570" s="10" t="str">
        <f>""</f>
        <v/>
      </c>
      <c r="K570" s="10" t="str">
        <f>"PFES1162560569_0001"</f>
        <v>PFES1162560569_0001</v>
      </c>
      <c r="L570" s="10">
        <v>1</v>
      </c>
      <c r="M570" s="10">
        <v>1</v>
      </c>
    </row>
    <row r="571" spans="1:13">
      <c r="A571" s="8">
        <v>42921</v>
      </c>
      <c r="B571" s="9">
        <v>0.625</v>
      </c>
      <c r="C571" s="10" t="str">
        <f>"FES1162560626"</f>
        <v>FES1162560626</v>
      </c>
      <c r="D571" s="10" t="s">
        <v>19</v>
      </c>
      <c r="E571" s="10" t="s">
        <v>466</v>
      </c>
      <c r="F571" s="10" t="str">
        <f>"2170577449 "</f>
        <v xml:space="preserve">2170577449 </v>
      </c>
      <c r="G571" s="10" t="str">
        <f t="shared" si="23"/>
        <v>ON1</v>
      </c>
      <c r="H571" s="10" t="s">
        <v>21</v>
      </c>
      <c r="I571" s="10" t="s">
        <v>467</v>
      </c>
      <c r="J571" s="10" t="str">
        <f>""</f>
        <v/>
      </c>
      <c r="K571" s="10" t="str">
        <f>"PFES1162560626_0001"</f>
        <v>PFES1162560626_0001</v>
      </c>
      <c r="L571" s="10">
        <v>1</v>
      </c>
      <c r="M571" s="10">
        <v>1</v>
      </c>
    </row>
    <row r="572" spans="1:13">
      <c r="A572" s="8">
        <v>42921</v>
      </c>
      <c r="B572" s="9">
        <v>0.62430555555555556</v>
      </c>
      <c r="C572" s="10" t="str">
        <f>"FES1162560604"</f>
        <v>FES1162560604</v>
      </c>
      <c r="D572" s="10" t="s">
        <v>19</v>
      </c>
      <c r="E572" s="10" t="s">
        <v>186</v>
      </c>
      <c r="F572" s="10" t="str">
        <f>"2170577420 "</f>
        <v xml:space="preserve">2170577420 </v>
      </c>
      <c r="G572" s="10" t="str">
        <f t="shared" si="23"/>
        <v>ON1</v>
      </c>
      <c r="H572" s="10" t="s">
        <v>21</v>
      </c>
      <c r="I572" s="10" t="s">
        <v>187</v>
      </c>
      <c r="J572" s="10" t="str">
        <f>""</f>
        <v/>
      </c>
      <c r="K572" s="10" t="str">
        <f>"PFES1162560604_0001"</f>
        <v>PFES1162560604_0001</v>
      </c>
      <c r="L572" s="10">
        <v>1</v>
      </c>
      <c r="M572" s="10">
        <v>1</v>
      </c>
    </row>
    <row r="573" spans="1:13">
      <c r="A573" s="8">
        <v>42921</v>
      </c>
      <c r="B573" s="9">
        <v>0.62361111111111112</v>
      </c>
      <c r="C573" s="10" t="str">
        <f>"FES1162560607"</f>
        <v>FES1162560607</v>
      </c>
      <c r="D573" s="10" t="s">
        <v>19</v>
      </c>
      <c r="E573" s="10" t="s">
        <v>468</v>
      </c>
      <c r="F573" s="10" t="str">
        <f>"2170577414 "</f>
        <v xml:space="preserve">2170577414 </v>
      </c>
      <c r="G573" s="10" t="str">
        <f t="shared" si="23"/>
        <v>ON1</v>
      </c>
      <c r="H573" s="10" t="s">
        <v>21</v>
      </c>
      <c r="I573" s="10" t="s">
        <v>469</v>
      </c>
      <c r="J573" s="10" t="str">
        <f>""</f>
        <v/>
      </c>
      <c r="K573" s="10" t="str">
        <f>"PFES1162560607_0001"</f>
        <v>PFES1162560607_0001</v>
      </c>
      <c r="L573" s="10">
        <v>1</v>
      </c>
      <c r="M573" s="10">
        <v>1</v>
      </c>
    </row>
    <row r="574" spans="1:13">
      <c r="A574" s="8">
        <v>42921</v>
      </c>
      <c r="B574" s="9">
        <v>0.62291666666666667</v>
      </c>
      <c r="C574" s="10" t="str">
        <f>"FES1162560628"</f>
        <v>FES1162560628</v>
      </c>
      <c r="D574" s="10" t="s">
        <v>19</v>
      </c>
      <c r="E574" s="10" t="s">
        <v>470</v>
      </c>
      <c r="F574" s="10" t="str">
        <f>"2170577313 "</f>
        <v xml:space="preserve">2170577313 </v>
      </c>
      <c r="G574" s="10" t="str">
        <f t="shared" si="23"/>
        <v>ON1</v>
      </c>
      <c r="H574" s="10" t="s">
        <v>21</v>
      </c>
      <c r="I574" s="10" t="s">
        <v>228</v>
      </c>
      <c r="J574" s="10" t="str">
        <f>""</f>
        <v/>
      </c>
      <c r="K574" s="10" t="str">
        <f>"PFES1162560628_0001"</f>
        <v>PFES1162560628_0001</v>
      </c>
      <c r="L574" s="10">
        <v>1</v>
      </c>
      <c r="M574" s="10">
        <v>1</v>
      </c>
    </row>
    <row r="575" spans="1:13">
      <c r="A575" s="8">
        <v>42921</v>
      </c>
      <c r="B575" s="9">
        <v>0.62222222222222223</v>
      </c>
      <c r="C575" s="10" t="str">
        <f>"FES1162560593"</f>
        <v>FES1162560593</v>
      </c>
      <c r="D575" s="10" t="s">
        <v>19</v>
      </c>
      <c r="E575" s="10" t="s">
        <v>471</v>
      </c>
      <c r="F575" s="10" t="str">
        <f>"2170577399 "</f>
        <v xml:space="preserve">2170577399 </v>
      </c>
      <c r="G575" s="10" t="str">
        <f t="shared" si="23"/>
        <v>ON1</v>
      </c>
      <c r="H575" s="10" t="s">
        <v>21</v>
      </c>
      <c r="I575" s="10" t="s">
        <v>138</v>
      </c>
      <c r="J575" s="10" t="str">
        <f>""</f>
        <v/>
      </c>
      <c r="K575" s="10" t="str">
        <f>"PFES1162560593_0001"</f>
        <v>PFES1162560593_0001</v>
      </c>
      <c r="L575" s="10">
        <v>1</v>
      </c>
      <c r="M575" s="10">
        <v>1</v>
      </c>
    </row>
    <row r="576" spans="1:13">
      <c r="A576" s="8">
        <v>42921</v>
      </c>
      <c r="B576" s="9">
        <v>0.62222222222222223</v>
      </c>
      <c r="C576" s="10" t="str">
        <f>"FES1162560620"</f>
        <v>FES1162560620</v>
      </c>
      <c r="D576" s="10" t="s">
        <v>19</v>
      </c>
      <c r="E576" s="10" t="s">
        <v>376</v>
      </c>
      <c r="F576" s="10" t="str">
        <f>"2170577441 "</f>
        <v xml:space="preserve">2170577441 </v>
      </c>
      <c r="G576" s="10" t="str">
        <f t="shared" si="23"/>
        <v>ON1</v>
      </c>
      <c r="H576" s="10" t="s">
        <v>21</v>
      </c>
      <c r="I576" s="10" t="s">
        <v>377</v>
      </c>
      <c r="J576" s="10" t="str">
        <f>""</f>
        <v/>
      </c>
      <c r="K576" s="10" t="str">
        <f>"PFES1162560620_0001"</f>
        <v>PFES1162560620_0001</v>
      </c>
      <c r="L576" s="10">
        <v>1</v>
      </c>
      <c r="M576" s="10">
        <v>1</v>
      </c>
    </row>
    <row r="577" spans="1:13">
      <c r="A577" s="8">
        <v>42921</v>
      </c>
      <c r="B577" s="9">
        <v>0.62152777777777779</v>
      </c>
      <c r="C577" s="10" t="str">
        <f>"FES1162560600"</f>
        <v>FES1162560600</v>
      </c>
      <c r="D577" s="10" t="s">
        <v>19</v>
      </c>
      <c r="E577" s="10" t="s">
        <v>472</v>
      </c>
      <c r="F577" s="10" t="str">
        <f>"2170577202 "</f>
        <v xml:space="preserve">2170577202 </v>
      </c>
      <c r="G577" s="10" t="str">
        <f t="shared" si="23"/>
        <v>ON1</v>
      </c>
      <c r="H577" s="10" t="s">
        <v>21</v>
      </c>
      <c r="I577" s="10" t="s">
        <v>405</v>
      </c>
      <c r="J577" s="10" t="str">
        <f>""</f>
        <v/>
      </c>
      <c r="K577" s="10" t="str">
        <f>"PFES1162560600_0001"</f>
        <v>PFES1162560600_0001</v>
      </c>
      <c r="L577" s="10">
        <v>1</v>
      </c>
      <c r="M577" s="10">
        <v>1</v>
      </c>
    </row>
    <row r="578" spans="1:13">
      <c r="A578" s="8">
        <v>42921</v>
      </c>
      <c r="B578" s="9">
        <v>0.62083333333333335</v>
      </c>
      <c r="C578" s="10" t="str">
        <f>"FES1162560592"</f>
        <v>FES1162560592</v>
      </c>
      <c r="D578" s="10" t="s">
        <v>19</v>
      </c>
      <c r="E578" s="10" t="s">
        <v>473</v>
      </c>
      <c r="F578" s="10" t="str">
        <f>"2170577389 "</f>
        <v xml:space="preserve">2170577389 </v>
      </c>
      <c r="G578" s="10" t="str">
        <f t="shared" si="23"/>
        <v>ON1</v>
      </c>
      <c r="H578" s="10" t="s">
        <v>21</v>
      </c>
      <c r="I578" s="10" t="s">
        <v>474</v>
      </c>
      <c r="J578" s="10" t="str">
        <f>""</f>
        <v/>
      </c>
      <c r="K578" s="10" t="str">
        <f>"PFES1162560592_0001"</f>
        <v>PFES1162560592_0001</v>
      </c>
      <c r="L578" s="10">
        <v>1</v>
      </c>
      <c r="M578" s="10">
        <v>1</v>
      </c>
    </row>
    <row r="579" spans="1:13">
      <c r="A579" s="8">
        <v>42921</v>
      </c>
      <c r="B579" s="9">
        <v>0.62013888888888891</v>
      </c>
      <c r="C579" s="10" t="str">
        <f>"FES1162560609"</f>
        <v>FES1162560609</v>
      </c>
      <c r="D579" s="10" t="s">
        <v>19</v>
      </c>
      <c r="E579" s="10" t="s">
        <v>475</v>
      </c>
      <c r="F579" s="10" t="str">
        <f>"2170577424 "</f>
        <v xml:space="preserve">2170577424 </v>
      </c>
      <c r="G579" s="10" t="str">
        <f t="shared" si="23"/>
        <v>ON1</v>
      </c>
      <c r="H579" s="10" t="s">
        <v>21</v>
      </c>
      <c r="I579" s="10" t="s">
        <v>476</v>
      </c>
      <c r="J579" s="10" t="str">
        <f>""</f>
        <v/>
      </c>
      <c r="K579" s="10" t="str">
        <f>"PFES1162560609_0001"</f>
        <v>PFES1162560609_0001</v>
      </c>
      <c r="L579" s="10">
        <v>1</v>
      </c>
      <c r="M579" s="10">
        <v>1</v>
      </c>
    </row>
    <row r="580" spans="1:13">
      <c r="A580" s="8">
        <v>42921</v>
      </c>
      <c r="B580" s="9">
        <v>0.61736111111111114</v>
      </c>
      <c r="C580" s="10" t="str">
        <f>"FES1162560612"</f>
        <v>FES1162560612</v>
      </c>
      <c r="D580" s="10" t="s">
        <v>19</v>
      </c>
      <c r="E580" s="10" t="s">
        <v>442</v>
      </c>
      <c r="F580" s="10" t="str">
        <f>"2170577428 "</f>
        <v xml:space="preserve">2170577428 </v>
      </c>
      <c r="G580" s="10" t="str">
        <f t="shared" si="23"/>
        <v>ON1</v>
      </c>
      <c r="H580" s="10" t="s">
        <v>21</v>
      </c>
      <c r="I580" s="10" t="s">
        <v>443</v>
      </c>
      <c r="J580" s="10" t="str">
        <f>""</f>
        <v/>
      </c>
      <c r="K580" s="10" t="str">
        <f>"PFES1162560612_0001"</f>
        <v>PFES1162560612_0001</v>
      </c>
      <c r="L580" s="10">
        <v>1</v>
      </c>
      <c r="M580" s="10">
        <v>1</v>
      </c>
    </row>
    <row r="581" spans="1:13">
      <c r="A581" s="8">
        <v>42921</v>
      </c>
      <c r="B581" s="9">
        <v>0.61597222222222225</v>
      </c>
      <c r="C581" s="10" t="str">
        <f>"FES1162560598"</f>
        <v>FES1162560598</v>
      </c>
      <c r="D581" s="10" t="s">
        <v>19</v>
      </c>
      <c r="E581" s="10" t="s">
        <v>71</v>
      </c>
      <c r="F581" s="10" t="str">
        <f>"2170576918 "</f>
        <v xml:space="preserve">2170576918 </v>
      </c>
      <c r="G581" s="10" t="str">
        <f t="shared" si="23"/>
        <v>ON1</v>
      </c>
      <c r="H581" s="10" t="s">
        <v>21</v>
      </c>
      <c r="I581" s="10" t="s">
        <v>26</v>
      </c>
      <c r="J581" s="10" t="str">
        <f>""</f>
        <v/>
      </c>
      <c r="K581" s="10" t="str">
        <f>"PFES1162560598_0001"</f>
        <v>PFES1162560598_0001</v>
      </c>
      <c r="L581" s="10">
        <v>1</v>
      </c>
      <c r="M581" s="10">
        <v>1</v>
      </c>
    </row>
    <row r="582" spans="1:13">
      <c r="A582" s="8">
        <v>42921</v>
      </c>
      <c r="B582" s="9">
        <v>0.61388888888888882</v>
      </c>
      <c r="C582" s="10" t="str">
        <f>"FES1162560618"</f>
        <v>FES1162560618</v>
      </c>
      <c r="D582" s="10" t="s">
        <v>19</v>
      </c>
      <c r="E582" s="10" t="s">
        <v>108</v>
      </c>
      <c r="F582" s="10" t="str">
        <f>"2170577434 "</f>
        <v xml:space="preserve">2170577434 </v>
      </c>
      <c r="G582" s="10" t="str">
        <f t="shared" si="23"/>
        <v>ON1</v>
      </c>
      <c r="H582" s="10" t="s">
        <v>21</v>
      </c>
      <c r="I582" s="10" t="s">
        <v>109</v>
      </c>
      <c r="J582" s="10" t="str">
        <f>""</f>
        <v/>
      </c>
      <c r="K582" s="10" t="str">
        <f>"PFES1162560618_0001"</f>
        <v>PFES1162560618_0001</v>
      </c>
      <c r="L582" s="10">
        <v>1</v>
      </c>
      <c r="M582" s="10">
        <v>1</v>
      </c>
    </row>
    <row r="583" spans="1:13">
      <c r="A583" s="8">
        <v>42921</v>
      </c>
      <c r="B583" s="9">
        <v>0.61249999999999993</v>
      </c>
      <c r="C583" s="10" t="str">
        <f>"FES1162560599"</f>
        <v>FES1162560599</v>
      </c>
      <c r="D583" s="10" t="s">
        <v>19</v>
      </c>
      <c r="E583" s="10" t="s">
        <v>33</v>
      </c>
      <c r="F583" s="10" t="str">
        <f>"2170576998 "</f>
        <v xml:space="preserve">2170576998 </v>
      </c>
      <c r="G583" s="10" t="str">
        <f t="shared" si="23"/>
        <v>ON1</v>
      </c>
      <c r="H583" s="10" t="s">
        <v>21</v>
      </c>
      <c r="I583" s="10" t="s">
        <v>34</v>
      </c>
      <c r="J583" s="10" t="str">
        <f>""</f>
        <v/>
      </c>
      <c r="K583" s="10" t="str">
        <f>"PFES1162560599_0001"</f>
        <v>PFES1162560599_0001</v>
      </c>
      <c r="L583" s="10">
        <v>1</v>
      </c>
      <c r="M583" s="10">
        <v>4</v>
      </c>
    </row>
    <row r="584" spans="1:13">
      <c r="A584" s="8">
        <v>42922</v>
      </c>
      <c r="B584" s="9">
        <v>0.60277777777777775</v>
      </c>
      <c r="C584" s="10" t="str">
        <f>"FES1162560808"</f>
        <v>FES1162560808</v>
      </c>
      <c r="D584" s="10" t="s">
        <v>19</v>
      </c>
      <c r="E584" s="10" t="s">
        <v>361</v>
      </c>
      <c r="F584" s="10" t="str">
        <f>"2170577590 "</f>
        <v xml:space="preserve">2170577590 </v>
      </c>
      <c r="G584" s="10" t="str">
        <f>"DBC"</f>
        <v>DBC</v>
      </c>
      <c r="H584" s="10" t="s">
        <v>21</v>
      </c>
      <c r="I584" s="10" t="s">
        <v>106</v>
      </c>
      <c r="J584" s="10" t="str">
        <f>""</f>
        <v/>
      </c>
      <c r="K584" s="10" t="str">
        <f>"PFES1162560808_0001"</f>
        <v>PFES1162560808_0001</v>
      </c>
      <c r="L584" s="10">
        <v>1</v>
      </c>
      <c r="M584" s="10">
        <v>19</v>
      </c>
    </row>
    <row r="585" spans="1:13">
      <c r="A585" s="8">
        <v>42922</v>
      </c>
      <c r="B585" s="9">
        <v>0.6020833333333333</v>
      </c>
      <c r="C585" s="10" t="str">
        <f>"FES1162560930"</f>
        <v>FES1162560930</v>
      </c>
      <c r="D585" s="10" t="s">
        <v>19</v>
      </c>
      <c r="E585" s="10" t="s">
        <v>255</v>
      </c>
      <c r="F585" s="10" t="str">
        <f>"2170577719 "</f>
        <v xml:space="preserve">2170577719 </v>
      </c>
      <c r="G585" s="10" t="str">
        <f>"ON1"</f>
        <v>ON1</v>
      </c>
      <c r="H585" s="10" t="s">
        <v>21</v>
      </c>
      <c r="I585" s="10" t="s">
        <v>256</v>
      </c>
      <c r="J585" s="10" t="str">
        <f>""</f>
        <v/>
      </c>
      <c r="K585" s="10" t="str">
        <f>"PFES1162560930_0001"</f>
        <v>PFES1162560930_0001</v>
      </c>
      <c r="L585" s="10">
        <v>1</v>
      </c>
      <c r="M585" s="10">
        <v>9</v>
      </c>
    </row>
    <row r="586" spans="1:13">
      <c r="A586" s="8">
        <v>42922</v>
      </c>
      <c r="B586" s="9">
        <v>0.60138888888888886</v>
      </c>
      <c r="C586" s="10" t="str">
        <f>"FES1162560934"</f>
        <v>FES1162560934</v>
      </c>
      <c r="D586" s="10" t="s">
        <v>19</v>
      </c>
      <c r="E586" s="10" t="s">
        <v>415</v>
      </c>
      <c r="F586" s="10" t="str">
        <f>"2170577722 "</f>
        <v xml:space="preserve">2170577722 </v>
      </c>
      <c r="G586" s="10" t="str">
        <f>"ON2"</f>
        <v>ON2</v>
      </c>
      <c r="H586" s="10" t="s">
        <v>21</v>
      </c>
      <c r="I586" s="10" t="s">
        <v>92</v>
      </c>
      <c r="J586" s="10" t="str">
        <f>""</f>
        <v/>
      </c>
      <c r="K586" s="10" t="str">
        <f>"PFES1162560934_0001"</f>
        <v>PFES1162560934_0001</v>
      </c>
      <c r="L586" s="10">
        <v>1</v>
      </c>
      <c r="M586" s="10">
        <v>15</v>
      </c>
    </row>
    <row r="587" spans="1:13">
      <c r="A587" s="8">
        <v>42922</v>
      </c>
      <c r="B587" s="9">
        <v>0.60138888888888886</v>
      </c>
      <c r="C587" s="10" t="str">
        <f>"FES1162560916"</f>
        <v>FES1162560916</v>
      </c>
      <c r="D587" s="10" t="s">
        <v>19</v>
      </c>
      <c r="E587" s="10" t="s">
        <v>62</v>
      </c>
      <c r="F587" s="10" t="str">
        <f>"2170577702 "</f>
        <v xml:space="preserve">2170577702 </v>
      </c>
      <c r="G587" s="10" t="str">
        <f t="shared" ref="G587:G615" si="24">"ON1"</f>
        <v>ON1</v>
      </c>
      <c r="H587" s="10" t="s">
        <v>21</v>
      </c>
      <c r="I587" s="10" t="s">
        <v>40</v>
      </c>
      <c r="J587" s="10" t="str">
        <f>""</f>
        <v/>
      </c>
      <c r="K587" s="10" t="str">
        <f>"PFES1162560916_0001"</f>
        <v>PFES1162560916_0001</v>
      </c>
      <c r="L587" s="10">
        <v>1</v>
      </c>
      <c r="M587" s="10">
        <v>3</v>
      </c>
    </row>
    <row r="588" spans="1:13">
      <c r="A588" s="8">
        <v>42922</v>
      </c>
      <c r="B588" s="9">
        <v>0.60069444444444442</v>
      </c>
      <c r="C588" s="10" t="str">
        <f>"FES1162560929"</f>
        <v>FES1162560929</v>
      </c>
      <c r="D588" s="10" t="s">
        <v>19</v>
      </c>
      <c r="E588" s="10" t="s">
        <v>477</v>
      </c>
      <c r="F588" s="10" t="str">
        <f>"21705777128 "</f>
        <v xml:space="preserve">21705777128 </v>
      </c>
      <c r="G588" s="10" t="str">
        <f t="shared" si="24"/>
        <v>ON1</v>
      </c>
      <c r="H588" s="10" t="s">
        <v>21</v>
      </c>
      <c r="I588" s="10" t="s">
        <v>138</v>
      </c>
      <c r="J588" s="10" t="str">
        <f>""</f>
        <v/>
      </c>
      <c r="K588" s="10" t="str">
        <f>"PFES1162560929_0001"</f>
        <v>PFES1162560929_0001</v>
      </c>
      <c r="L588" s="10">
        <v>1</v>
      </c>
      <c r="M588" s="10">
        <v>2</v>
      </c>
    </row>
    <row r="589" spans="1:13">
      <c r="A589" s="8">
        <v>42922</v>
      </c>
      <c r="B589" s="9">
        <v>0.6</v>
      </c>
      <c r="C589" s="10" t="str">
        <f>"FES1162560883"</f>
        <v>FES1162560883</v>
      </c>
      <c r="D589" s="10" t="s">
        <v>19</v>
      </c>
      <c r="E589" s="10" t="s">
        <v>478</v>
      </c>
      <c r="F589" s="10" t="str">
        <f>"2170576911 "</f>
        <v xml:space="preserve">2170576911 </v>
      </c>
      <c r="G589" s="10" t="str">
        <f t="shared" si="24"/>
        <v>ON1</v>
      </c>
      <c r="H589" s="10" t="s">
        <v>21</v>
      </c>
      <c r="I589" s="10" t="s">
        <v>234</v>
      </c>
      <c r="J589" s="10" t="str">
        <f>""</f>
        <v/>
      </c>
      <c r="K589" s="10" t="str">
        <f>"PFES1162560883_0001"</f>
        <v>PFES1162560883_0001</v>
      </c>
      <c r="L589" s="10">
        <v>1</v>
      </c>
      <c r="M589" s="10">
        <v>6</v>
      </c>
    </row>
    <row r="590" spans="1:13">
      <c r="A590" s="8">
        <v>42922</v>
      </c>
      <c r="B590" s="9">
        <v>0.59305555555555556</v>
      </c>
      <c r="C590" s="10" t="str">
        <f>"FES1162560879"</f>
        <v>FES1162560879</v>
      </c>
      <c r="D590" s="10" t="s">
        <v>19</v>
      </c>
      <c r="E590" s="10" t="s">
        <v>146</v>
      </c>
      <c r="F590" s="10" t="str">
        <f>"2170577653 "</f>
        <v xml:space="preserve">2170577653 </v>
      </c>
      <c r="G590" s="10" t="str">
        <f t="shared" si="24"/>
        <v>ON1</v>
      </c>
      <c r="H590" s="10" t="s">
        <v>21</v>
      </c>
      <c r="I590" s="10" t="s">
        <v>147</v>
      </c>
      <c r="J590" s="10" t="str">
        <f>""</f>
        <v/>
      </c>
      <c r="K590" s="10" t="str">
        <f>"PFES1162560879_0001"</f>
        <v>PFES1162560879_0001</v>
      </c>
      <c r="L590" s="10">
        <v>1</v>
      </c>
      <c r="M590" s="10">
        <v>2</v>
      </c>
    </row>
    <row r="591" spans="1:13">
      <c r="A591" s="8">
        <v>42922</v>
      </c>
      <c r="B591" s="9">
        <v>0.59236111111111112</v>
      </c>
      <c r="C591" s="10" t="str">
        <f>"FES1162560926"</f>
        <v>FES1162560926</v>
      </c>
      <c r="D591" s="10" t="s">
        <v>19</v>
      </c>
      <c r="E591" s="10" t="s">
        <v>33</v>
      </c>
      <c r="F591" s="10" t="str">
        <f>"2170577712 "</f>
        <v xml:space="preserve">2170577712 </v>
      </c>
      <c r="G591" s="10" t="str">
        <f t="shared" si="24"/>
        <v>ON1</v>
      </c>
      <c r="H591" s="10" t="s">
        <v>21</v>
      </c>
      <c r="I591" s="10" t="s">
        <v>34</v>
      </c>
      <c r="J591" s="10" t="str">
        <f>""</f>
        <v/>
      </c>
      <c r="K591" s="10" t="str">
        <f>"PFES1162560926_0001"</f>
        <v>PFES1162560926_0001</v>
      </c>
      <c r="L591" s="10">
        <v>1</v>
      </c>
      <c r="M591" s="10">
        <v>1</v>
      </c>
    </row>
    <row r="592" spans="1:13">
      <c r="A592" s="8">
        <v>42922</v>
      </c>
      <c r="B592" s="9">
        <v>0.59166666666666667</v>
      </c>
      <c r="C592" s="10" t="str">
        <f>"FES1162560931"</f>
        <v>FES1162560931</v>
      </c>
      <c r="D592" s="10" t="s">
        <v>19</v>
      </c>
      <c r="E592" s="10" t="s">
        <v>479</v>
      </c>
      <c r="F592" s="10" t="str">
        <f>"2170571327 "</f>
        <v xml:space="preserve">2170571327 </v>
      </c>
      <c r="G592" s="10" t="str">
        <f t="shared" si="24"/>
        <v>ON1</v>
      </c>
      <c r="H592" s="10" t="s">
        <v>21</v>
      </c>
      <c r="I592" s="10" t="s">
        <v>480</v>
      </c>
      <c r="J592" s="10" t="str">
        <f>""</f>
        <v/>
      </c>
      <c r="K592" s="10" t="str">
        <f>"PFES1162560931_0001"</f>
        <v>PFES1162560931_0001</v>
      </c>
      <c r="L592" s="10">
        <v>1</v>
      </c>
      <c r="M592" s="10">
        <v>1</v>
      </c>
    </row>
    <row r="593" spans="1:13">
      <c r="A593" s="8">
        <v>42922</v>
      </c>
      <c r="B593" s="9">
        <v>0.59097222222222223</v>
      </c>
      <c r="C593" s="10" t="str">
        <f>"FES1162560873"</f>
        <v>FES1162560873</v>
      </c>
      <c r="D593" s="10" t="s">
        <v>19</v>
      </c>
      <c r="E593" s="10" t="s">
        <v>146</v>
      </c>
      <c r="F593" s="10" t="str">
        <f>"2170577650 "</f>
        <v xml:space="preserve">2170577650 </v>
      </c>
      <c r="G593" s="10" t="str">
        <f t="shared" si="24"/>
        <v>ON1</v>
      </c>
      <c r="H593" s="10" t="s">
        <v>21</v>
      </c>
      <c r="I593" s="10" t="s">
        <v>147</v>
      </c>
      <c r="J593" s="10" t="str">
        <f>""</f>
        <v/>
      </c>
      <c r="K593" s="10" t="str">
        <f>"PFES1162560873_0001"</f>
        <v>PFES1162560873_0001</v>
      </c>
      <c r="L593" s="10">
        <v>1</v>
      </c>
      <c r="M593" s="10">
        <v>1</v>
      </c>
    </row>
    <row r="594" spans="1:13">
      <c r="A594" s="8">
        <v>42922</v>
      </c>
      <c r="B594" s="9">
        <v>0.59027777777777779</v>
      </c>
      <c r="C594" s="10" t="str">
        <f>"FES11625600933"</f>
        <v>FES11625600933</v>
      </c>
      <c r="D594" s="10" t="s">
        <v>19</v>
      </c>
      <c r="E594" s="10" t="s">
        <v>295</v>
      </c>
      <c r="F594" s="10" t="str">
        <f>"2170577519 "</f>
        <v xml:space="preserve">2170577519 </v>
      </c>
      <c r="G594" s="10" t="str">
        <f t="shared" si="24"/>
        <v>ON1</v>
      </c>
      <c r="H594" s="10" t="s">
        <v>21</v>
      </c>
      <c r="I594" s="10" t="s">
        <v>179</v>
      </c>
      <c r="J594" s="10" t="str">
        <f>""</f>
        <v/>
      </c>
      <c r="K594" s="10" t="str">
        <f>"PFES11625600933_0001"</f>
        <v>PFES11625600933_0001</v>
      </c>
      <c r="L594" s="10">
        <v>1</v>
      </c>
      <c r="M594" s="10">
        <v>1</v>
      </c>
    </row>
    <row r="595" spans="1:13">
      <c r="A595" s="8">
        <v>42922</v>
      </c>
      <c r="B595" s="9">
        <v>0.58958333333333335</v>
      </c>
      <c r="C595" s="10" t="str">
        <f>"FES1162560880"</f>
        <v>FES1162560880</v>
      </c>
      <c r="D595" s="10" t="s">
        <v>19</v>
      </c>
      <c r="E595" s="10" t="s">
        <v>420</v>
      </c>
      <c r="F595" s="10" t="str">
        <f>"2170577656 "</f>
        <v xml:space="preserve">2170577656 </v>
      </c>
      <c r="G595" s="10" t="str">
        <f t="shared" si="24"/>
        <v>ON1</v>
      </c>
      <c r="H595" s="10" t="s">
        <v>21</v>
      </c>
      <c r="I595" s="10" t="s">
        <v>56</v>
      </c>
      <c r="J595" s="10" t="str">
        <f>""</f>
        <v/>
      </c>
      <c r="K595" s="10" t="str">
        <f>"PFES1162560880_0001"</f>
        <v>PFES1162560880_0001</v>
      </c>
      <c r="L595" s="10">
        <v>1</v>
      </c>
      <c r="M595" s="10">
        <v>1</v>
      </c>
    </row>
    <row r="596" spans="1:13">
      <c r="A596" s="8">
        <v>42922</v>
      </c>
      <c r="B596" s="9">
        <v>0.58958333333333335</v>
      </c>
      <c r="C596" s="10" t="str">
        <f>"FES1162560904"</f>
        <v>FES1162560904</v>
      </c>
      <c r="D596" s="10" t="s">
        <v>19</v>
      </c>
      <c r="E596" s="10" t="s">
        <v>481</v>
      </c>
      <c r="F596" s="10" t="str">
        <f>"21705777687 "</f>
        <v xml:space="preserve">21705777687 </v>
      </c>
      <c r="G596" s="10" t="str">
        <f t="shared" si="24"/>
        <v>ON1</v>
      </c>
      <c r="H596" s="10" t="s">
        <v>21</v>
      </c>
      <c r="I596" s="10" t="s">
        <v>24</v>
      </c>
      <c r="J596" s="10" t="str">
        <f>""</f>
        <v/>
      </c>
      <c r="K596" s="10" t="str">
        <f>"PFES1162560904_0001"</f>
        <v>PFES1162560904_0001</v>
      </c>
      <c r="L596" s="10">
        <v>1</v>
      </c>
      <c r="M596" s="10">
        <v>1</v>
      </c>
    </row>
    <row r="597" spans="1:13">
      <c r="A597" s="8">
        <v>42922</v>
      </c>
      <c r="B597" s="9">
        <v>0.58888888888888891</v>
      </c>
      <c r="C597" s="10" t="str">
        <f>"FES1162560802"</f>
        <v>FES1162560802</v>
      </c>
      <c r="D597" s="10" t="s">
        <v>19</v>
      </c>
      <c r="E597" s="10" t="s">
        <v>295</v>
      </c>
      <c r="F597" s="10" t="str">
        <f>"2170577579 "</f>
        <v xml:space="preserve">2170577579 </v>
      </c>
      <c r="G597" s="10" t="str">
        <f t="shared" si="24"/>
        <v>ON1</v>
      </c>
      <c r="H597" s="10" t="s">
        <v>21</v>
      </c>
      <c r="I597" s="10" t="s">
        <v>179</v>
      </c>
      <c r="J597" s="10" t="str">
        <f>""</f>
        <v/>
      </c>
      <c r="K597" s="10" t="str">
        <f>"PFES1162560802_0001"</f>
        <v>PFES1162560802_0001</v>
      </c>
      <c r="L597" s="10">
        <v>1</v>
      </c>
      <c r="M597" s="10">
        <v>1</v>
      </c>
    </row>
    <row r="598" spans="1:13">
      <c r="A598" s="8">
        <v>42922</v>
      </c>
      <c r="B598" s="9">
        <v>0.58888888888888891</v>
      </c>
      <c r="C598" s="10" t="str">
        <f>"FES1162560799"</f>
        <v>FES1162560799</v>
      </c>
      <c r="D598" s="10" t="s">
        <v>19</v>
      </c>
      <c r="E598" s="10" t="s">
        <v>482</v>
      </c>
      <c r="F598" s="10" t="str">
        <f>"21705777574 "</f>
        <v xml:space="preserve">21705777574 </v>
      </c>
      <c r="G598" s="10" t="str">
        <f t="shared" si="24"/>
        <v>ON1</v>
      </c>
      <c r="H598" s="10" t="s">
        <v>21</v>
      </c>
      <c r="I598" s="10" t="s">
        <v>330</v>
      </c>
      <c r="J598" s="10" t="str">
        <f>""</f>
        <v/>
      </c>
      <c r="K598" s="10" t="str">
        <f>"PFES1162560799_0001"</f>
        <v>PFES1162560799_0001</v>
      </c>
      <c r="L598" s="10">
        <v>1</v>
      </c>
      <c r="M598" s="10">
        <v>1</v>
      </c>
    </row>
    <row r="599" spans="1:13">
      <c r="A599" s="8">
        <v>42922</v>
      </c>
      <c r="B599" s="9">
        <v>0.58888888888888891</v>
      </c>
      <c r="C599" s="10" t="str">
        <f>"FES1162560890"</f>
        <v>FES1162560890</v>
      </c>
      <c r="D599" s="10" t="s">
        <v>19</v>
      </c>
      <c r="E599" s="10" t="s">
        <v>483</v>
      </c>
      <c r="F599" s="10" t="str">
        <f>"2170577667 "</f>
        <v xml:space="preserve">2170577667 </v>
      </c>
      <c r="G599" s="10" t="str">
        <f t="shared" si="24"/>
        <v>ON1</v>
      </c>
      <c r="H599" s="10" t="s">
        <v>21</v>
      </c>
      <c r="I599" s="10" t="s">
        <v>484</v>
      </c>
      <c r="J599" s="10" t="str">
        <f>""</f>
        <v/>
      </c>
      <c r="K599" s="10" t="str">
        <f>"PFES1162560890_0001"</f>
        <v>PFES1162560890_0001</v>
      </c>
      <c r="L599" s="10">
        <v>1</v>
      </c>
      <c r="M599" s="10">
        <v>5</v>
      </c>
    </row>
    <row r="600" spans="1:13">
      <c r="A600" s="8">
        <v>42922</v>
      </c>
      <c r="B600" s="9">
        <v>0.58819444444444446</v>
      </c>
      <c r="C600" s="10" t="str">
        <f>"FES1162560907"</f>
        <v>FES1162560907</v>
      </c>
      <c r="D600" s="10" t="s">
        <v>19</v>
      </c>
      <c r="E600" s="10" t="s">
        <v>33</v>
      </c>
      <c r="F600" s="10" t="str">
        <f>"2170577693 "</f>
        <v xml:space="preserve">2170577693 </v>
      </c>
      <c r="G600" s="10" t="str">
        <f t="shared" si="24"/>
        <v>ON1</v>
      </c>
      <c r="H600" s="10" t="s">
        <v>21</v>
      </c>
      <c r="I600" s="10" t="s">
        <v>34</v>
      </c>
      <c r="J600" s="10" t="str">
        <f>""</f>
        <v/>
      </c>
      <c r="K600" s="10" t="str">
        <f>"PFES1162560907_0001"</f>
        <v>PFES1162560907_0001</v>
      </c>
      <c r="L600" s="10">
        <v>1</v>
      </c>
      <c r="M600" s="10">
        <v>4</v>
      </c>
    </row>
    <row r="601" spans="1:13">
      <c r="A601" s="8">
        <v>42922</v>
      </c>
      <c r="B601" s="9">
        <v>0.58819444444444446</v>
      </c>
      <c r="C601" s="10" t="str">
        <f>"FES1162560831"</f>
        <v>FES1162560831</v>
      </c>
      <c r="D601" s="10" t="s">
        <v>19</v>
      </c>
      <c r="E601" s="10" t="s">
        <v>326</v>
      </c>
      <c r="F601" s="10" t="str">
        <f>"2170577605 "</f>
        <v xml:space="preserve">2170577605 </v>
      </c>
      <c r="G601" s="10" t="str">
        <f t="shared" si="24"/>
        <v>ON1</v>
      </c>
      <c r="H601" s="10" t="s">
        <v>21</v>
      </c>
      <c r="I601" s="10" t="s">
        <v>327</v>
      </c>
      <c r="J601" s="10" t="str">
        <f>""</f>
        <v/>
      </c>
      <c r="K601" s="10" t="str">
        <f>"PFES1162560831_0001"</f>
        <v>PFES1162560831_0001</v>
      </c>
      <c r="L601" s="10">
        <v>1</v>
      </c>
      <c r="M601" s="10">
        <v>1</v>
      </c>
    </row>
    <row r="602" spans="1:13">
      <c r="A602" s="8">
        <v>42922</v>
      </c>
      <c r="B602" s="9">
        <v>0.58750000000000002</v>
      </c>
      <c r="C602" s="10" t="str">
        <f>"009935791522"</f>
        <v>009935791522</v>
      </c>
      <c r="D602" s="10" t="s">
        <v>19</v>
      </c>
      <c r="E602" s="10" t="s">
        <v>485</v>
      </c>
      <c r="F602" s="10" t="str">
        <f>"1162560919 "</f>
        <v xml:space="preserve">1162560919 </v>
      </c>
      <c r="G602" s="10" t="str">
        <f t="shared" si="24"/>
        <v>ON1</v>
      </c>
      <c r="H602" s="10" t="s">
        <v>21</v>
      </c>
      <c r="I602" s="10" t="s">
        <v>90</v>
      </c>
      <c r="J602" s="10" t="str">
        <f>""</f>
        <v/>
      </c>
      <c r="K602" s="10" t="str">
        <f>"P009935791522_0001"</f>
        <v>P009935791522_0001</v>
      </c>
      <c r="L602" s="10">
        <v>1</v>
      </c>
      <c r="M602" s="10">
        <v>3</v>
      </c>
    </row>
    <row r="603" spans="1:13">
      <c r="A603" s="8">
        <v>42922</v>
      </c>
      <c r="B603" s="9">
        <v>0.58680555555555558</v>
      </c>
      <c r="C603" s="10" t="str">
        <f>"FES1162560836"</f>
        <v>FES1162560836</v>
      </c>
      <c r="D603" s="10" t="s">
        <v>19</v>
      </c>
      <c r="E603" s="10" t="s">
        <v>326</v>
      </c>
      <c r="F603" s="10" t="str">
        <f>"2170577610 "</f>
        <v xml:space="preserve">2170577610 </v>
      </c>
      <c r="G603" s="10" t="str">
        <f t="shared" si="24"/>
        <v>ON1</v>
      </c>
      <c r="H603" s="10" t="s">
        <v>21</v>
      </c>
      <c r="I603" s="10" t="s">
        <v>327</v>
      </c>
      <c r="J603" s="10" t="str">
        <f>""</f>
        <v/>
      </c>
      <c r="K603" s="10" t="str">
        <f>"PFES1162560836_0001"</f>
        <v>PFES1162560836_0001</v>
      </c>
      <c r="L603" s="10">
        <v>1</v>
      </c>
      <c r="M603" s="10">
        <v>2</v>
      </c>
    </row>
    <row r="604" spans="1:13">
      <c r="A604" s="8">
        <v>42922</v>
      </c>
      <c r="B604" s="9">
        <v>0.5854166666666667</v>
      </c>
      <c r="C604" s="10" t="str">
        <f>"FES1162560806"</f>
        <v>FES1162560806</v>
      </c>
      <c r="D604" s="10" t="s">
        <v>19</v>
      </c>
      <c r="E604" s="10" t="s">
        <v>326</v>
      </c>
      <c r="F604" s="10" t="str">
        <f>"2170577369 "</f>
        <v xml:space="preserve">2170577369 </v>
      </c>
      <c r="G604" s="10" t="str">
        <f t="shared" si="24"/>
        <v>ON1</v>
      </c>
      <c r="H604" s="10" t="s">
        <v>21</v>
      </c>
      <c r="I604" s="10" t="s">
        <v>327</v>
      </c>
      <c r="J604" s="10" t="str">
        <f>""</f>
        <v/>
      </c>
      <c r="K604" s="10" t="str">
        <f>"PFES1162560806_0001"</f>
        <v>PFES1162560806_0001</v>
      </c>
      <c r="L604" s="10">
        <v>1</v>
      </c>
      <c r="M604" s="10">
        <v>5</v>
      </c>
    </row>
    <row r="605" spans="1:13">
      <c r="A605" s="8">
        <v>42922</v>
      </c>
      <c r="B605" s="9">
        <v>0.5854166666666667</v>
      </c>
      <c r="C605" s="10" t="str">
        <f>"FES1162560917"</f>
        <v>FES1162560917</v>
      </c>
      <c r="D605" s="10" t="s">
        <v>19</v>
      </c>
      <c r="E605" s="10" t="s">
        <v>33</v>
      </c>
      <c r="F605" s="10" t="str">
        <f>"2170577704 "</f>
        <v xml:space="preserve">2170577704 </v>
      </c>
      <c r="G605" s="10" t="str">
        <f t="shared" si="24"/>
        <v>ON1</v>
      </c>
      <c r="H605" s="10" t="s">
        <v>21</v>
      </c>
      <c r="I605" s="10" t="s">
        <v>34</v>
      </c>
      <c r="J605" s="10" t="str">
        <f>""</f>
        <v/>
      </c>
      <c r="K605" s="10" t="str">
        <f>"PFES1162560917_0001"</f>
        <v>PFES1162560917_0001</v>
      </c>
      <c r="L605" s="10">
        <v>1</v>
      </c>
      <c r="M605" s="10">
        <v>1</v>
      </c>
    </row>
    <row r="606" spans="1:13">
      <c r="A606" s="8">
        <v>42922</v>
      </c>
      <c r="B606" s="9">
        <v>0.58472222222222225</v>
      </c>
      <c r="C606" s="10" t="str">
        <f>"FES1162560894"</f>
        <v>FES1162560894</v>
      </c>
      <c r="D606" s="10" t="s">
        <v>19</v>
      </c>
      <c r="E606" s="10" t="s">
        <v>486</v>
      </c>
      <c r="F606" s="10" t="str">
        <f>"2170577676 "</f>
        <v xml:space="preserve">2170577676 </v>
      </c>
      <c r="G606" s="10" t="str">
        <f t="shared" si="24"/>
        <v>ON1</v>
      </c>
      <c r="H606" s="10" t="s">
        <v>21</v>
      </c>
      <c r="I606" s="10" t="s">
        <v>377</v>
      </c>
      <c r="J606" s="10" t="str">
        <f>""</f>
        <v/>
      </c>
      <c r="K606" s="10" t="str">
        <f>"PFES1162560894_0001"</f>
        <v>PFES1162560894_0001</v>
      </c>
      <c r="L606" s="10">
        <v>1</v>
      </c>
      <c r="M606" s="10">
        <v>2</v>
      </c>
    </row>
    <row r="607" spans="1:13">
      <c r="A607" s="8">
        <v>42922</v>
      </c>
      <c r="B607" s="9">
        <v>0.58472222222222225</v>
      </c>
      <c r="C607" s="10" t="str">
        <f>"FES1162560927"</f>
        <v>FES1162560927</v>
      </c>
      <c r="D607" s="10" t="s">
        <v>19</v>
      </c>
      <c r="E607" s="10" t="s">
        <v>487</v>
      </c>
      <c r="F607" s="10" t="str">
        <f>"21705777715 "</f>
        <v xml:space="preserve">21705777715 </v>
      </c>
      <c r="G607" s="10" t="str">
        <f t="shared" si="24"/>
        <v>ON1</v>
      </c>
      <c r="H607" s="10" t="s">
        <v>21</v>
      </c>
      <c r="I607" s="10" t="s">
        <v>313</v>
      </c>
      <c r="J607" s="10" t="str">
        <f>""</f>
        <v/>
      </c>
      <c r="K607" s="10" t="str">
        <f>"PFES1162560927_0001"</f>
        <v>PFES1162560927_0001</v>
      </c>
      <c r="L607" s="10">
        <v>1</v>
      </c>
      <c r="M607" s="10">
        <v>2</v>
      </c>
    </row>
    <row r="608" spans="1:13">
      <c r="A608" s="8">
        <v>42922</v>
      </c>
      <c r="B608" s="9">
        <v>0.58402777777777781</v>
      </c>
      <c r="C608" s="10" t="str">
        <f>"FES1162560925"</f>
        <v>FES1162560925</v>
      </c>
      <c r="D608" s="10" t="s">
        <v>19</v>
      </c>
      <c r="E608" s="10" t="s">
        <v>488</v>
      </c>
      <c r="F608" s="10" t="str">
        <f>"21705777701 "</f>
        <v xml:space="preserve">21705777701 </v>
      </c>
      <c r="G608" s="10" t="str">
        <f t="shared" si="24"/>
        <v>ON1</v>
      </c>
      <c r="H608" s="10" t="s">
        <v>21</v>
      </c>
      <c r="I608" s="10" t="s">
        <v>414</v>
      </c>
      <c r="J608" s="10" t="str">
        <f>""</f>
        <v/>
      </c>
      <c r="K608" s="10" t="str">
        <f>"PFES1162560925_0001"</f>
        <v>PFES1162560925_0001</v>
      </c>
      <c r="L608" s="10">
        <v>1</v>
      </c>
      <c r="M608" s="10">
        <v>9</v>
      </c>
    </row>
    <row r="609" spans="1:13">
      <c r="A609" s="8">
        <v>42922</v>
      </c>
      <c r="B609" s="9">
        <v>0.58402777777777781</v>
      </c>
      <c r="C609" s="10" t="str">
        <f>"FES1162560891"</f>
        <v>FES1162560891</v>
      </c>
      <c r="D609" s="10" t="s">
        <v>19</v>
      </c>
      <c r="E609" s="10" t="s">
        <v>175</v>
      </c>
      <c r="F609" s="10" t="str">
        <f>"2170577668 "</f>
        <v xml:space="preserve">2170577668 </v>
      </c>
      <c r="G609" s="10" t="str">
        <f t="shared" si="24"/>
        <v>ON1</v>
      </c>
      <c r="H609" s="10" t="s">
        <v>21</v>
      </c>
      <c r="I609" s="10" t="s">
        <v>168</v>
      </c>
      <c r="J609" s="10" t="str">
        <f>""</f>
        <v/>
      </c>
      <c r="K609" s="10" t="str">
        <f>"PFES1162560891_0001"</f>
        <v>PFES1162560891_0001</v>
      </c>
      <c r="L609" s="10">
        <v>1</v>
      </c>
      <c r="M609" s="10">
        <v>2</v>
      </c>
    </row>
    <row r="610" spans="1:13">
      <c r="A610" s="8">
        <v>42922</v>
      </c>
      <c r="B610" s="9">
        <v>0.58333333333333337</v>
      </c>
      <c r="C610" s="10" t="str">
        <f>"FES1162560888"</f>
        <v>FES1162560888</v>
      </c>
      <c r="D610" s="10" t="s">
        <v>19</v>
      </c>
      <c r="E610" s="10" t="s">
        <v>243</v>
      </c>
      <c r="F610" s="10" t="str">
        <f>"2170577661 "</f>
        <v xml:space="preserve">2170577661 </v>
      </c>
      <c r="G610" s="10" t="str">
        <f t="shared" si="24"/>
        <v>ON1</v>
      </c>
      <c r="H610" s="10" t="s">
        <v>21</v>
      </c>
      <c r="I610" s="10" t="s">
        <v>244</v>
      </c>
      <c r="J610" s="10" t="str">
        <f>""</f>
        <v/>
      </c>
      <c r="K610" s="10" t="str">
        <f>"PFES1162560888_0001"</f>
        <v>PFES1162560888_0001</v>
      </c>
      <c r="L610" s="10">
        <v>1</v>
      </c>
      <c r="M610" s="10">
        <v>1</v>
      </c>
    </row>
    <row r="611" spans="1:13">
      <c r="A611" s="8">
        <v>42922</v>
      </c>
      <c r="B611" s="9">
        <v>0.58333333333333337</v>
      </c>
      <c r="C611" s="10" t="str">
        <f>"FES1162560867"</f>
        <v>FES1162560867</v>
      </c>
      <c r="D611" s="10" t="s">
        <v>19</v>
      </c>
      <c r="E611" s="10" t="s">
        <v>489</v>
      </c>
      <c r="F611" s="10" t="str">
        <f>"2170577643 "</f>
        <v xml:space="preserve">2170577643 </v>
      </c>
      <c r="G611" s="10" t="str">
        <f t="shared" si="24"/>
        <v>ON1</v>
      </c>
      <c r="H611" s="10" t="s">
        <v>21</v>
      </c>
      <c r="I611" s="10" t="s">
        <v>398</v>
      </c>
      <c r="J611" s="10" t="str">
        <f>""</f>
        <v/>
      </c>
      <c r="K611" s="10" t="str">
        <f>"PFES1162560867_0001"</f>
        <v>PFES1162560867_0001</v>
      </c>
      <c r="L611" s="10">
        <v>1</v>
      </c>
      <c r="M611" s="10">
        <v>7</v>
      </c>
    </row>
    <row r="612" spans="1:13">
      <c r="A612" s="8">
        <v>42922</v>
      </c>
      <c r="B612" s="9">
        <v>0.56388888888888888</v>
      </c>
      <c r="C612" s="10" t="str">
        <f>"FES1162560921"</f>
        <v>FES1162560921</v>
      </c>
      <c r="D612" s="10" t="s">
        <v>19</v>
      </c>
      <c r="E612" s="10" t="s">
        <v>237</v>
      </c>
      <c r="F612" s="10" t="str">
        <f>"2170577711 "</f>
        <v xml:space="preserve">2170577711 </v>
      </c>
      <c r="G612" s="10" t="str">
        <f t="shared" si="24"/>
        <v>ON1</v>
      </c>
      <c r="H612" s="10" t="s">
        <v>21</v>
      </c>
      <c r="I612" s="10" t="s">
        <v>238</v>
      </c>
      <c r="J612" s="10" t="str">
        <f>""</f>
        <v/>
      </c>
      <c r="K612" s="10" t="str">
        <f>"PFES1162560921_0001"</f>
        <v>PFES1162560921_0001</v>
      </c>
      <c r="L612" s="10">
        <v>1</v>
      </c>
      <c r="M612" s="10">
        <v>1</v>
      </c>
    </row>
    <row r="613" spans="1:13">
      <c r="A613" s="8">
        <v>42922</v>
      </c>
      <c r="B613" s="9">
        <v>0.5625</v>
      </c>
      <c r="C613" s="10" t="str">
        <f>"FES1162560906"</f>
        <v>FES1162560906</v>
      </c>
      <c r="D613" s="10" t="s">
        <v>19</v>
      </c>
      <c r="E613" s="10" t="s">
        <v>277</v>
      </c>
      <c r="F613" s="10" t="str">
        <f>"2170577692 "</f>
        <v xml:space="preserve">2170577692 </v>
      </c>
      <c r="G613" s="10" t="str">
        <f t="shared" si="24"/>
        <v>ON1</v>
      </c>
      <c r="H613" s="10" t="s">
        <v>21</v>
      </c>
      <c r="I613" s="10" t="s">
        <v>234</v>
      </c>
      <c r="J613" s="10" t="str">
        <f>""</f>
        <v/>
      </c>
      <c r="K613" s="10" t="str">
        <f>"PFES1162560906_0001"</f>
        <v>PFES1162560906_0001</v>
      </c>
      <c r="L613" s="10">
        <v>1</v>
      </c>
      <c r="M613" s="10">
        <v>1</v>
      </c>
    </row>
    <row r="614" spans="1:13">
      <c r="A614" s="8">
        <v>42922</v>
      </c>
      <c r="B614" s="9">
        <v>0.55763888888888891</v>
      </c>
      <c r="C614" s="10" t="str">
        <f>"FES1162560912"</f>
        <v>FES1162560912</v>
      </c>
      <c r="D614" s="10" t="s">
        <v>19</v>
      </c>
      <c r="E614" s="10" t="s">
        <v>490</v>
      </c>
      <c r="F614" s="10" t="str">
        <f>"2170577703 "</f>
        <v xml:space="preserve">2170577703 </v>
      </c>
      <c r="G614" s="10" t="str">
        <f t="shared" si="24"/>
        <v>ON1</v>
      </c>
      <c r="H614" s="10" t="s">
        <v>21</v>
      </c>
      <c r="I614" s="10" t="s">
        <v>32</v>
      </c>
      <c r="J614" s="10" t="str">
        <f>""</f>
        <v/>
      </c>
      <c r="K614" s="10" t="str">
        <f>"PFES1162560912_0001"</f>
        <v>PFES1162560912_0001</v>
      </c>
      <c r="L614" s="10">
        <v>1</v>
      </c>
      <c r="M614" s="10">
        <v>1</v>
      </c>
    </row>
    <row r="615" spans="1:13">
      <c r="A615" s="8">
        <v>42922</v>
      </c>
      <c r="B615" s="9">
        <v>0.55694444444444446</v>
      </c>
      <c r="C615" s="10" t="str">
        <f>"FES1162560897"</f>
        <v>FES1162560897</v>
      </c>
      <c r="D615" s="10" t="s">
        <v>19</v>
      </c>
      <c r="E615" s="10" t="s">
        <v>33</v>
      </c>
      <c r="F615" s="10" t="str">
        <f>"2170577682 "</f>
        <v xml:space="preserve">2170577682 </v>
      </c>
      <c r="G615" s="10" t="str">
        <f t="shared" si="24"/>
        <v>ON1</v>
      </c>
      <c r="H615" s="10" t="s">
        <v>21</v>
      </c>
      <c r="I615" s="10" t="s">
        <v>34</v>
      </c>
      <c r="J615" s="10" t="str">
        <f>""</f>
        <v/>
      </c>
      <c r="K615" s="10" t="str">
        <f>"PFES1162560897_0001"</f>
        <v>PFES1162560897_0001</v>
      </c>
      <c r="L615" s="10">
        <v>1</v>
      </c>
      <c r="M615" s="10">
        <v>1</v>
      </c>
    </row>
    <row r="616" spans="1:13">
      <c r="A616" s="8">
        <v>42922</v>
      </c>
      <c r="B616" s="9">
        <v>0.5541666666666667</v>
      </c>
      <c r="C616" s="10" t="str">
        <f>"FES116560911"</f>
        <v>FES116560911</v>
      </c>
      <c r="D616" s="10" t="s">
        <v>19</v>
      </c>
      <c r="E616" s="10" t="s">
        <v>490</v>
      </c>
      <c r="F616" s="10" t="str">
        <f>"2170577703 "</f>
        <v xml:space="preserve">2170577703 </v>
      </c>
      <c r="G616" s="10" t="str">
        <f>"ON2"</f>
        <v>ON2</v>
      </c>
      <c r="H616" s="10" t="s">
        <v>21</v>
      </c>
      <c r="I616" s="10" t="s">
        <v>32</v>
      </c>
      <c r="J616" s="10" t="str">
        <f>""</f>
        <v/>
      </c>
      <c r="K616" s="10" t="str">
        <f>"PFES116560911_0001"</f>
        <v>PFES116560911_0001</v>
      </c>
      <c r="L616" s="10">
        <v>1</v>
      </c>
      <c r="M616" s="10">
        <v>7</v>
      </c>
    </row>
    <row r="617" spans="1:13">
      <c r="A617" s="8">
        <v>42922</v>
      </c>
      <c r="B617" s="9">
        <v>0.54166666666666663</v>
      </c>
      <c r="C617" s="10" t="str">
        <f>"009935791521"</f>
        <v>009935791521</v>
      </c>
      <c r="D617" s="10" t="s">
        <v>19</v>
      </c>
      <c r="E617" s="10" t="s">
        <v>491</v>
      </c>
      <c r="F617" s="10" t="str">
        <f>"K MULLER "</f>
        <v xml:space="preserve">K MULLER </v>
      </c>
      <c r="G617" s="10" t="str">
        <f t="shared" ref="G617:G627" si="25">"ON1"</f>
        <v>ON1</v>
      </c>
      <c r="H617" s="10" t="s">
        <v>21</v>
      </c>
      <c r="I617" s="10" t="s">
        <v>183</v>
      </c>
      <c r="J617" s="10" t="str">
        <f>""</f>
        <v/>
      </c>
      <c r="K617" s="10" t="str">
        <f>"P009935791521_0001"</f>
        <v>P009935791521_0001</v>
      </c>
      <c r="L617" s="10">
        <v>1</v>
      </c>
      <c r="M617" s="10">
        <v>1</v>
      </c>
    </row>
    <row r="618" spans="1:13">
      <c r="A618" s="8">
        <v>42922</v>
      </c>
      <c r="B618" s="9">
        <v>0.52430555555555558</v>
      </c>
      <c r="C618" s="10" t="str">
        <f>"FES1162560863"</f>
        <v>FES1162560863</v>
      </c>
      <c r="D618" s="10" t="s">
        <v>19</v>
      </c>
      <c r="E618" s="10" t="s">
        <v>492</v>
      </c>
      <c r="F618" s="10" t="str">
        <f>"2170575933 "</f>
        <v xml:space="preserve">2170575933 </v>
      </c>
      <c r="G618" s="10" t="str">
        <f t="shared" si="25"/>
        <v>ON1</v>
      </c>
      <c r="H618" s="10" t="s">
        <v>21</v>
      </c>
      <c r="I618" s="10" t="s">
        <v>168</v>
      </c>
      <c r="J618" s="10" t="str">
        <f>""</f>
        <v/>
      </c>
      <c r="K618" s="10" t="str">
        <f>"PFES1162560863_0001"</f>
        <v>PFES1162560863_0001</v>
      </c>
      <c r="L618" s="10">
        <v>1</v>
      </c>
      <c r="M618" s="10">
        <v>4</v>
      </c>
    </row>
    <row r="619" spans="1:13">
      <c r="A619" s="8">
        <v>42922</v>
      </c>
      <c r="B619" s="9">
        <v>0.51666666666666672</v>
      </c>
      <c r="C619" s="10" t="str">
        <f>"FES1162560893"</f>
        <v>FES1162560893</v>
      </c>
      <c r="D619" s="10" t="s">
        <v>19</v>
      </c>
      <c r="E619" s="10" t="s">
        <v>27</v>
      </c>
      <c r="F619" s="10" t="str">
        <f>"2170577672 "</f>
        <v xml:space="preserve">2170577672 </v>
      </c>
      <c r="G619" s="10" t="str">
        <f t="shared" si="25"/>
        <v>ON1</v>
      </c>
      <c r="H619" s="10" t="s">
        <v>21</v>
      </c>
      <c r="I619" s="10" t="s">
        <v>28</v>
      </c>
      <c r="J619" s="10" t="str">
        <f>""</f>
        <v/>
      </c>
      <c r="K619" s="10" t="str">
        <f>"PFES1162560893_0001"</f>
        <v>PFES1162560893_0001</v>
      </c>
      <c r="L619" s="10">
        <v>1</v>
      </c>
      <c r="M619" s="10">
        <v>1</v>
      </c>
    </row>
    <row r="620" spans="1:13">
      <c r="A620" s="8">
        <v>42922</v>
      </c>
      <c r="B620" s="9">
        <v>0.51597222222222217</v>
      </c>
      <c r="C620" s="10" t="str">
        <f>"FES1162560797"</f>
        <v>FES1162560797</v>
      </c>
      <c r="D620" s="10" t="s">
        <v>19</v>
      </c>
      <c r="E620" s="10" t="s">
        <v>493</v>
      </c>
      <c r="F620" s="10" t="str">
        <f>"2170577565 "</f>
        <v xml:space="preserve">2170577565 </v>
      </c>
      <c r="G620" s="10" t="str">
        <f t="shared" si="25"/>
        <v>ON1</v>
      </c>
      <c r="H620" s="10" t="s">
        <v>21</v>
      </c>
      <c r="I620" s="10" t="s">
        <v>202</v>
      </c>
      <c r="J620" s="10" t="str">
        <f>""</f>
        <v/>
      </c>
      <c r="K620" s="10" t="str">
        <f>"PFES1162560797_0001"</f>
        <v>PFES1162560797_0001</v>
      </c>
      <c r="L620" s="10">
        <v>1</v>
      </c>
      <c r="M620" s="10">
        <v>5</v>
      </c>
    </row>
    <row r="621" spans="1:13">
      <c r="A621" s="8">
        <v>42922</v>
      </c>
      <c r="B621" s="9">
        <v>0.51527777777777783</v>
      </c>
      <c r="C621" s="10" t="str">
        <f>"FES1162560728"</f>
        <v>FES1162560728</v>
      </c>
      <c r="D621" s="10" t="s">
        <v>19</v>
      </c>
      <c r="E621" s="10" t="s">
        <v>62</v>
      </c>
      <c r="F621" s="10" t="str">
        <f>"2170572726 "</f>
        <v xml:space="preserve">2170572726 </v>
      </c>
      <c r="G621" s="10" t="str">
        <f t="shared" si="25"/>
        <v>ON1</v>
      </c>
      <c r="H621" s="10" t="s">
        <v>21</v>
      </c>
      <c r="I621" s="10" t="s">
        <v>40</v>
      </c>
      <c r="J621" s="10" t="str">
        <f>""</f>
        <v/>
      </c>
      <c r="K621" s="10" t="str">
        <f>"PFES1162560728_0001"</f>
        <v>PFES1162560728_0001</v>
      </c>
      <c r="L621" s="10">
        <v>1</v>
      </c>
      <c r="M621" s="10">
        <v>4</v>
      </c>
    </row>
    <row r="622" spans="1:13">
      <c r="A622" s="8">
        <v>42922</v>
      </c>
      <c r="B622" s="9">
        <v>0.51388888888888895</v>
      </c>
      <c r="C622" s="10" t="str">
        <f>"FES1162560751"</f>
        <v>FES1162560751</v>
      </c>
      <c r="D622" s="10" t="s">
        <v>19</v>
      </c>
      <c r="E622" s="10" t="s">
        <v>129</v>
      </c>
      <c r="F622" s="10" t="str">
        <f>"2170575453 "</f>
        <v xml:space="preserve">2170575453 </v>
      </c>
      <c r="G622" s="10" t="str">
        <f t="shared" si="25"/>
        <v>ON1</v>
      </c>
      <c r="H622" s="10" t="s">
        <v>21</v>
      </c>
      <c r="I622" s="10" t="s">
        <v>130</v>
      </c>
      <c r="J622" s="10" t="str">
        <f>""</f>
        <v/>
      </c>
      <c r="K622" s="10" t="str">
        <f>"PFES1162560751_0001"</f>
        <v>PFES1162560751_0001</v>
      </c>
      <c r="L622" s="10">
        <v>1</v>
      </c>
      <c r="M622" s="10">
        <v>10</v>
      </c>
    </row>
    <row r="623" spans="1:13">
      <c r="A623" s="8">
        <v>42922</v>
      </c>
      <c r="B623" s="9">
        <v>0.51388888888888895</v>
      </c>
      <c r="C623" s="10" t="str">
        <f>"FES1162560701"</f>
        <v>FES1162560701</v>
      </c>
      <c r="D623" s="10" t="s">
        <v>19</v>
      </c>
      <c r="E623" s="10" t="s">
        <v>231</v>
      </c>
      <c r="F623" s="10" t="str">
        <f>"2170575512 "</f>
        <v xml:space="preserve">2170575512 </v>
      </c>
      <c r="G623" s="10" t="str">
        <f t="shared" si="25"/>
        <v>ON1</v>
      </c>
      <c r="H623" s="10" t="s">
        <v>21</v>
      </c>
      <c r="I623" s="10" t="s">
        <v>232</v>
      </c>
      <c r="J623" s="10" t="str">
        <f>""</f>
        <v/>
      </c>
      <c r="K623" s="10" t="str">
        <f>"PFES1162560701_0001"</f>
        <v>PFES1162560701_0001</v>
      </c>
      <c r="L623" s="10">
        <v>1</v>
      </c>
      <c r="M623" s="10">
        <v>2</v>
      </c>
    </row>
    <row r="624" spans="1:13">
      <c r="A624" s="8">
        <v>42922</v>
      </c>
      <c r="B624" s="9">
        <v>0.51388888888888895</v>
      </c>
      <c r="C624" s="10" t="str">
        <f>"FES1162560852"</f>
        <v>FES1162560852</v>
      </c>
      <c r="D624" s="10" t="s">
        <v>19</v>
      </c>
      <c r="E624" s="10" t="s">
        <v>494</v>
      </c>
      <c r="F624" s="10" t="str">
        <f>"2170577627 "</f>
        <v xml:space="preserve">2170577627 </v>
      </c>
      <c r="G624" s="10" t="str">
        <f t="shared" si="25"/>
        <v>ON1</v>
      </c>
      <c r="H624" s="10" t="s">
        <v>21</v>
      </c>
      <c r="I624" s="10" t="s">
        <v>495</v>
      </c>
      <c r="J624" s="10" t="str">
        <f>""</f>
        <v/>
      </c>
      <c r="K624" s="10" t="str">
        <f>"PFES1162560852_0001"</f>
        <v>PFES1162560852_0001</v>
      </c>
      <c r="L624" s="10">
        <v>1</v>
      </c>
      <c r="M624" s="10">
        <v>1</v>
      </c>
    </row>
    <row r="625" spans="1:13">
      <c r="A625" s="8">
        <v>42922</v>
      </c>
      <c r="B625" s="9">
        <v>0.5131944444444444</v>
      </c>
      <c r="C625" s="10" t="str">
        <f>"FES1162560832"</f>
        <v>FES1162560832</v>
      </c>
      <c r="D625" s="10" t="s">
        <v>19</v>
      </c>
      <c r="E625" s="10" t="s">
        <v>496</v>
      </c>
      <c r="F625" s="10" t="str">
        <f>"2170577606 "</f>
        <v xml:space="preserve">2170577606 </v>
      </c>
      <c r="G625" s="10" t="str">
        <f t="shared" si="25"/>
        <v>ON1</v>
      </c>
      <c r="H625" s="10" t="s">
        <v>21</v>
      </c>
      <c r="I625" s="10" t="s">
        <v>159</v>
      </c>
      <c r="J625" s="10" t="str">
        <f>""</f>
        <v/>
      </c>
      <c r="K625" s="10" t="str">
        <f>"PFES1162560832_0001"</f>
        <v>PFES1162560832_0001</v>
      </c>
      <c r="L625" s="10">
        <v>1</v>
      </c>
      <c r="M625" s="10">
        <v>1</v>
      </c>
    </row>
    <row r="626" spans="1:13">
      <c r="A626" s="8">
        <v>42922</v>
      </c>
      <c r="B626" s="9">
        <v>0.5131944444444444</v>
      </c>
      <c r="C626" s="10" t="str">
        <f>"FES1162560857"</f>
        <v>FES1162560857</v>
      </c>
      <c r="D626" s="10" t="s">
        <v>19</v>
      </c>
      <c r="E626" s="10" t="s">
        <v>497</v>
      </c>
      <c r="F626" s="10" t="str">
        <f>"2170577633 "</f>
        <v xml:space="preserve">2170577633 </v>
      </c>
      <c r="G626" s="10" t="str">
        <f t="shared" si="25"/>
        <v>ON1</v>
      </c>
      <c r="H626" s="10" t="s">
        <v>21</v>
      </c>
      <c r="I626" s="10" t="s">
        <v>307</v>
      </c>
      <c r="J626" s="10" t="str">
        <f>""</f>
        <v/>
      </c>
      <c r="K626" s="10" t="str">
        <f>"PFES1162560857_0001"</f>
        <v>PFES1162560857_0001</v>
      </c>
      <c r="L626" s="10">
        <v>1</v>
      </c>
      <c r="M626" s="10">
        <v>1</v>
      </c>
    </row>
    <row r="627" spans="1:13">
      <c r="A627" s="8">
        <v>42922</v>
      </c>
      <c r="B627" s="9">
        <v>0.51250000000000007</v>
      </c>
      <c r="C627" s="10" t="str">
        <f>"FES1162560878"</f>
        <v>FES1162560878</v>
      </c>
      <c r="D627" s="10" t="s">
        <v>19</v>
      </c>
      <c r="E627" s="10" t="s">
        <v>266</v>
      </c>
      <c r="F627" s="10" t="str">
        <f>"2170577652 "</f>
        <v xml:space="preserve">2170577652 </v>
      </c>
      <c r="G627" s="10" t="str">
        <f t="shared" si="25"/>
        <v>ON1</v>
      </c>
      <c r="H627" s="10" t="s">
        <v>21</v>
      </c>
      <c r="I627" s="10" t="s">
        <v>290</v>
      </c>
      <c r="J627" s="10" t="str">
        <f>""</f>
        <v/>
      </c>
      <c r="K627" s="10" t="str">
        <f>"PFES1162560878_0001"</f>
        <v>PFES1162560878_0001</v>
      </c>
      <c r="L627" s="10">
        <v>1</v>
      </c>
      <c r="M627" s="10">
        <v>1</v>
      </c>
    </row>
    <row r="628" spans="1:13">
      <c r="A628" s="8">
        <v>42922</v>
      </c>
      <c r="B628" s="9">
        <v>0.51250000000000007</v>
      </c>
      <c r="C628" s="10" t="str">
        <f>"FES1162560795"</f>
        <v>FES1162560795</v>
      </c>
      <c r="D628" s="10" t="s">
        <v>19</v>
      </c>
      <c r="E628" s="10" t="s">
        <v>498</v>
      </c>
      <c r="F628" s="10" t="str">
        <f>"2170577562 "</f>
        <v xml:space="preserve">2170577562 </v>
      </c>
      <c r="G628" s="10" t="str">
        <f>"ON2"</f>
        <v>ON2</v>
      </c>
      <c r="H628" s="10" t="s">
        <v>21</v>
      </c>
      <c r="I628" s="10" t="s">
        <v>84</v>
      </c>
      <c r="J628" s="10" t="str">
        <f>""</f>
        <v/>
      </c>
      <c r="K628" s="10" t="str">
        <f>"PFES1162560795_0001"</f>
        <v>PFES1162560795_0001</v>
      </c>
      <c r="L628" s="10">
        <v>1</v>
      </c>
      <c r="M628" s="10">
        <v>7</v>
      </c>
    </row>
    <row r="629" spans="1:13">
      <c r="A629" s="8">
        <v>42922</v>
      </c>
      <c r="B629" s="9">
        <v>0.51250000000000007</v>
      </c>
      <c r="C629" s="10" t="str">
        <f>"FES1162560859"</f>
        <v>FES1162560859</v>
      </c>
      <c r="D629" s="10" t="s">
        <v>19</v>
      </c>
      <c r="E629" s="10" t="s">
        <v>499</v>
      </c>
      <c r="F629" s="10" t="str">
        <f>"2170577635 "</f>
        <v xml:space="preserve">2170577635 </v>
      </c>
      <c r="G629" s="10" t="str">
        <f t="shared" ref="G629:G661" si="26">"ON1"</f>
        <v>ON1</v>
      </c>
      <c r="H629" s="10" t="s">
        <v>21</v>
      </c>
      <c r="I629" s="10" t="s">
        <v>500</v>
      </c>
      <c r="J629" s="10" t="str">
        <f>""</f>
        <v/>
      </c>
      <c r="K629" s="10" t="str">
        <f>"PFES1162560859_0001"</f>
        <v>PFES1162560859_0001</v>
      </c>
      <c r="L629" s="10">
        <v>1</v>
      </c>
      <c r="M629" s="10">
        <v>1</v>
      </c>
    </row>
    <row r="630" spans="1:13">
      <c r="A630" s="8">
        <v>42922</v>
      </c>
      <c r="B630" s="9">
        <v>0.51111111111111118</v>
      </c>
      <c r="C630" s="10" t="str">
        <f>"FES1162560753"</f>
        <v>FES1162560753</v>
      </c>
      <c r="D630" s="10" t="s">
        <v>19</v>
      </c>
      <c r="E630" s="10" t="s">
        <v>501</v>
      </c>
      <c r="F630" s="10" t="str">
        <f>"2170575459 "</f>
        <v xml:space="preserve">2170575459 </v>
      </c>
      <c r="G630" s="10" t="str">
        <f t="shared" si="26"/>
        <v>ON1</v>
      </c>
      <c r="H630" s="10" t="s">
        <v>21</v>
      </c>
      <c r="I630" s="10" t="s">
        <v>28</v>
      </c>
      <c r="J630" s="10" t="str">
        <f>""</f>
        <v/>
      </c>
      <c r="K630" s="10" t="str">
        <f>"PFES1162560753_0001"</f>
        <v>PFES1162560753_0001</v>
      </c>
      <c r="L630" s="10">
        <v>1</v>
      </c>
      <c r="M630" s="10">
        <v>4</v>
      </c>
    </row>
    <row r="631" spans="1:13">
      <c r="A631" s="8">
        <v>42922</v>
      </c>
      <c r="B631" s="9">
        <v>0.51041666666666663</v>
      </c>
      <c r="C631" s="10" t="str">
        <f>"FES1162560860"</f>
        <v>FES1162560860</v>
      </c>
      <c r="D631" s="10" t="s">
        <v>19</v>
      </c>
      <c r="E631" s="10" t="s">
        <v>437</v>
      </c>
      <c r="F631" s="10" t="str">
        <f>"2170577636 "</f>
        <v xml:space="preserve">2170577636 </v>
      </c>
      <c r="G631" s="10" t="str">
        <f t="shared" si="26"/>
        <v>ON1</v>
      </c>
      <c r="H631" s="10" t="s">
        <v>21</v>
      </c>
      <c r="I631" s="10" t="s">
        <v>159</v>
      </c>
      <c r="J631" s="10" t="str">
        <f>""</f>
        <v/>
      </c>
      <c r="K631" s="10" t="str">
        <f>"PFES1162560860_0001"</f>
        <v>PFES1162560860_0001</v>
      </c>
      <c r="L631" s="10">
        <v>1</v>
      </c>
      <c r="M631" s="10">
        <v>1</v>
      </c>
    </row>
    <row r="632" spans="1:13">
      <c r="A632" s="8">
        <v>42922</v>
      </c>
      <c r="B632" s="9">
        <v>0.51041666666666663</v>
      </c>
      <c r="C632" s="10" t="str">
        <f>"FES1162557301"</f>
        <v>FES1162557301</v>
      </c>
      <c r="D632" s="10" t="s">
        <v>19</v>
      </c>
      <c r="E632" s="10" t="s">
        <v>502</v>
      </c>
      <c r="F632" s="10" t="str">
        <f>"2170577430 "</f>
        <v xml:space="preserve">2170577430 </v>
      </c>
      <c r="G632" s="10" t="str">
        <f t="shared" si="26"/>
        <v>ON1</v>
      </c>
      <c r="H632" s="10" t="s">
        <v>21</v>
      </c>
      <c r="I632" s="10" t="s">
        <v>503</v>
      </c>
      <c r="J632" s="10" t="str">
        <f>""</f>
        <v/>
      </c>
      <c r="K632" s="10" t="str">
        <f>"PFES1162557301_0001"</f>
        <v>PFES1162557301_0001</v>
      </c>
      <c r="L632" s="10">
        <v>1</v>
      </c>
      <c r="M632" s="10">
        <v>1</v>
      </c>
    </row>
    <row r="633" spans="1:13">
      <c r="A633" s="8">
        <v>42922</v>
      </c>
      <c r="B633" s="9">
        <v>0.50902777777777775</v>
      </c>
      <c r="C633" s="10" t="str">
        <f>"FES1162553532"</f>
        <v>FES1162553532</v>
      </c>
      <c r="D633" s="10" t="s">
        <v>19</v>
      </c>
      <c r="E633" s="10" t="s">
        <v>504</v>
      </c>
      <c r="F633" s="10" t="str">
        <f>"2170578026 "</f>
        <v xml:space="preserve">2170578026 </v>
      </c>
      <c r="G633" s="10" t="str">
        <f t="shared" si="26"/>
        <v>ON1</v>
      </c>
      <c r="H633" s="10" t="s">
        <v>21</v>
      </c>
      <c r="I633" s="10" t="s">
        <v>505</v>
      </c>
      <c r="J633" s="10" t="str">
        <f>""</f>
        <v/>
      </c>
      <c r="K633" s="10" t="str">
        <f>"PFES1162553532_0001"</f>
        <v>PFES1162553532_0001</v>
      </c>
      <c r="L633" s="10">
        <v>1</v>
      </c>
      <c r="M633" s="10">
        <v>1</v>
      </c>
    </row>
    <row r="634" spans="1:13">
      <c r="A634" s="8">
        <v>42922</v>
      </c>
      <c r="B634" s="9">
        <v>0.5083333333333333</v>
      </c>
      <c r="C634" s="10" t="str">
        <f>"FES1162560877"</f>
        <v>FES1162560877</v>
      </c>
      <c r="D634" s="10" t="s">
        <v>19</v>
      </c>
      <c r="E634" s="10" t="s">
        <v>506</v>
      </c>
      <c r="F634" s="10" t="str">
        <f>"2170577645 "</f>
        <v xml:space="preserve">2170577645 </v>
      </c>
      <c r="G634" s="10" t="str">
        <f t="shared" si="26"/>
        <v>ON1</v>
      </c>
      <c r="H634" s="10" t="s">
        <v>21</v>
      </c>
      <c r="I634" s="10" t="s">
        <v>400</v>
      </c>
      <c r="J634" s="10" t="str">
        <f>""</f>
        <v/>
      </c>
      <c r="K634" s="10" t="str">
        <f>"PFES1162560877_0001"</f>
        <v>PFES1162560877_0001</v>
      </c>
      <c r="L634" s="10">
        <v>1</v>
      </c>
      <c r="M634" s="10">
        <v>1</v>
      </c>
    </row>
    <row r="635" spans="1:13">
      <c r="A635" s="8">
        <v>42922</v>
      </c>
      <c r="B635" s="9">
        <v>0.5083333333333333</v>
      </c>
      <c r="C635" s="10" t="str">
        <f>"FES1162560845"</f>
        <v>FES1162560845</v>
      </c>
      <c r="D635" s="10" t="s">
        <v>19</v>
      </c>
      <c r="E635" s="10" t="s">
        <v>190</v>
      </c>
      <c r="F635" s="10" t="str">
        <f>"2170577619 "</f>
        <v xml:space="preserve">2170577619 </v>
      </c>
      <c r="G635" s="10" t="str">
        <f t="shared" si="26"/>
        <v>ON1</v>
      </c>
      <c r="H635" s="10" t="s">
        <v>21</v>
      </c>
      <c r="I635" s="10" t="s">
        <v>52</v>
      </c>
      <c r="J635" s="10" t="str">
        <f>""</f>
        <v/>
      </c>
      <c r="K635" s="10" t="str">
        <f>"PFES1162560845_0001"</f>
        <v>PFES1162560845_0001</v>
      </c>
      <c r="L635" s="10">
        <v>1</v>
      </c>
      <c r="M635" s="10">
        <v>1</v>
      </c>
    </row>
    <row r="636" spans="1:13">
      <c r="A636" s="8">
        <v>42922</v>
      </c>
      <c r="B636" s="9">
        <v>0.50694444444444442</v>
      </c>
      <c r="C636" s="10" t="str">
        <f>"FES1162560837"</f>
        <v>FES1162560837</v>
      </c>
      <c r="D636" s="10" t="s">
        <v>19</v>
      </c>
      <c r="E636" s="10" t="s">
        <v>154</v>
      </c>
      <c r="F636" s="10" t="str">
        <f>"21705776715 "</f>
        <v xml:space="preserve">21705776715 </v>
      </c>
      <c r="G636" s="10" t="str">
        <f t="shared" si="26"/>
        <v>ON1</v>
      </c>
      <c r="H636" s="10" t="s">
        <v>21</v>
      </c>
      <c r="I636" s="10" t="s">
        <v>130</v>
      </c>
      <c r="J636" s="10" t="str">
        <f>""</f>
        <v/>
      </c>
      <c r="K636" s="10" t="str">
        <f>"PFES1162560837_0001"</f>
        <v>PFES1162560837_0001</v>
      </c>
      <c r="L636" s="10">
        <v>1</v>
      </c>
      <c r="M636" s="10">
        <v>2</v>
      </c>
    </row>
    <row r="637" spans="1:13">
      <c r="A637" s="8">
        <v>42922</v>
      </c>
      <c r="B637" s="9">
        <v>0.50694444444444442</v>
      </c>
      <c r="C637" s="10" t="str">
        <f>"FES1162560730"</f>
        <v>FES1162560730</v>
      </c>
      <c r="D637" s="10" t="s">
        <v>19</v>
      </c>
      <c r="E637" s="10" t="s">
        <v>507</v>
      </c>
      <c r="F637" s="10" t="str">
        <f>"2170574216 "</f>
        <v xml:space="preserve">2170574216 </v>
      </c>
      <c r="G637" s="10" t="str">
        <f t="shared" si="26"/>
        <v>ON1</v>
      </c>
      <c r="H637" s="10" t="s">
        <v>21</v>
      </c>
      <c r="I637" s="10" t="s">
        <v>38</v>
      </c>
      <c r="J637" s="10" t="str">
        <f>""</f>
        <v/>
      </c>
      <c r="K637" s="10" t="str">
        <f>"PFES1162560730_0001"</f>
        <v>PFES1162560730_0001</v>
      </c>
      <c r="L637" s="10">
        <v>1</v>
      </c>
      <c r="M637" s="10">
        <v>9</v>
      </c>
    </row>
    <row r="638" spans="1:13">
      <c r="A638" s="8">
        <v>42922</v>
      </c>
      <c r="B638" s="9">
        <v>0.50694444444444442</v>
      </c>
      <c r="C638" s="10" t="str">
        <f>"FES1162560855"</f>
        <v>FES1162560855</v>
      </c>
      <c r="D638" s="10" t="s">
        <v>19</v>
      </c>
      <c r="E638" s="10" t="s">
        <v>154</v>
      </c>
      <c r="F638" s="10" t="str">
        <f>"2170577510 "</f>
        <v xml:space="preserve">2170577510 </v>
      </c>
      <c r="G638" s="10" t="str">
        <f t="shared" si="26"/>
        <v>ON1</v>
      </c>
      <c r="H638" s="10" t="s">
        <v>21</v>
      </c>
      <c r="I638" s="10" t="s">
        <v>130</v>
      </c>
      <c r="J638" s="10" t="str">
        <f>""</f>
        <v/>
      </c>
      <c r="K638" s="10" t="str">
        <f>"PFES1162560855_0001"</f>
        <v>PFES1162560855_0001</v>
      </c>
      <c r="L638" s="10">
        <v>1</v>
      </c>
      <c r="M638" s="10">
        <v>1</v>
      </c>
    </row>
    <row r="639" spans="1:13">
      <c r="A639" s="8">
        <v>42922</v>
      </c>
      <c r="B639" s="9">
        <v>0.50694444444444442</v>
      </c>
      <c r="C639" s="10" t="str">
        <f>"FES1162560811"</f>
        <v>FES1162560811</v>
      </c>
      <c r="D639" s="10" t="s">
        <v>19</v>
      </c>
      <c r="E639" s="10" t="s">
        <v>39</v>
      </c>
      <c r="F639" s="10" t="str">
        <f>"2170577583 "</f>
        <v xml:space="preserve">2170577583 </v>
      </c>
      <c r="G639" s="10" t="str">
        <f t="shared" si="26"/>
        <v>ON1</v>
      </c>
      <c r="H639" s="10" t="s">
        <v>21</v>
      </c>
      <c r="I639" s="10" t="s">
        <v>40</v>
      </c>
      <c r="J639" s="10" t="str">
        <f>""</f>
        <v/>
      </c>
      <c r="K639" s="10" t="str">
        <f>"PFES1162560811_0001"</f>
        <v>PFES1162560811_0001</v>
      </c>
      <c r="L639" s="10">
        <v>1</v>
      </c>
      <c r="M639" s="10">
        <v>4</v>
      </c>
    </row>
    <row r="640" spans="1:13">
      <c r="A640" s="8">
        <v>42922</v>
      </c>
      <c r="B640" s="9">
        <v>0.50624999999999998</v>
      </c>
      <c r="C640" s="10" t="str">
        <f>"FES1162560848"</f>
        <v>FES1162560848</v>
      </c>
      <c r="D640" s="10" t="s">
        <v>19</v>
      </c>
      <c r="E640" s="10" t="s">
        <v>154</v>
      </c>
      <c r="F640" s="10" t="str">
        <f>"21705775868 "</f>
        <v xml:space="preserve">21705775868 </v>
      </c>
      <c r="G640" s="10" t="str">
        <f t="shared" si="26"/>
        <v>ON1</v>
      </c>
      <c r="H640" s="10" t="s">
        <v>21</v>
      </c>
      <c r="I640" s="10" t="s">
        <v>130</v>
      </c>
      <c r="J640" s="10" t="str">
        <f>""</f>
        <v/>
      </c>
      <c r="K640" s="10" t="str">
        <f>"PFES1162560848_0001"</f>
        <v>PFES1162560848_0001</v>
      </c>
      <c r="L640" s="10">
        <v>1</v>
      </c>
      <c r="M640" s="10">
        <v>11</v>
      </c>
    </row>
    <row r="641" spans="1:13">
      <c r="A641" s="8">
        <v>42922</v>
      </c>
      <c r="B641" s="9">
        <v>0.50624999999999998</v>
      </c>
      <c r="C641" s="10" t="str">
        <f>"FES1162560736"</f>
        <v>FES1162560736</v>
      </c>
      <c r="D641" s="10" t="s">
        <v>19</v>
      </c>
      <c r="E641" s="10" t="s">
        <v>69</v>
      </c>
      <c r="F641" s="10" t="str">
        <f>"2170575106 "</f>
        <v xml:space="preserve">2170575106 </v>
      </c>
      <c r="G641" s="10" t="str">
        <f t="shared" si="26"/>
        <v>ON1</v>
      </c>
      <c r="H641" s="10" t="s">
        <v>21</v>
      </c>
      <c r="I641" s="10" t="s">
        <v>70</v>
      </c>
      <c r="J641" s="10" t="str">
        <f>""</f>
        <v/>
      </c>
      <c r="K641" s="10" t="str">
        <f>"PFES1162560736_0001"</f>
        <v>PFES1162560736_0001</v>
      </c>
      <c r="L641" s="10">
        <v>1</v>
      </c>
      <c r="M641" s="10">
        <v>3</v>
      </c>
    </row>
    <row r="642" spans="1:13">
      <c r="A642" s="8">
        <v>42922</v>
      </c>
      <c r="B642" s="9">
        <v>0.50555555555555554</v>
      </c>
      <c r="C642" s="10" t="str">
        <f>"FES1162560697"</f>
        <v>FES1162560697</v>
      </c>
      <c r="D642" s="10" t="s">
        <v>19</v>
      </c>
      <c r="E642" s="10" t="s">
        <v>508</v>
      </c>
      <c r="F642" s="10" t="str">
        <f>"2170575343 "</f>
        <v xml:space="preserve">2170575343 </v>
      </c>
      <c r="G642" s="10" t="str">
        <f t="shared" si="26"/>
        <v>ON1</v>
      </c>
      <c r="H642" s="10" t="s">
        <v>21</v>
      </c>
      <c r="I642" s="10" t="s">
        <v>54</v>
      </c>
      <c r="J642" s="10" t="str">
        <f>""</f>
        <v/>
      </c>
      <c r="K642" s="10" t="str">
        <f>"PFES1162560697_0001"</f>
        <v>PFES1162560697_0001</v>
      </c>
      <c r="L642" s="10">
        <v>1</v>
      </c>
      <c r="M642" s="10">
        <v>0</v>
      </c>
    </row>
    <row r="643" spans="1:13">
      <c r="A643" s="8">
        <v>42922</v>
      </c>
      <c r="B643" s="9">
        <v>0.50416666666666665</v>
      </c>
      <c r="C643" s="10" t="str">
        <f>"FES1162560770"</f>
        <v>FES1162560770</v>
      </c>
      <c r="D643" s="10" t="s">
        <v>19</v>
      </c>
      <c r="E643" s="10" t="s">
        <v>143</v>
      </c>
      <c r="F643" s="10" t="str">
        <f>"2170571507 "</f>
        <v xml:space="preserve">2170571507 </v>
      </c>
      <c r="G643" s="10" t="str">
        <f t="shared" si="26"/>
        <v>ON1</v>
      </c>
      <c r="H643" s="10" t="s">
        <v>21</v>
      </c>
      <c r="I643" s="10" t="s">
        <v>121</v>
      </c>
      <c r="J643" s="10" t="str">
        <f>""</f>
        <v/>
      </c>
      <c r="K643" s="10" t="str">
        <f>"PFES1162560770_0001"</f>
        <v>PFES1162560770_0001</v>
      </c>
      <c r="L643" s="10">
        <v>1</v>
      </c>
      <c r="M643" s="10">
        <v>1</v>
      </c>
    </row>
    <row r="644" spans="1:13">
      <c r="A644" s="8">
        <v>42922</v>
      </c>
      <c r="B644" s="9">
        <v>0.50347222222222221</v>
      </c>
      <c r="C644" s="10" t="str">
        <f>"FES1162560825"</f>
        <v>FES1162560825</v>
      </c>
      <c r="D644" s="10" t="s">
        <v>19</v>
      </c>
      <c r="E644" s="10" t="s">
        <v>144</v>
      </c>
      <c r="F644" s="10" t="str">
        <f>"2170577578 "</f>
        <v xml:space="preserve">2170577578 </v>
      </c>
      <c r="G644" s="10" t="str">
        <f t="shared" si="26"/>
        <v>ON1</v>
      </c>
      <c r="H644" s="10" t="s">
        <v>21</v>
      </c>
      <c r="I644" s="10" t="s">
        <v>145</v>
      </c>
      <c r="J644" s="10" t="str">
        <f>""</f>
        <v/>
      </c>
      <c r="K644" s="10" t="str">
        <f>"PFES1162560825_0001"</f>
        <v>PFES1162560825_0001</v>
      </c>
      <c r="L644" s="10">
        <v>1</v>
      </c>
      <c r="M644" s="10">
        <v>1</v>
      </c>
    </row>
    <row r="645" spans="1:13">
      <c r="A645" s="8">
        <v>42922</v>
      </c>
      <c r="B645" s="9">
        <v>0.50347222222222221</v>
      </c>
      <c r="C645" s="10" t="str">
        <f>"FES1162560821"</f>
        <v>FES1162560821</v>
      </c>
      <c r="D645" s="10" t="s">
        <v>19</v>
      </c>
      <c r="E645" s="10" t="s">
        <v>144</v>
      </c>
      <c r="F645" s="10" t="str">
        <f>"21705776987 "</f>
        <v xml:space="preserve">21705776987 </v>
      </c>
      <c r="G645" s="10" t="str">
        <f t="shared" si="26"/>
        <v>ON1</v>
      </c>
      <c r="H645" s="10" t="s">
        <v>21</v>
      </c>
      <c r="I645" s="10" t="s">
        <v>145</v>
      </c>
      <c r="J645" s="10" t="str">
        <f>""</f>
        <v/>
      </c>
      <c r="K645" s="10" t="str">
        <f>"PFES1162560821_0001"</f>
        <v>PFES1162560821_0001</v>
      </c>
      <c r="L645" s="10">
        <v>1</v>
      </c>
      <c r="M645" s="10">
        <v>1</v>
      </c>
    </row>
    <row r="646" spans="1:13">
      <c r="A646" s="8">
        <v>42922</v>
      </c>
      <c r="B646" s="9">
        <v>0.50347222222222221</v>
      </c>
      <c r="C646" s="10" t="str">
        <f>"FES1162560834"</f>
        <v>FES1162560834</v>
      </c>
      <c r="D646" s="10" t="s">
        <v>19</v>
      </c>
      <c r="E646" s="10" t="s">
        <v>509</v>
      </c>
      <c r="F646" s="10" t="str">
        <f>"2170577608 "</f>
        <v xml:space="preserve">2170577608 </v>
      </c>
      <c r="G646" s="10" t="str">
        <f t="shared" si="26"/>
        <v>ON1</v>
      </c>
      <c r="H646" s="10" t="s">
        <v>21</v>
      </c>
      <c r="I646" s="10" t="s">
        <v>510</v>
      </c>
      <c r="J646" s="10" t="str">
        <f>""</f>
        <v/>
      </c>
      <c r="K646" s="10" t="str">
        <f>"PFES1162560834_0001"</f>
        <v>PFES1162560834_0001</v>
      </c>
      <c r="L646" s="10">
        <v>1</v>
      </c>
      <c r="M646" s="10">
        <v>1</v>
      </c>
    </row>
    <row r="647" spans="1:13">
      <c r="A647" s="8">
        <v>42922</v>
      </c>
      <c r="B647" s="9">
        <v>0.50347222222222221</v>
      </c>
      <c r="C647" s="10" t="str">
        <f>"FES1162560781"</f>
        <v>FES1162560781</v>
      </c>
      <c r="D647" s="10" t="s">
        <v>19</v>
      </c>
      <c r="E647" s="10" t="s">
        <v>353</v>
      </c>
      <c r="F647" s="10" t="str">
        <f>"2170577544 "</f>
        <v xml:space="preserve">2170577544 </v>
      </c>
      <c r="G647" s="10" t="str">
        <f t="shared" si="26"/>
        <v>ON1</v>
      </c>
      <c r="H647" s="10" t="s">
        <v>21</v>
      </c>
      <c r="I647" s="10" t="s">
        <v>136</v>
      </c>
      <c r="J647" s="10" t="str">
        <f>""</f>
        <v/>
      </c>
      <c r="K647" s="10" t="str">
        <f>"PFES1162560781_0001"</f>
        <v>PFES1162560781_0001</v>
      </c>
      <c r="L647" s="10">
        <v>1</v>
      </c>
      <c r="M647" s="10">
        <v>1</v>
      </c>
    </row>
    <row r="648" spans="1:13">
      <c r="A648" s="8">
        <v>42922</v>
      </c>
      <c r="B648" s="9">
        <v>0.50277777777777777</v>
      </c>
      <c r="C648" s="10" t="str">
        <f>"FES1162560804"</f>
        <v>FES1162560804</v>
      </c>
      <c r="D648" s="10" t="s">
        <v>19</v>
      </c>
      <c r="E648" s="10" t="s">
        <v>511</v>
      </c>
      <c r="F648" s="10" t="str">
        <f>"2170577581 "</f>
        <v xml:space="preserve">2170577581 </v>
      </c>
      <c r="G648" s="10" t="str">
        <f t="shared" si="26"/>
        <v>ON1</v>
      </c>
      <c r="H648" s="10" t="s">
        <v>21</v>
      </c>
      <c r="I648" s="10" t="s">
        <v>138</v>
      </c>
      <c r="J648" s="10" t="str">
        <f>""</f>
        <v/>
      </c>
      <c r="K648" s="10" t="str">
        <f>"PFES1162560804_0001"</f>
        <v>PFES1162560804_0001</v>
      </c>
      <c r="L648" s="10">
        <v>1</v>
      </c>
      <c r="M648" s="10">
        <v>1</v>
      </c>
    </row>
    <row r="649" spans="1:13">
      <c r="A649" s="8">
        <v>42922</v>
      </c>
      <c r="B649" s="9">
        <v>0.50277777777777777</v>
      </c>
      <c r="C649" s="10" t="str">
        <f>"FES1162560824"</f>
        <v>FES1162560824</v>
      </c>
      <c r="D649" s="10" t="s">
        <v>19</v>
      </c>
      <c r="E649" s="10" t="s">
        <v>144</v>
      </c>
      <c r="F649" s="10" t="str">
        <f>"2170577465 "</f>
        <v xml:space="preserve">2170577465 </v>
      </c>
      <c r="G649" s="10" t="str">
        <f t="shared" si="26"/>
        <v>ON1</v>
      </c>
      <c r="H649" s="10" t="s">
        <v>21</v>
      </c>
      <c r="I649" s="10" t="s">
        <v>145</v>
      </c>
      <c r="J649" s="10" t="str">
        <f>""</f>
        <v/>
      </c>
      <c r="K649" s="10" t="str">
        <f>"PFES1162560824_0001"</f>
        <v>PFES1162560824_0001</v>
      </c>
      <c r="L649" s="10">
        <v>1</v>
      </c>
      <c r="M649" s="10">
        <v>1</v>
      </c>
    </row>
    <row r="650" spans="1:13">
      <c r="A650" s="8">
        <v>42922</v>
      </c>
      <c r="B650" s="9">
        <v>0.50208333333333333</v>
      </c>
      <c r="C650" s="10" t="str">
        <f>"FES1162560842"</f>
        <v>FES1162560842</v>
      </c>
      <c r="D650" s="10" t="s">
        <v>19</v>
      </c>
      <c r="E650" s="10" t="s">
        <v>512</v>
      </c>
      <c r="F650" s="10" t="str">
        <f>"2170577615 "</f>
        <v xml:space="preserve">2170577615 </v>
      </c>
      <c r="G650" s="10" t="str">
        <f t="shared" si="26"/>
        <v>ON1</v>
      </c>
      <c r="H650" s="10" t="s">
        <v>21</v>
      </c>
      <c r="I650" s="10" t="s">
        <v>157</v>
      </c>
      <c r="J650" s="10" t="str">
        <f>""</f>
        <v/>
      </c>
      <c r="K650" s="10" t="str">
        <f>"PFES1162560842_0001"</f>
        <v>PFES1162560842_0001</v>
      </c>
      <c r="L650" s="10">
        <v>1</v>
      </c>
      <c r="M650" s="10">
        <v>1</v>
      </c>
    </row>
    <row r="651" spans="1:13">
      <c r="A651" s="8">
        <v>42922</v>
      </c>
      <c r="B651" s="9">
        <v>0.50138888888888888</v>
      </c>
      <c r="C651" s="10" t="str">
        <f>"FES1162560822"</f>
        <v>FES1162560822</v>
      </c>
      <c r="D651" s="10" t="s">
        <v>19</v>
      </c>
      <c r="E651" s="10" t="s">
        <v>144</v>
      </c>
      <c r="F651" s="10" t="str">
        <f>"2170576990 "</f>
        <v xml:space="preserve">2170576990 </v>
      </c>
      <c r="G651" s="10" t="str">
        <f t="shared" si="26"/>
        <v>ON1</v>
      </c>
      <c r="H651" s="10" t="s">
        <v>21</v>
      </c>
      <c r="I651" s="10" t="s">
        <v>145</v>
      </c>
      <c r="J651" s="10" t="str">
        <f>""</f>
        <v/>
      </c>
      <c r="K651" s="10" t="str">
        <f>"PFES1162560822_0001"</f>
        <v>PFES1162560822_0001</v>
      </c>
      <c r="L651" s="10">
        <v>1</v>
      </c>
      <c r="M651" s="10">
        <v>1</v>
      </c>
    </row>
    <row r="652" spans="1:13">
      <c r="A652" s="8">
        <v>42922</v>
      </c>
      <c r="B652" s="9">
        <v>0.50138888888888888</v>
      </c>
      <c r="C652" s="10" t="str">
        <f>"FES1162560812"</f>
        <v>FES1162560812</v>
      </c>
      <c r="D652" s="10" t="s">
        <v>19</v>
      </c>
      <c r="E652" s="10" t="s">
        <v>513</v>
      </c>
      <c r="F652" s="10" t="str">
        <f>"2170577584 "</f>
        <v xml:space="preserve">2170577584 </v>
      </c>
      <c r="G652" s="10" t="str">
        <f t="shared" si="26"/>
        <v>ON1</v>
      </c>
      <c r="H652" s="10" t="s">
        <v>21</v>
      </c>
      <c r="I652" s="10" t="s">
        <v>138</v>
      </c>
      <c r="J652" s="10" t="str">
        <f>""</f>
        <v/>
      </c>
      <c r="K652" s="10" t="str">
        <f>"PFES1162560812_0001"</f>
        <v>PFES1162560812_0001</v>
      </c>
      <c r="L652" s="10">
        <v>1</v>
      </c>
      <c r="M652" s="10">
        <v>1</v>
      </c>
    </row>
    <row r="653" spans="1:13">
      <c r="A653" s="8">
        <v>42922</v>
      </c>
      <c r="B653" s="9">
        <v>0.50069444444444444</v>
      </c>
      <c r="C653" s="10" t="str">
        <f>"FES1162560835"</f>
        <v>FES1162560835</v>
      </c>
      <c r="D653" s="10" t="s">
        <v>19</v>
      </c>
      <c r="E653" s="10" t="s">
        <v>131</v>
      </c>
      <c r="F653" s="10" t="str">
        <f>"2170577609 "</f>
        <v xml:space="preserve">2170577609 </v>
      </c>
      <c r="G653" s="10" t="str">
        <f t="shared" si="26"/>
        <v>ON1</v>
      </c>
      <c r="H653" s="10" t="s">
        <v>21</v>
      </c>
      <c r="I653" s="10" t="s">
        <v>132</v>
      </c>
      <c r="J653" s="10" t="str">
        <f>""</f>
        <v/>
      </c>
      <c r="K653" s="10" t="str">
        <f>"PFES1162560835_0001"</f>
        <v>PFES1162560835_0001</v>
      </c>
      <c r="L653" s="10">
        <v>1</v>
      </c>
      <c r="M653" s="10">
        <v>1</v>
      </c>
    </row>
    <row r="654" spans="1:13">
      <c r="A654" s="8">
        <v>42922</v>
      </c>
      <c r="B654" s="9">
        <v>0.50069444444444444</v>
      </c>
      <c r="C654" s="10" t="str">
        <f>"FES1162560775"</f>
        <v>FES1162560775</v>
      </c>
      <c r="D654" s="10" t="s">
        <v>19</v>
      </c>
      <c r="E654" s="10" t="s">
        <v>511</v>
      </c>
      <c r="F654" s="10" t="str">
        <f>"2170577540 "</f>
        <v xml:space="preserve">2170577540 </v>
      </c>
      <c r="G654" s="10" t="str">
        <f t="shared" si="26"/>
        <v>ON1</v>
      </c>
      <c r="H654" s="10" t="s">
        <v>21</v>
      </c>
      <c r="I654" s="10" t="s">
        <v>138</v>
      </c>
      <c r="J654" s="10" t="str">
        <f>""</f>
        <v/>
      </c>
      <c r="K654" s="10" t="str">
        <f>"PFES1162560775_0001"</f>
        <v>PFES1162560775_0001</v>
      </c>
      <c r="L654" s="10">
        <v>1</v>
      </c>
      <c r="M654" s="10">
        <v>1</v>
      </c>
    </row>
    <row r="655" spans="1:13">
      <c r="A655" s="8">
        <v>42922</v>
      </c>
      <c r="B655" s="9">
        <v>0.50069444444444444</v>
      </c>
      <c r="C655" s="10" t="str">
        <f>"FES1162560796"</f>
        <v>FES1162560796</v>
      </c>
      <c r="D655" s="10" t="s">
        <v>19</v>
      </c>
      <c r="E655" s="10" t="s">
        <v>308</v>
      </c>
      <c r="F655" s="10" t="str">
        <f>"2170577564 "</f>
        <v xml:space="preserve">2170577564 </v>
      </c>
      <c r="G655" s="10" t="str">
        <f t="shared" si="26"/>
        <v>ON1</v>
      </c>
      <c r="H655" s="10" t="s">
        <v>21</v>
      </c>
      <c r="I655" s="10" t="s">
        <v>514</v>
      </c>
      <c r="J655" s="10" t="str">
        <f>""</f>
        <v/>
      </c>
      <c r="K655" s="10" t="str">
        <f>"PFES1162560796_0001"</f>
        <v>PFES1162560796_0001</v>
      </c>
      <c r="L655" s="10">
        <v>1</v>
      </c>
      <c r="M655" s="10">
        <v>1</v>
      </c>
    </row>
    <row r="656" spans="1:13">
      <c r="A656" s="8">
        <v>42922</v>
      </c>
      <c r="B656" s="9">
        <v>0.49791666666666662</v>
      </c>
      <c r="C656" s="10" t="str">
        <f>"FES1162559344"</f>
        <v>FES1162559344</v>
      </c>
      <c r="D656" s="10" t="s">
        <v>19</v>
      </c>
      <c r="E656" s="10" t="s">
        <v>515</v>
      </c>
      <c r="F656" s="10" t="str">
        <f>"2170576260 "</f>
        <v xml:space="preserve">2170576260 </v>
      </c>
      <c r="G656" s="10" t="str">
        <f t="shared" si="26"/>
        <v>ON1</v>
      </c>
      <c r="H656" s="10" t="s">
        <v>21</v>
      </c>
      <c r="I656" s="10" t="s">
        <v>410</v>
      </c>
      <c r="J656" s="10" t="str">
        <f>""</f>
        <v/>
      </c>
      <c r="K656" s="10" t="str">
        <f>"PFES1162559344_0001"</f>
        <v>PFES1162559344_0001</v>
      </c>
      <c r="L656" s="10">
        <v>1</v>
      </c>
      <c r="M656" s="10">
        <v>1</v>
      </c>
    </row>
    <row r="657" spans="1:13">
      <c r="A657" s="8">
        <v>42922</v>
      </c>
      <c r="B657" s="9">
        <v>0.49722222222222223</v>
      </c>
      <c r="C657" s="10" t="str">
        <f>"FES1162560823"</f>
        <v>FES1162560823</v>
      </c>
      <c r="D657" s="10" t="s">
        <v>19</v>
      </c>
      <c r="E657" s="10" t="s">
        <v>144</v>
      </c>
      <c r="F657" s="10" t="str">
        <f>"2170577252 "</f>
        <v xml:space="preserve">2170577252 </v>
      </c>
      <c r="G657" s="10" t="str">
        <f t="shared" si="26"/>
        <v>ON1</v>
      </c>
      <c r="H657" s="10" t="s">
        <v>21</v>
      </c>
      <c r="I657" s="10" t="s">
        <v>145</v>
      </c>
      <c r="J657" s="10" t="str">
        <f>""</f>
        <v/>
      </c>
      <c r="K657" s="10" t="str">
        <f>"PFES1162560823_0001"</f>
        <v>PFES1162560823_0001</v>
      </c>
      <c r="L657" s="10">
        <v>1</v>
      </c>
      <c r="M657" s="10">
        <v>1</v>
      </c>
    </row>
    <row r="658" spans="1:13">
      <c r="A658" s="8">
        <v>42922</v>
      </c>
      <c r="B658" s="9">
        <v>0.49722222222222223</v>
      </c>
      <c r="C658" s="10" t="str">
        <f>"FES1162560771"</f>
        <v>FES1162560771</v>
      </c>
      <c r="D658" s="10" t="s">
        <v>19</v>
      </c>
      <c r="E658" s="10" t="s">
        <v>516</v>
      </c>
      <c r="F658" s="10" t="str">
        <f>"21705775840 "</f>
        <v xml:space="preserve">21705775840 </v>
      </c>
      <c r="G658" s="10" t="str">
        <f t="shared" si="26"/>
        <v>ON1</v>
      </c>
      <c r="H658" s="10" t="s">
        <v>21</v>
      </c>
      <c r="I658" s="10" t="s">
        <v>517</v>
      </c>
      <c r="J658" s="10" t="str">
        <f>""</f>
        <v/>
      </c>
      <c r="K658" s="10" t="str">
        <f>"PFES1162560771_0001"</f>
        <v>PFES1162560771_0001</v>
      </c>
      <c r="L658" s="10">
        <v>1</v>
      </c>
      <c r="M658" s="10">
        <v>1</v>
      </c>
    </row>
    <row r="659" spans="1:13">
      <c r="A659" s="8">
        <v>42922</v>
      </c>
      <c r="B659" s="9">
        <v>0.49652777777777773</v>
      </c>
      <c r="C659" s="10" t="str">
        <f>"FES1162558000"</f>
        <v>FES1162558000</v>
      </c>
      <c r="D659" s="10" t="s">
        <v>19</v>
      </c>
      <c r="E659" s="10" t="s">
        <v>376</v>
      </c>
      <c r="F659" s="10" t="str">
        <f>"2170572706 "</f>
        <v xml:space="preserve">2170572706 </v>
      </c>
      <c r="G659" s="10" t="str">
        <f t="shared" si="26"/>
        <v>ON1</v>
      </c>
      <c r="H659" s="10" t="s">
        <v>21</v>
      </c>
      <c r="I659" s="10" t="s">
        <v>377</v>
      </c>
      <c r="J659" s="10" t="str">
        <f>""</f>
        <v/>
      </c>
      <c r="K659" s="10" t="str">
        <f>"PFES1162558000_0001"</f>
        <v>PFES1162558000_0001</v>
      </c>
      <c r="L659" s="10">
        <v>1</v>
      </c>
      <c r="M659" s="10">
        <v>1</v>
      </c>
    </row>
    <row r="660" spans="1:13">
      <c r="A660" s="8">
        <v>42922</v>
      </c>
      <c r="B660" s="9">
        <v>0.49652777777777773</v>
      </c>
      <c r="C660" s="10" t="str">
        <f>"FES1162560826"</f>
        <v>FES1162560826</v>
      </c>
      <c r="D660" s="10" t="s">
        <v>19</v>
      </c>
      <c r="E660" s="10" t="s">
        <v>518</v>
      </c>
      <c r="F660" s="10" t="str">
        <f>"2170577594 "</f>
        <v xml:space="preserve">2170577594 </v>
      </c>
      <c r="G660" s="10" t="str">
        <f t="shared" si="26"/>
        <v>ON1</v>
      </c>
      <c r="H660" s="10" t="s">
        <v>21</v>
      </c>
      <c r="I660" s="10" t="s">
        <v>70</v>
      </c>
      <c r="J660" s="10" t="str">
        <f>""</f>
        <v/>
      </c>
      <c r="K660" s="10" t="str">
        <f>"PFES1162560826_0001"</f>
        <v>PFES1162560826_0001</v>
      </c>
      <c r="L660" s="10">
        <v>1</v>
      </c>
      <c r="M660" s="10">
        <v>1</v>
      </c>
    </row>
    <row r="661" spans="1:13">
      <c r="A661" s="8">
        <v>42922</v>
      </c>
      <c r="B661" s="9">
        <v>0.49583333333333335</v>
      </c>
      <c r="C661" s="10" t="str">
        <f>"FES1162560739"</f>
        <v>FES1162560739</v>
      </c>
      <c r="D661" s="10" t="s">
        <v>19</v>
      </c>
      <c r="E661" s="10" t="s">
        <v>108</v>
      </c>
      <c r="F661" s="10" t="str">
        <f>"2170575318 "</f>
        <v xml:space="preserve">2170575318 </v>
      </c>
      <c r="G661" s="10" t="str">
        <f t="shared" si="26"/>
        <v>ON1</v>
      </c>
      <c r="H661" s="10" t="s">
        <v>21</v>
      </c>
      <c r="I661" s="10" t="s">
        <v>109</v>
      </c>
      <c r="J661" s="10" t="str">
        <f>""</f>
        <v/>
      </c>
      <c r="K661" s="10" t="str">
        <f>"PFES1162560739_0001"</f>
        <v>PFES1162560739_0001</v>
      </c>
      <c r="L661" s="10">
        <v>1</v>
      </c>
      <c r="M661" s="10">
        <v>1</v>
      </c>
    </row>
    <row r="662" spans="1:13">
      <c r="A662" s="8">
        <v>42922</v>
      </c>
      <c r="B662" s="9">
        <v>0.49583333333333335</v>
      </c>
      <c r="C662" s="10" t="str">
        <f>"FES1162560690"</f>
        <v>FES1162560690</v>
      </c>
      <c r="D662" s="10" t="s">
        <v>19</v>
      </c>
      <c r="E662" s="10" t="s">
        <v>295</v>
      </c>
      <c r="F662" s="10" t="str">
        <f>"2170577519 "</f>
        <v xml:space="preserve">2170577519 </v>
      </c>
      <c r="G662" s="10" t="str">
        <f>"DBC"</f>
        <v>DBC</v>
      </c>
      <c r="H662" s="10" t="s">
        <v>21</v>
      </c>
      <c r="I662" s="10" t="s">
        <v>179</v>
      </c>
      <c r="J662" s="10" t="str">
        <f>""</f>
        <v/>
      </c>
      <c r="K662" s="10" t="str">
        <f>"PFES1162560690_0001"</f>
        <v>PFES1162560690_0001</v>
      </c>
      <c r="L662" s="10">
        <v>1</v>
      </c>
      <c r="M662" s="10">
        <v>23</v>
      </c>
    </row>
    <row r="663" spans="1:13">
      <c r="A663" s="8">
        <v>42922</v>
      </c>
      <c r="B663" s="9">
        <v>0.49583333333333335</v>
      </c>
      <c r="C663" s="10" t="str">
        <f>"FES1162560717"</f>
        <v>FES1162560717</v>
      </c>
      <c r="D663" s="10" t="s">
        <v>19</v>
      </c>
      <c r="E663" s="10" t="s">
        <v>391</v>
      </c>
      <c r="F663" s="10" t="str">
        <f>"2170570505 "</f>
        <v xml:space="preserve">2170570505 </v>
      </c>
      <c r="G663" s="10" t="str">
        <f t="shared" ref="G663:G726" si="27">"ON1"</f>
        <v>ON1</v>
      </c>
      <c r="H663" s="10" t="s">
        <v>21</v>
      </c>
      <c r="I663" s="10" t="s">
        <v>183</v>
      </c>
      <c r="J663" s="10" t="str">
        <f>""</f>
        <v/>
      </c>
      <c r="K663" s="10" t="str">
        <f>"PFES1162560717_0001"</f>
        <v>PFES1162560717_0001</v>
      </c>
      <c r="L663" s="10">
        <v>1</v>
      </c>
      <c r="M663" s="10">
        <v>1</v>
      </c>
    </row>
    <row r="664" spans="1:13">
      <c r="A664" s="8">
        <v>42922</v>
      </c>
      <c r="B664" s="9">
        <v>0.49513888888888885</v>
      </c>
      <c r="C664" s="10" t="str">
        <f>"FES1162560696"</f>
        <v>FES1162560696</v>
      </c>
      <c r="D664" s="10" t="s">
        <v>19</v>
      </c>
      <c r="E664" s="10" t="s">
        <v>519</v>
      </c>
      <c r="F664" s="10" t="str">
        <f>"2170575313 "</f>
        <v xml:space="preserve">2170575313 </v>
      </c>
      <c r="G664" s="10" t="str">
        <f t="shared" si="27"/>
        <v>ON1</v>
      </c>
      <c r="H664" s="10" t="s">
        <v>21</v>
      </c>
      <c r="I664" s="10" t="s">
        <v>520</v>
      </c>
      <c r="J664" s="10" t="str">
        <f>""</f>
        <v/>
      </c>
      <c r="K664" s="10" t="str">
        <f>"PFES1162560696_0001"</f>
        <v>PFES1162560696_0001</v>
      </c>
      <c r="L664" s="10">
        <v>1</v>
      </c>
      <c r="M664" s="10">
        <v>1</v>
      </c>
    </row>
    <row r="665" spans="1:13">
      <c r="A665" s="8">
        <v>42922</v>
      </c>
      <c r="B665" s="9">
        <v>0.49513888888888885</v>
      </c>
      <c r="C665" s="10" t="str">
        <f>"FES1162560715"</f>
        <v>FES1162560715</v>
      </c>
      <c r="D665" s="10" t="s">
        <v>19</v>
      </c>
      <c r="E665" s="10" t="s">
        <v>468</v>
      </c>
      <c r="F665" s="10" t="str">
        <f>"2170579063 "</f>
        <v xml:space="preserve">2170579063 </v>
      </c>
      <c r="G665" s="10" t="str">
        <f t="shared" si="27"/>
        <v>ON1</v>
      </c>
      <c r="H665" s="10" t="s">
        <v>21</v>
      </c>
      <c r="I665" s="10" t="s">
        <v>469</v>
      </c>
      <c r="J665" s="10" t="str">
        <f>""</f>
        <v/>
      </c>
      <c r="K665" s="10" t="str">
        <f>"PFES1162560715_0001"</f>
        <v>PFES1162560715_0001</v>
      </c>
      <c r="L665" s="10">
        <v>1</v>
      </c>
      <c r="M665" s="10">
        <v>1</v>
      </c>
    </row>
    <row r="666" spans="1:13">
      <c r="A666" s="8">
        <v>42922</v>
      </c>
      <c r="B666" s="9">
        <v>0.49513888888888885</v>
      </c>
      <c r="C666" s="10" t="str">
        <f>"FES1162560705"</f>
        <v>FES1162560705</v>
      </c>
      <c r="D666" s="10" t="s">
        <v>19</v>
      </c>
      <c r="E666" s="10" t="s">
        <v>349</v>
      </c>
      <c r="F666" s="10" t="str">
        <f>"21705776821 "</f>
        <v xml:space="preserve">21705776821 </v>
      </c>
      <c r="G666" s="10" t="str">
        <f t="shared" si="27"/>
        <v>ON1</v>
      </c>
      <c r="H666" s="10" t="s">
        <v>21</v>
      </c>
      <c r="I666" s="10" t="s">
        <v>58</v>
      </c>
      <c r="J666" s="10" t="str">
        <f>""</f>
        <v/>
      </c>
      <c r="K666" s="10" t="str">
        <f>"PFES1162560705_0001"</f>
        <v>PFES1162560705_0001</v>
      </c>
      <c r="L666" s="10">
        <v>1</v>
      </c>
      <c r="M666" s="10">
        <v>1</v>
      </c>
    </row>
    <row r="667" spans="1:13">
      <c r="A667" s="8">
        <v>42922</v>
      </c>
      <c r="B667" s="9">
        <v>0.49444444444444446</v>
      </c>
      <c r="C667" s="10" t="str">
        <f>"FES1162560709"</f>
        <v>FES1162560709</v>
      </c>
      <c r="D667" s="10" t="s">
        <v>19</v>
      </c>
      <c r="E667" s="10" t="s">
        <v>460</v>
      </c>
      <c r="F667" s="10" t="str">
        <f>"2170577527 "</f>
        <v xml:space="preserve">2170577527 </v>
      </c>
      <c r="G667" s="10" t="str">
        <f t="shared" si="27"/>
        <v>ON1</v>
      </c>
      <c r="H667" s="10" t="s">
        <v>21</v>
      </c>
      <c r="I667" s="10" t="s">
        <v>461</v>
      </c>
      <c r="J667" s="10" t="str">
        <f>""</f>
        <v/>
      </c>
      <c r="K667" s="10" t="str">
        <f>"PFES1162560709_0001"</f>
        <v>PFES1162560709_0001</v>
      </c>
      <c r="L667" s="10">
        <v>1</v>
      </c>
      <c r="M667" s="10">
        <v>1</v>
      </c>
    </row>
    <row r="668" spans="1:13">
      <c r="A668" s="8">
        <v>42922</v>
      </c>
      <c r="B668" s="9">
        <v>0.49444444444444446</v>
      </c>
      <c r="C668" s="10" t="str">
        <f>"FES1162560787"</f>
        <v>FES1162560787</v>
      </c>
      <c r="D668" s="10" t="s">
        <v>19</v>
      </c>
      <c r="E668" s="10" t="s">
        <v>521</v>
      </c>
      <c r="F668" s="10" t="str">
        <f>"2170577563 "</f>
        <v xml:space="preserve">2170577563 </v>
      </c>
      <c r="G668" s="10" t="str">
        <f t="shared" si="27"/>
        <v>ON1</v>
      </c>
      <c r="H668" s="10" t="s">
        <v>21</v>
      </c>
      <c r="I668" s="10" t="s">
        <v>215</v>
      </c>
      <c r="J668" s="10" t="str">
        <f>""</f>
        <v/>
      </c>
      <c r="K668" s="10" t="str">
        <f>"PFES1162560787_0001"</f>
        <v>PFES1162560787_0001</v>
      </c>
      <c r="L668" s="10">
        <v>1</v>
      </c>
      <c r="M668" s="10">
        <v>1</v>
      </c>
    </row>
    <row r="669" spans="1:13">
      <c r="A669" s="8">
        <v>42922</v>
      </c>
      <c r="B669" s="9">
        <v>0.49444444444444446</v>
      </c>
      <c r="C669" s="10" t="str">
        <f>"FES1162555208"</f>
        <v>FES1162555208</v>
      </c>
      <c r="D669" s="10" t="s">
        <v>19</v>
      </c>
      <c r="E669" s="10" t="s">
        <v>522</v>
      </c>
      <c r="F669" s="10" t="str">
        <f>"2170570034 "</f>
        <v xml:space="preserve">2170570034 </v>
      </c>
      <c r="G669" s="10" t="str">
        <f t="shared" si="27"/>
        <v>ON1</v>
      </c>
      <c r="H669" s="10" t="s">
        <v>21</v>
      </c>
      <c r="I669" s="10" t="s">
        <v>106</v>
      </c>
      <c r="J669" s="10" t="str">
        <f>""</f>
        <v/>
      </c>
      <c r="K669" s="10" t="str">
        <f>"PFES1162555208_0001"</f>
        <v>PFES1162555208_0001</v>
      </c>
      <c r="L669" s="10">
        <v>1</v>
      </c>
      <c r="M669" s="10">
        <v>1</v>
      </c>
    </row>
    <row r="670" spans="1:13">
      <c r="A670" s="8">
        <v>42922</v>
      </c>
      <c r="B670" s="9">
        <v>0.49444444444444446</v>
      </c>
      <c r="C670" s="10" t="str">
        <f>"FES1162560827"</f>
        <v>FES1162560827</v>
      </c>
      <c r="D670" s="10" t="s">
        <v>19</v>
      </c>
      <c r="E670" s="10" t="s">
        <v>466</v>
      </c>
      <c r="F670" s="10" t="str">
        <f>"2170577597 "</f>
        <v xml:space="preserve">2170577597 </v>
      </c>
      <c r="G670" s="10" t="str">
        <f t="shared" si="27"/>
        <v>ON1</v>
      </c>
      <c r="H670" s="10" t="s">
        <v>21</v>
      </c>
      <c r="I670" s="10" t="s">
        <v>467</v>
      </c>
      <c r="J670" s="10" t="str">
        <f>""</f>
        <v/>
      </c>
      <c r="K670" s="10" t="str">
        <f>"PFES1162560827_0001"</f>
        <v>PFES1162560827_0001</v>
      </c>
      <c r="L670" s="10">
        <v>1</v>
      </c>
      <c r="M670" s="10">
        <v>1</v>
      </c>
    </row>
    <row r="671" spans="1:13">
      <c r="A671" s="8">
        <v>42922</v>
      </c>
      <c r="B671" s="9">
        <v>0.49374999999999997</v>
      </c>
      <c r="C671" s="10" t="str">
        <f>"FES1162560810"</f>
        <v>FES1162560810</v>
      </c>
      <c r="D671" s="10" t="s">
        <v>19</v>
      </c>
      <c r="E671" s="10" t="s">
        <v>20</v>
      </c>
      <c r="F671" s="10" t="str">
        <f>"2170577582 "</f>
        <v xml:space="preserve">2170577582 </v>
      </c>
      <c r="G671" s="10" t="str">
        <f t="shared" si="27"/>
        <v>ON1</v>
      </c>
      <c r="H671" s="10" t="s">
        <v>21</v>
      </c>
      <c r="I671" s="10" t="s">
        <v>22</v>
      </c>
      <c r="J671" s="10" t="str">
        <f>""</f>
        <v/>
      </c>
      <c r="K671" s="10" t="str">
        <f>"PFES1162560810_0001"</f>
        <v>PFES1162560810_0001</v>
      </c>
      <c r="L671" s="10">
        <v>1</v>
      </c>
      <c r="M671" s="10">
        <v>1</v>
      </c>
    </row>
    <row r="672" spans="1:13">
      <c r="A672" s="8">
        <v>42922</v>
      </c>
      <c r="B672" s="9">
        <v>0.49305555555555558</v>
      </c>
      <c r="C672" s="10" t="str">
        <f>"FES1162560786"</f>
        <v>FES1162560786</v>
      </c>
      <c r="D672" s="10" t="s">
        <v>19</v>
      </c>
      <c r="E672" s="10" t="s">
        <v>391</v>
      </c>
      <c r="F672" s="10" t="str">
        <f>"2170577559 "</f>
        <v xml:space="preserve">2170577559 </v>
      </c>
      <c r="G672" s="10" t="str">
        <f t="shared" si="27"/>
        <v>ON1</v>
      </c>
      <c r="H672" s="10" t="s">
        <v>21</v>
      </c>
      <c r="I672" s="10" t="s">
        <v>183</v>
      </c>
      <c r="J672" s="10" t="str">
        <f>""</f>
        <v/>
      </c>
      <c r="K672" s="10" t="str">
        <f>"PFES1162560786_0001"</f>
        <v>PFES1162560786_0001</v>
      </c>
      <c r="L672" s="10">
        <v>1</v>
      </c>
      <c r="M672" s="10">
        <v>1</v>
      </c>
    </row>
    <row r="673" spans="1:13">
      <c r="A673" s="8">
        <v>42922</v>
      </c>
      <c r="B673" s="9">
        <v>0.49305555555555558</v>
      </c>
      <c r="C673" s="10" t="str">
        <f>"FES1162560731"</f>
        <v>FES1162560731</v>
      </c>
      <c r="D673" s="10" t="s">
        <v>19</v>
      </c>
      <c r="E673" s="10" t="s">
        <v>523</v>
      </c>
      <c r="F673" s="10" t="str">
        <f>"2170574281 "</f>
        <v xml:space="preserve">2170574281 </v>
      </c>
      <c r="G673" s="10" t="str">
        <f t="shared" si="27"/>
        <v>ON1</v>
      </c>
      <c r="H673" s="10" t="s">
        <v>21</v>
      </c>
      <c r="I673" s="10" t="s">
        <v>524</v>
      </c>
      <c r="J673" s="10" t="str">
        <f>""</f>
        <v/>
      </c>
      <c r="K673" s="10" t="str">
        <f>"PFES1162560731_0001"</f>
        <v>PFES1162560731_0001</v>
      </c>
      <c r="L673" s="10">
        <v>1</v>
      </c>
      <c r="M673" s="10">
        <v>1</v>
      </c>
    </row>
    <row r="674" spans="1:13">
      <c r="A674" s="8">
        <v>42922</v>
      </c>
      <c r="B674" s="9">
        <v>0.49305555555555558</v>
      </c>
      <c r="C674" s="10" t="str">
        <f>"FES1162560776"</f>
        <v>FES1162560776</v>
      </c>
      <c r="D674" s="10" t="s">
        <v>19</v>
      </c>
      <c r="E674" s="10" t="s">
        <v>525</v>
      </c>
      <c r="F674" s="10" t="str">
        <f>"2170577541 "</f>
        <v xml:space="preserve">2170577541 </v>
      </c>
      <c r="G674" s="10" t="str">
        <f t="shared" si="27"/>
        <v>ON1</v>
      </c>
      <c r="H674" s="10" t="s">
        <v>21</v>
      </c>
      <c r="I674" s="10" t="s">
        <v>168</v>
      </c>
      <c r="J674" s="10" t="str">
        <f>""</f>
        <v/>
      </c>
      <c r="K674" s="10" t="str">
        <f>"PFES1162560776_0001"</f>
        <v>PFES1162560776_0001</v>
      </c>
      <c r="L674" s="10">
        <v>1</v>
      </c>
      <c r="M674" s="10">
        <v>1</v>
      </c>
    </row>
    <row r="675" spans="1:13">
      <c r="A675" s="8">
        <v>42922</v>
      </c>
      <c r="B675" s="9">
        <v>0.49236111111111108</v>
      </c>
      <c r="C675" s="10" t="str">
        <f>"FES1162560721"</f>
        <v>FES1162560721</v>
      </c>
      <c r="D675" s="10" t="s">
        <v>19</v>
      </c>
      <c r="E675" s="10" t="s">
        <v>295</v>
      </c>
      <c r="F675" s="10" t="str">
        <f>"2170571824 "</f>
        <v xml:space="preserve">2170571824 </v>
      </c>
      <c r="G675" s="10" t="str">
        <f t="shared" si="27"/>
        <v>ON1</v>
      </c>
      <c r="H675" s="10" t="s">
        <v>21</v>
      </c>
      <c r="I675" s="10" t="s">
        <v>179</v>
      </c>
      <c r="J675" s="10" t="str">
        <f>""</f>
        <v/>
      </c>
      <c r="K675" s="10" t="str">
        <f>"PFES1162560721_0001"</f>
        <v>PFES1162560721_0001</v>
      </c>
      <c r="L675" s="10">
        <v>1</v>
      </c>
      <c r="M675" s="10">
        <v>1</v>
      </c>
    </row>
    <row r="676" spans="1:13">
      <c r="A676" s="8">
        <v>42922</v>
      </c>
      <c r="B676" s="9">
        <v>0.49236111111111108</v>
      </c>
      <c r="C676" s="10" t="str">
        <f>"FES1162560869"</f>
        <v>FES1162560869</v>
      </c>
      <c r="D676" s="10" t="s">
        <v>19</v>
      </c>
      <c r="E676" s="10" t="s">
        <v>526</v>
      </c>
      <c r="F676" s="10" t="str">
        <f>"2170575030 "</f>
        <v xml:space="preserve">2170575030 </v>
      </c>
      <c r="G676" s="10" t="str">
        <f t="shared" si="27"/>
        <v>ON1</v>
      </c>
      <c r="H676" s="10" t="s">
        <v>21</v>
      </c>
      <c r="I676" s="10" t="s">
        <v>330</v>
      </c>
      <c r="J676" s="10" t="str">
        <f>""</f>
        <v/>
      </c>
      <c r="K676" s="10" t="str">
        <f>"PFES1162560869_0001"</f>
        <v>PFES1162560869_0001</v>
      </c>
      <c r="L676" s="10">
        <v>1</v>
      </c>
      <c r="M676" s="10">
        <v>2</v>
      </c>
    </row>
    <row r="677" spans="1:13">
      <c r="A677" s="8">
        <v>42922</v>
      </c>
      <c r="B677" s="9">
        <v>0.4916666666666667</v>
      </c>
      <c r="C677" s="10" t="str">
        <f>"FES1162560742"</f>
        <v>FES1162560742</v>
      </c>
      <c r="D677" s="10" t="s">
        <v>19</v>
      </c>
      <c r="E677" s="10" t="s">
        <v>527</v>
      </c>
      <c r="F677" s="10" t="str">
        <f>"2170575340 "</f>
        <v xml:space="preserve">2170575340 </v>
      </c>
      <c r="G677" s="10" t="str">
        <f t="shared" si="27"/>
        <v>ON1</v>
      </c>
      <c r="H677" s="10" t="s">
        <v>21</v>
      </c>
      <c r="I677" s="10" t="s">
        <v>217</v>
      </c>
      <c r="J677" s="10" t="str">
        <f>""</f>
        <v/>
      </c>
      <c r="K677" s="10" t="str">
        <f>"PFES1162560742_0001"</f>
        <v>PFES1162560742_0001</v>
      </c>
      <c r="L677" s="10">
        <v>1</v>
      </c>
      <c r="M677" s="10">
        <v>1</v>
      </c>
    </row>
    <row r="678" spans="1:13">
      <c r="A678" s="8">
        <v>42922</v>
      </c>
      <c r="B678" s="9">
        <v>0.49027777777777781</v>
      </c>
      <c r="C678" s="10" t="str">
        <f>"FES1162560729"</f>
        <v>FES1162560729</v>
      </c>
      <c r="D678" s="10" t="s">
        <v>19</v>
      </c>
      <c r="E678" s="10" t="s">
        <v>447</v>
      </c>
      <c r="F678" s="10" t="str">
        <f>"2170573897 "</f>
        <v xml:space="preserve">2170573897 </v>
      </c>
      <c r="G678" s="10" t="str">
        <f t="shared" si="27"/>
        <v>ON1</v>
      </c>
      <c r="H678" s="10" t="s">
        <v>21</v>
      </c>
      <c r="I678" s="10" t="s">
        <v>259</v>
      </c>
      <c r="J678" s="10" t="str">
        <f>""</f>
        <v/>
      </c>
      <c r="K678" s="10" t="str">
        <f>"PFES1162560729_0001"</f>
        <v>PFES1162560729_0001</v>
      </c>
      <c r="L678" s="10">
        <v>1</v>
      </c>
      <c r="M678" s="10">
        <v>1</v>
      </c>
    </row>
    <row r="679" spans="1:13">
      <c r="A679" s="8">
        <v>42922</v>
      </c>
      <c r="B679" s="9">
        <v>0.49027777777777781</v>
      </c>
      <c r="C679" s="10" t="str">
        <f>"FES1162560851"</f>
        <v>FES1162560851</v>
      </c>
      <c r="D679" s="10" t="s">
        <v>19</v>
      </c>
      <c r="E679" s="10" t="s">
        <v>528</v>
      </c>
      <c r="F679" s="10" t="str">
        <f>"2170577625 "</f>
        <v xml:space="preserve">2170577625 </v>
      </c>
      <c r="G679" s="10" t="str">
        <f t="shared" si="27"/>
        <v>ON1</v>
      </c>
      <c r="H679" s="10" t="s">
        <v>21</v>
      </c>
      <c r="I679" s="10" t="s">
        <v>32</v>
      </c>
      <c r="J679" s="10" t="str">
        <f>""</f>
        <v/>
      </c>
      <c r="K679" s="10" t="str">
        <f>"PFES1162560851_0001"</f>
        <v>PFES1162560851_0001</v>
      </c>
      <c r="L679" s="10">
        <v>1</v>
      </c>
      <c r="M679" s="10">
        <v>1</v>
      </c>
    </row>
    <row r="680" spans="1:13">
      <c r="A680" s="8">
        <v>42922</v>
      </c>
      <c r="B680" s="9">
        <v>0.48958333333333331</v>
      </c>
      <c r="C680" s="10" t="str">
        <f>"FES1162560865"</f>
        <v>FES1162560865</v>
      </c>
      <c r="D680" s="10" t="s">
        <v>19</v>
      </c>
      <c r="E680" s="10" t="s">
        <v>378</v>
      </c>
      <c r="F680" s="10" t="str">
        <f>"2170577641 "</f>
        <v xml:space="preserve">2170577641 </v>
      </c>
      <c r="G680" s="10" t="str">
        <f t="shared" si="27"/>
        <v>ON1</v>
      </c>
      <c r="H680" s="10" t="s">
        <v>21</v>
      </c>
      <c r="I680" s="10" t="s">
        <v>36</v>
      </c>
      <c r="J680" s="10" t="str">
        <f>""</f>
        <v/>
      </c>
      <c r="K680" s="10" t="str">
        <f>"PFES1162560865_0001"</f>
        <v>PFES1162560865_0001</v>
      </c>
      <c r="L680" s="10">
        <v>1</v>
      </c>
      <c r="M680" s="10">
        <v>1</v>
      </c>
    </row>
    <row r="681" spans="1:13">
      <c r="A681" s="8">
        <v>42922</v>
      </c>
      <c r="B681" s="9">
        <v>0.48958333333333331</v>
      </c>
      <c r="C681" s="10" t="str">
        <f>"FES1162560798"</f>
        <v>FES1162560798</v>
      </c>
      <c r="D681" s="10" t="s">
        <v>19</v>
      </c>
      <c r="E681" s="10" t="s">
        <v>529</v>
      </c>
      <c r="F681" s="10" t="str">
        <f>"2170577570 "</f>
        <v xml:space="preserve">2170577570 </v>
      </c>
      <c r="G681" s="10" t="str">
        <f t="shared" si="27"/>
        <v>ON1</v>
      </c>
      <c r="H681" s="10" t="s">
        <v>21</v>
      </c>
      <c r="I681" s="10" t="s">
        <v>530</v>
      </c>
      <c r="J681" s="10" t="str">
        <f>""</f>
        <v/>
      </c>
      <c r="K681" s="10" t="str">
        <f>"PFES1162560798_0001"</f>
        <v>PFES1162560798_0001</v>
      </c>
      <c r="L681" s="10">
        <v>1</v>
      </c>
      <c r="M681" s="10">
        <v>1</v>
      </c>
    </row>
    <row r="682" spans="1:13">
      <c r="A682" s="8">
        <v>42922</v>
      </c>
      <c r="B682" s="9">
        <v>0.48958333333333331</v>
      </c>
      <c r="C682" s="10" t="str">
        <f>"FES1162560868"</f>
        <v>FES1162560868</v>
      </c>
      <c r="D682" s="10" t="s">
        <v>19</v>
      </c>
      <c r="E682" s="10" t="s">
        <v>531</v>
      </c>
      <c r="F682" s="10" t="str">
        <f>"2170577644 "</f>
        <v xml:space="preserve">2170577644 </v>
      </c>
      <c r="G682" s="10" t="str">
        <f t="shared" si="27"/>
        <v>ON1</v>
      </c>
      <c r="H682" s="10" t="s">
        <v>21</v>
      </c>
      <c r="I682" s="10" t="s">
        <v>92</v>
      </c>
      <c r="J682" s="10" t="str">
        <f>""</f>
        <v/>
      </c>
      <c r="K682" s="10" t="str">
        <f>"PFES1162560868_0001"</f>
        <v>PFES1162560868_0001</v>
      </c>
      <c r="L682" s="10">
        <v>1</v>
      </c>
      <c r="M682" s="10">
        <v>1</v>
      </c>
    </row>
    <row r="683" spans="1:13">
      <c r="A683" s="8">
        <v>42922</v>
      </c>
      <c r="B683" s="9">
        <v>0.48888888888888887</v>
      </c>
      <c r="C683" s="10" t="str">
        <f>"FES1162560861"</f>
        <v>FES1162560861</v>
      </c>
      <c r="D683" s="10" t="s">
        <v>19</v>
      </c>
      <c r="E683" s="10" t="s">
        <v>288</v>
      </c>
      <c r="F683" s="10" t="str">
        <f>"2170577637 "</f>
        <v xml:space="preserve">2170577637 </v>
      </c>
      <c r="G683" s="10" t="str">
        <f t="shared" si="27"/>
        <v>ON1</v>
      </c>
      <c r="H683" s="10" t="s">
        <v>21</v>
      </c>
      <c r="I683" s="10" t="s">
        <v>84</v>
      </c>
      <c r="J683" s="10" t="str">
        <f>""</f>
        <v/>
      </c>
      <c r="K683" s="10" t="str">
        <f>"PFES1162560861_0001"</f>
        <v>PFES1162560861_0001</v>
      </c>
      <c r="L683" s="10">
        <v>1</v>
      </c>
      <c r="M683" s="10">
        <v>1</v>
      </c>
    </row>
    <row r="684" spans="1:13">
      <c r="A684" s="8">
        <v>42922</v>
      </c>
      <c r="B684" s="9">
        <v>0.48888888888888887</v>
      </c>
      <c r="C684" s="10" t="str">
        <f>"FES1162560866"</f>
        <v>FES1162560866</v>
      </c>
      <c r="D684" s="10" t="s">
        <v>19</v>
      </c>
      <c r="E684" s="10" t="s">
        <v>532</v>
      </c>
      <c r="F684" s="10" t="str">
        <f>"2170577642 "</f>
        <v xml:space="preserve">2170577642 </v>
      </c>
      <c r="G684" s="10" t="str">
        <f t="shared" si="27"/>
        <v>ON1</v>
      </c>
      <c r="H684" s="10" t="s">
        <v>21</v>
      </c>
      <c r="I684" s="10" t="s">
        <v>84</v>
      </c>
      <c r="J684" s="10" t="str">
        <f>""</f>
        <v/>
      </c>
      <c r="K684" s="10" t="str">
        <f>"PFES1162560866_0001"</f>
        <v>PFES1162560866_0001</v>
      </c>
      <c r="L684" s="10">
        <v>1</v>
      </c>
      <c r="M684" s="10">
        <v>1</v>
      </c>
    </row>
    <row r="685" spans="1:13">
      <c r="A685" s="8">
        <v>42922</v>
      </c>
      <c r="B685" s="9">
        <v>0.48819444444444443</v>
      </c>
      <c r="C685" s="10" t="str">
        <f>"FES1162560858"</f>
        <v>FES1162560858</v>
      </c>
      <c r="D685" s="10" t="s">
        <v>19</v>
      </c>
      <c r="E685" s="10" t="s">
        <v>533</v>
      </c>
      <c r="F685" s="10" t="str">
        <f>"2170577634 "</f>
        <v xml:space="preserve">2170577634 </v>
      </c>
      <c r="G685" s="10" t="str">
        <f t="shared" si="27"/>
        <v>ON1</v>
      </c>
      <c r="H685" s="10" t="s">
        <v>21</v>
      </c>
      <c r="I685" s="10" t="s">
        <v>534</v>
      </c>
      <c r="J685" s="10" t="str">
        <f>""</f>
        <v/>
      </c>
      <c r="K685" s="10" t="str">
        <f>"PFES1162560858_0001"</f>
        <v>PFES1162560858_0001</v>
      </c>
      <c r="L685" s="10">
        <v>1</v>
      </c>
      <c r="M685" s="10">
        <v>3</v>
      </c>
    </row>
    <row r="686" spans="1:13">
      <c r="A686" s="8">
        <v>42922</v>
      </c>
      <c r="B686" s="9">
        <v>0.48819444444444443</v>
      </c>
      <c r="C686" s="10" t="str">
        <f>"FES1162560722"</f>
        <v>FES1162560722</v>
      </c>
      <c r="D686" s="10" t="s">
        <v>19</v>
      </c>
      <c r="E686" s="10" t="s">
        <v>378</v>
      </c>
      <c r="F686" s="10" t="str">
        <f>"2170571900 "</f>
        <v xml:space="preserve">2170571900 </v>
      </c>
      <c r="G686" s="10" t="str">
        <f t="shared" si="27"/>
        <v>ON1</v>
      </c>
      <c r="H686" s="10" t="s">
        <v>21</v>
      </c>
      <c r="I686" s="10" t="s">
        <v>36</v>
      </c>
      <c r="J686" s="10" t="str">
        <f>""</f>
        <v/>
      </c>
      <c r="K686" s="10" t="str">
        <f>"PFES1162560722_0001"</f>
        <v>PFES1162560722_0001</v>
      </c>
      <c r="L686" s="10">
        <v>1</v>
      </c>
      <c r="M686" s="10">
        <v>1</v>
      </c>
    </row>
    <row r="687" spans="1:13">
      <c r="A687" s="8">
        <v>42922</v>
      </c>
      <c r="B687" s="9">
        <v>0.48749999999999999</v>
      </c>
      <c r="C687" s="10" t="str">
        <f>"FES1162560856"</f>
        <v>FES1162560856</v>
      </c>
      <c r="D687" s="10" t="s">
        <v>19</v>
      </c>
      <c r="E687" s="10" t="s">
        <v>447</v>
      </c>
      <c r="F687" s="10" t="str">
        <f>"2170577628 "</f>
        <v xml:space="preserve">2170577628 </v>
      </c>
      <c r="G687" s="10" t="str">
        <f t="shared" si="27"/>
        <v>ON1</v>
      </c>
      <c r="H687" s="10" t="s">
        <v>21</v>
      </c>
      <c r="I687" s="10" t="s">
        <v>259</v>
      </c>
      <c r="J687" s="10" t="str">
        <f>""</f>
        <v/>
      </c>
      <c r="K687" s="10" t="str">
        <f>"PFES1162560856_0001"</f>
        <v>PFES1162560856_0001</v>
      </c>
      <c r="L687" s="10">
        <v>1</v>
      </c>
      <c r="M687" s="10">
        <v>6</v>
      </c>
    </row>
    <row r="688" spans="1:13">
      <c r="A688" s="8">
        <v>42922</v>
      </c>
      <c r="B688" s="9">
        <v>0.48749999999999999</v>
      </c>
      <c r="C688" s="10" t="str">
        <f>"FES1162560829"</f>
        <v>FES1162560829</v>
      </c>
      <c r="D688" s="10" t="s">
        <v>19</v>
      </c>
      <c r="E688" s="10" t="s">
        <v>535</v>
      </c>
      <c r="F688" s="10" t="str">
        <f>"2170577603 "</f>
        <v xml:space="preserve">2170577603 </v>
      </c>
      <c r="G688" s="10" t="str">
        <f t="shared" si="27"/>
        <v>ON1</v>
      </c>
      <c r="H688" s="10" t="s">
        <v>21</v>
      </c>
      <c r="I688" s="10" t="s">
        <v>240</v>
      </c>
      <c r="J688" s="10" t="str">
        <f>""</f>
        <v/>
      </c>
      <c r="K688" s="10" t="str">
        <f>"PFES1162560829_0001"</f>
        <v>PFES1162560829_0001</v>
      </c>
      <c r="L688" s="10">
        <v>1</v>
      </c>
      <c r="M688" s="10">
        <v>20</v>
      </c>
    </row>
    <row r="689" spans="1:13">
      <c r="A689" s="8">
        <v>42922</v>
      </c>
      <c r="B689" s="9">
        <v>0.48680555555555555</v>
      </c>
      <c r="C689" s="10" t="str">
        <f>"FES1162560774"</f>
        <v>FES1162560774</v>
      </c>
      <c r="D689" s="10" t="s">
        <v>19</v>
      </c>
      <c r="E689" s="10" t="s">
        <v>320</v>
      </c>
      <c r="F689" s="10" t="str">
        <f>"2170577536 "</f>
        <v xml:space="preserve">2170577536 </v>
      </c>
      <c r="G689" s="10" t="str">
        <f t="shared" si="27"/>
        <v>ON1</v>
      </c>
      <c r="H689" s="10" t="s">
        <v>21</v>
      </c>
      <c r="I689" s="10" t="s">
        <v>32</v>
      </c>
      <c r="J689" s="10" t="str">
        <f>""</f>
        <v/>
      </c>
      <c r="K689" s="10" t="str">
        <f>"PFES1162560774_0001"</f>
        <v>PFES1162560774_0001</v>
      </c>
      <c r="L689" s="10">
        <v>1</v>
      </c>
      <c r="M689" s="10">
        <v>1</v>
      </c>
    </row>
    <row r="690" spans="1:13">
      <c r="A690" s="8">
        <v>42922</v>
      </c>
      <c r="B690" s="9">
        <v>0.48402777777777778</v>
      </c>
      <c r="C690" s="10" t="str">
        <f>"FES1162560713"</f>
        <v>FES1162560713</v>
      </c>
      <c r="D690" s="10" t="s">
        <v>19</v>
      </c>
      <c r="E690" s="10" t="s">
        <v>378</v>
      </c>
      <c r="F690" s="10" t="str">
        <f>"2170568845 "</f>
        <v xml:space="preserve">2170568845 </v>
      </c>
      <c r="G690" s="10" t="str">
        <f t="shared" si="27"/>
        <v>ON1</v>
      </c>
      <c r="H690" s="10" t="s">
        <v>21</v>
      </c>
      <c r="I690" s="10" t="s">
        <v>36</v>
      </c>
      <c r="J690" s="10" t="str">
        <f>""</f>
        <v/>
      </c>
      <c r="K690" s="10" t="str">
        <f>"PFES1162560713_0001"</f>
        <v>PFES1162560713_0001</v>
      </c>
      <c r="L690" s="10">
        <v>1</v>
      </c>
      <c r="M690" s="10">
        <v>1</v>
      </c>
    </row>
    <row r="691" spans="1:13">
      <c r="A691" s="8">
        <v>42922</v>
      </c>
      <c r="B691" s="9">
        <v>0.4826388888888889</v>
      </c>
      <c r="C691" s="10" t="str">
        <f>"FES1162560700"</f>
        <v>FES1162560700</v>
      </c>
      <c r="D691" s="10" t="s">
        <v>19</v>
      </c>
      <c r="E691" s="10" t="s">
        <v>501</v>
      </c>
      <c r="F691" s="10" t="str">
        <f>"2170575459 "</f>
        <v xml:space="preserve">2170575459 </v>
      </c>
      <c r="G691" s="10" t="str">
        <f t="shared" si="27"/>
        <v>ON1</v>
      </c>
      <c r="H691" s="10" t="s">
        <v>21</v>
      </c>
      <c r="I691" s="10" t="s">
        <v>28</v>
      </c>
      <c r="J691" s="10" t="str">
        <f>""</f>
        <v/>
      </c>
      <c r="K691" s="10" t="str">
        <f>"PFES1162560700_0001"</f>
        <v>PFES1162560700_0001</v>
      </c>
      <c r="L691" s="10">
        <v>1</v>
      </c>
      <c r="M691" s="10">
        <v>1</v>
      </c>
    </row>
    <row r="692" spans="1:13">
      <c r="A692" s="8">
        <v>42922</v>
      </c>
      <c r="B692" s="9">
        <v>0.48194444444444445</v>
      </c>
      <c r="C692" s="10" t="str">
        <f>"FES1162560864"</f>
        <v>FES1162560864</v>
      </c>
      <c r="D692" s="10" t="s">
        <v>19</v>
      </c>
      <c r="E692" s="10" t="s">
        <v>536</v>
      </c>
      <c r="F692" s="10" t="str">
        <f>"2170577640 "</f>
        <v xml:space="preserve">2170577640 </v>
      </c>
      <c r="G692" s="10" t="str">
        <f t="shared" si="27"/>
        <v>ON1</v>
      </c>
      <c r="H692" s="10" t="s">
        <v>21</v>
      </c>
      <c r="I692" s="10" t="s">
        <v>26</v>
      </c>
      <c r="J692" s="10" t="str">
        <f>""</f>
        <v/>
      </c>
      <c r="K692" s="10" t="str">
        <f>"PFES1162560864_0001"</f>
        <v>PFES1162560864_0001</v>
      </c>
      <c r="L692" s="10">
        <v>1</v>
      </c>
      <c r="M692" s="10">
        <v>7</v>
      </c>
    </row>
    <row r="693" spans="1:13">
      <c r="A693" s="8">
        <v>42922</v>
      </c>
      <c r="B693" s="9">
        <v>0.48194444444444445</v>
      </c>
      <c r="C693" s="10" t="str">
        <f>"FES1162560772"</f>
        <v>FES1162560772</v>
      </c>
      <c r="D693" s="10" t="s">
        <v>19</v>
      </c>
      <c r="E693" s="10" t="s">
        <v>537</v>
      </c>
      <c r="F693" s="10" t="str">
        <f>"2170577497 "</f>
        <v xml:space="preserve">2170577497 </v>
      </c>
      <c r="G693" s="10" t="str">
        <f t="shared" si="27"/>
        <v>ON1</v>
      </c>
      <c r="H693" s="10" t="s">
        <v>21</v>
      </c>
      <c r="I693" s="10" t="s">
        <v>66</v>
      </c>
      <c r="J693" s="10" t="str">
        <f>""</f>
        <v/>
      </c>
      <c r="K693" s="10" t="str">
        <f>"PFES1162560772_0001"</f>
        <v>PFES1162560772_0001</v>
      </c>
      <c r="L693" s="10">
        <v>1</v>
      </c>
      <c r="M693" s="10">
        <v>1</v>
      </c>
    </row>
    <row r="694" spans="1:13">
      <c r="A694" s="8">
        <v>42922</v>
      </c>
      <c r="B694" s="9">
        <v>0.48194444444444445</v>
      </c>
      <c r="C694" s="10" t="str">
        <f>"FES1162560801"</f>
        <v>FES1162560801</v>
      </c>
      <c r="D694" s="10" t="s">
        <v>19</v>
      </c>
      <c r="E694" s="10" t="s">
        <v>173</v>
      </c>
      <c r="F694" s="10" t="str">
        <f>"2170577575 "</f>
        <v xml:space="preserve">2170577575 </v>
      </c>
      <c r="G694" s="10" t="str">
        <f t="shared" si="27"/>
        <v>ON1</v>
      </c>
      <c r="H694" s="10" t="s">
        <v>21</v>
      </c>
      <c r="I694" s="10" t="s">
        <v>174</v>
      </c>
      <c r="J694" s="10" t="str">
        <f>""</f>
        <v/>
      </c>
      <c r="K694" s="10" t="str">
        <f>"PFES1162560801_0001"</f>
        <v>PFES1162560801_0001</v>
      </c>
      <c r="L694" s="10">
        <v>1</v>
      </c>
      <c r="M694" s="10">
        <v>1</v>
      </c>
    </row>
    <row r="695" spans="1:13">
      <c r="A695" s="8">
        <v>42922</v>
      </c>
      <c r="B695" s="9">
        <v>0.48125000000000001</v>
      </c>
      <c r="C695" s="10" t="str">
        <f>"FES1162560841"</f>
        <v>FES1162560841</v>
      </c>
      <c r="D695" s="10" t="s">
        <v>19</v>
      </c>
      <c r="E695" s="10" t="s">
        <v>538</v>
      </c>
      <c r="F695" s="10" t="str">
        <f>"2170577614 "</f>
        <v xml:space="preserve">2170577614 </v>
      </c>
      <c r="G695" s="10" t="str">
        <f t="shared" si="27"/>
        <v>ON1</v>
      </c>
      <c r="H695" s="10" t="s">
        <v>21</v>
      </c>
      <c r="I695" s="10" t="s">
        <v>202</v>
      </c>
      <c r="J695" s="10" t="str">
        <f>""</f>
        <v/>
      </c>
      <c r="K695" s="10" t="str">
        <f>"PFES1162560841_0001"</f>
        <v>PFES1162560841_0001</v>
      </c>
      <c r="L695" s="10">
        <v>1</v>
      </c>
      <c r="M695" s="10">
        <v>1</v>
      </c>
    </row>
    <row r="696" spans="1:13">
      <c r="A696" s="8">
        <v>42922</v>
      </c>
      <c r="B696" s="9">
        <v>0.48125000000000001</v>
      </c>
      <c r="C696" s="10" t="str">
        <f>"FES1162560820"</f>
        <v>FES1162560820</v>
      </c>
      <c r="D696" s="10" t="s">
        <v>19</v>
      </c>
      <c r="E696" s="10" t="s">
        <v>266</v>
      </c>
      <c r="F696" s="10" t="str">
        <f>"2170574313 "</f>
        <v xml:space="preserve">2170574313 </v>
      </c>
      <c r="G696" s="10" t="str">
        <f t="shared" si="27"/>
        <v>ON1</v>
      </c>
      <c r="H696" s="10" t="s">
        <v>21</v>
      </c>
      <c r="I696" s="10" t="s">
        <v>267</v>
      </c>
      <c r="J696" s="10" t="str">
        <f>""</f>
        <v/>
      </c>
      <c r="K696" s="10" t="str">
        <f>"PFES1162560820_0001"</f>
        <v>PFES1162560820_0001</v>
      </c>
      <c r="L696" s="10">
        <v>1</v>
      </c>
      <c r="M696" s="10">
        <v>1</v>
      </c>
    </row>
    <row r="697" spans="1:13">
      <c r="A697" s="8">
        <v>42922</v>
      </c>
      <c r="B697" s="9">
        <v>0.48055555555555557</v>
      </c>
      <c r="C697" s="10" t="str">
        <f>"FES1162560833"</f>
        <v>FES1162560833</v>
      </c>
      <c r="D697" s="10" t="s">
        <v>19</v>
      </c>
      <c r="E697" s="10" t="s">
        <v>539</v>
      </c>
      <c r="F697" s="10" t="str">
        <f>"2170577607 "</f>
        <v xml:space="preserve">2170577607 </v>
      </c>
      <c r="G697" s="10" t="str">
        <f t="shared" si="27"/>
        <v>ON1</v>
      </c>
      <c r="H697" s="10" t="s">
        <v>21</v>
      </c>
      <c r="I697" s="10" t="s">
        <v>540</v>
      </c>
      <c r="J697" s="10" t="str">
        <f>""</f>
        <v/>
      </c>
      <c r="K697" s="10" t="str">
        <f>"PFES1162560833_0001"</f>
        <v>PFES1162560833_0001</v>
      </c>
      <c r="L697" s="10">
        <v>1</v>
      </c>
      <c r="M697" s="10">
        <v>1</v>
      </c>
    </row>
    <row r="698" spans="1:13">
      <c r="A698" s="8">
        <v>42922</v>
      </c>
      <c r="B698" s="9">
        <v>0.48055555555555557</v>
      </c>
      <c r="C698" s="10" t="str">
        <f>"FES1162560698"</f>
        <v>FES1162560698</v>
      </c>
      <c r="D698" s="10" t="s">
        <v>19</v>
      </c>
      <c r="E698" s="10" t="s">
        <v>33</v>
      </c>
      <c r="F698" s="10" t="str">
        <f>"2170575355 "</f>
        <v xml:space="preserve">2170575355 </v>
      </c>
      <c r="G698" s="10" t="str">
        <f t="shared" si="27"/>
        <v>ON1</v>
      </c>
      <c r="H698" s="10" t="s">
        <v>21</v>
      </c>
      <c r="I698" s="10" t="s">
        <v>34</v>
      </c>
      <c r="J698" s="10" t="str">
        <f>""</f>
        <v/>
      </c>
      <c r="K698" s="10" t="str">
        <f>"PFES1162560698_0001"</f>
        <v>PFES1162560698_0001</v>
      </c>
      <c r="L698" s="10">
        <v>1</v>
      </c>
      <c r="M698" s="10">
        <v>1</v>
      </c>
    </row>
    <row r="699" spans="1:13">
      <c r="A699" s="8">
        <v>42922</v>
      </c>
      <c r="B699" s="9">
        <v>0.47986111111111113</v>
      </c>
      <c r="C699" s="10" t="str">
        <f>"FES1162560738"</f>
        <v>FES1162560738</v>
      </c>
      <c r="D699" s="10" t="s">
        <v>19</v>
      </c>
      <c r="E699" s="10" t="s">
        <v>541</v>
      </c>
      <c r="F699" s="10" t="str">
        <f>"2170575317 "</f>
        <v xml:space="preserve">2170575317 </v>
      </c>
      <c r="G699" s="10" t="str">
        <f t="shared" si="27"/>
        <v>ON1</v>
      </c>
      <c r="H699" s="10" t="s">
        <v>21</v>
      </c>
      <c r="I699" s="10" t="s">
        <v>542</v>
      </c>
      <c r="J699" s="10" t="str">
        <f>""</f>
        <v/>
      </c>
      <c r="K699" s="10" t="str">
        <f>"PFES1162560738_0001"</f>
        <v>PFES1162560738_0001</v>
      </c>
      <c r="L699" s="10">
        <v>1</v>
      </c>
      <c r="M699" s="10">
        <v>1</v>
      </c>
    </row>
    <row r="700" spans="1:13">
      <c r="A700" s="8">
        <v>42922</v>
      </c>
      <c r="B700" s="9">
        <v>0.47986111111111113</v>
      </c>
      <c r="C700" s="10" t="str">
        <f>"FES1162560706"</f>
        <v>FES1162560706</v>
      </c>
      <c r="D700" s="10" t="s">
        <v>19</v>
      </c>
      <c r="E700" s="10" t="s">
        <v>543</v>
      </c>
      <c r="F700" s="10" t="str">
        <f>"2170577270 "</f>
        <v xml:space="preserve">2170577270 </v>
      </c>
      <c r="G700" s="10" t="str">
        <f t="shared" si="27"/>
        <v>ON1</v>
      </c>
      <c r="H700" s="10" t="s">
        <v>21</v>
      </c>
      <c r="I700" s="10" t="s">
        <v>300</v>
      </c>
      <c r="J700" s="10" t="str">
        <f>""</f>
        <v/>
      </c>
      <c r="K700" s="10" t="str">
        <f>"PFES1162560706_0001"</f>
        <v>PFES1162560706_0001</v>
      </c>
      <c r="L700" s="10">
        <v>1</v>
      </c>
      <c r="M700" s="10">
        <v>1</v>
      </c>
    </row>
    <row r="701" spans="1:13">
      <c r="A701" s="8">
        <v>42922</v>
      </c>
      <c r="B701" s="9">
        <v>0.47916666666666669</v>
      </c>
      <c r="C701" s="10" t="str">
        <f>"FES1162560699"</f>
        <v>FES1162560699</v>
      </c>
      <c r="D701" s="10" t="s">
        <v>19</v>
      </c>
      <c r="E701" s="10" t="s">
        <v>99</v>
      </c>
      <c r="F701" s="10" t="str">
        <f>"2170575411 "</f>
        <v xml:space="preserve">2170575411 </v>
      </c>
      <c r="G701" s="10" t="str">
        <f t="shared" si="27"/>
        <v>ON1</v>
      </c>
      <c r="H701" s="10" t="s">
        <v>21</v>
      </c>
      <c r="I701" s="10" t="s">
        <v>100</v>
      </c>
      <c r="J701" s="10" t="str">
        <f>""</f>
        <v/>
      </c>
      <c r="K701" s="10" t="str">
        <f>"PFES1162560699_0001"</f>
        <v>PFES1162560699_0001</v>
      </c>
      <c r="L701" s="10">
        <v>1</v>
      </c>
      <c r="M701" s="10">
        <v>1</v>
      </c>
    </row>
    <row r="702" spans="1:13">
      <c r="A702" s="8">
        <v>42922</v>
      </c>
      <c r="B702" s="9">
        <v>0.47916666666666669</v>
      </c>
      <c r="C702" s="10" t="str">
        <f>"FES1162560748"</f>
        <v>FES1162560748</v>
      </c>
      <c r="D702" s="10" t="s">
        <v>19</v>
      </c>
      <c r="E702" s="10" t="s">
        <v>544</v>
      </c>
      <c r="F702" s="10" t="str">
        <f>"2170575442 "</f>
        <v xml:space="preserve">2170575442 </v>
      </c>
      <c r="G702" s="10" t="str">
        <f t="shared" si="27"/>
        <v>ON1</v>
      </c>
      <c r="H702" s="10" t="s">
        <v>21</v>
      </c>
      <c r="I702" s="10" t="s">
        <v>545</v>
      </c>
      <c r="J702" s="10" t="str">
        <f>""</f>
        <v/>
      </c>
      <c r="K702" s="10" t="str">
        <f>"PFES1162560748_0001"</f>
        <v>PFES1162560748_0001</v>
      </c>
      <c r="L702" s="10">
        <v>1</v>
      </c>
      <c r="M702" s="10">
        <v>1</v>
      </c>
    </row>
    <row r="703" spans="1:13">
      <c r="A703" s="8">
        <v>42922</v>
      </c>
      <c r="B703" s="9">
        <v>0.47916666666666669</v>
      </c>
      <c r="C703" s="10" t="str">
        <f>"FES1162560727"</f>
        <v>FES1162560727</v>
      </c>
      <c r="D703" s="10" t="s">
        <v>19</v>
      </c>
      <c r="E703" s="10" t="s">
        <v>369</v>
      </c>
      <c r="F703" s="10" t="str">
        <f>"2170572627 "</f>
        <v xml:space="preserve">2170572627 </v>
      </c>
      <c r="G703" s="10" t="str">
        <f t="shared" si="27"/>
        <v>ON1</v>
      </c>
      <c r="H703" s="10" t="s">
        <v>21</v>
      </c>
      <c r="I703" s="10" t="s">
        <v>183</v>
      </c>
      <c r="J703" s="10" t="str">
        <f>""</f>
        <v/>
      </c>
      <c r="K703" s="10" t="str">
        <f>"PFES1162560727_0001"</f>
        <v>PFES1162560727_0001</v>
      </c>
      <c r="L703" s="10">
        <v>1</v>
      </c>
      <c r="M703" s="10">
        <v>1</v>
      </c>
    </row>
    <row r="704" spans="1:13">
      <c r="A704" s="8">
        <v>42922</v>
      </c>
      <c r="B704" s="9">
        <v>0.47847222222222219</v>
      </c>
      <c r="C704" s="10" t="str">
        <f>"FES1162560702"</f>
        <v>FES1162560702</v>
      </c>
      <c r="D704" s="10" t="s">
        <v>19</v>
      </c>
      <c r="E704" s="10" t="s">
        <v>33</v>
      </c>
      <c r="F704" s="10" t="str">
        <f>"2170575571 "</f>
        <v xml:space="preserve">2170575571 </v>
      </c>
      <c r="G704" s="10" t="str">
        <f t="shared" si="27"/>
        <v>ON1</v>
      </c>
      <c r="H704" s="10" t="s">
        <v>21</v>
      </c>
      <c r="I704" s="10" t="s">
        <v>34</v>
      </c>
      <c r="J704" s="10" t="str">
        <f>""</f>
        <v/>
      </c>
      <c r="K704" s="10" t="str">
        <f>"PFES1162560702_0001"</f>
        <v>PFES1162560702_0001</v>
      </c>
      <c r="L704" s="10">
        <v>1</v>
      </c>
      <c r="M704" s="10">
        <v>1</v>
      </c>
    </row>
    <row r="705" spans="1:13">
      <c r="A705" s="8">
        <v>42922</v>
      </c>
      <c r="B705" s="9">
        <v>0.4777777777777778</v>
      </c>
      <c r="C705" s="10" t="str">
        <f>"FES1162560752"</f>
        <v>FES1162560752</v>
      </c>
      <c r="D705" s="10" t="s">
        <v>19</v>
      </c>
      <c r="E705" s="10" t="s">
        <v>326</v>
      </c>
      <c r="F705" s="10" t="str">
        <f>"2170575485 "</f>
        <v xml:space="preserve">2170575485 </v>
      </c>
      <c r="G705" s="10" t="str">
        <f t="shared" si="27"/>
        <v>ON1</v>
      </c>
      <c r="H705" s="10" t="s">
        <v>21</v>
      </c>
      <c r="I705" s="10" t="s">
        <v>327</v>
      </c>
      <c r="J705" s="10" t="str">
        <f>""</f>
        <v/>
      </c>
      <c r="K705" s="10" t="str">
        <f>"PFES1162560752_0001"</f>
        <v>PFES1162560752_0001</v>
      </c>
      <c r="L705" s="10">
        <v>1</v>
      </c>
      <c r="M705" s="10">
        <v>1</v>
      </c>
    </row>
    <row r="706" spans="1:13">
      <c r="A706" s="8">
        <v>42922</v>
      </c>
      <c r="B706" s="9">
        <v>0.4777777777777778</v>
      </c>
      <c r="C706" s="10" t="str">
        <f>"FES1162560760"</f>
        <v>FES1162560760</v>
      </c>
      <c r="D706" s="10" t="s">
        <v>19</v>
      </c>
      <c r="E706" s="10" t="s">
        <v>33</v>
      </c>
      <c r="F706" s="10" t="str">
        <f>"2170575571 "</f>
        <v xml:space="preserve">2170575571 </v>
      </c>
      <c r="G706" s="10" t="str">
        <f t="shared" si="27"/>
        <v>ON1</v>
      </c>
      <c r="H706" s="10" t="s">
        <v>21</v>
      </c>
      <c r="I706" s="10" t="s">
        <v>34</v>
      </c>
      <c r="J706" s="10" t="str">
        <f>""</f>
        <v/>
      </c>
      <c r="K706" s="10" t="str">
        <f>"PFES1162560760_0001"</f>
        <v>PFES1162560760_0001</v>
      </c>
      <c r="L706" s="10">
        <v>1</v>
      </c>
      <c r="M706" s="10">
        <v>1</v>
      </c>
    </row>
    <row r="707" spans="1:13">
      <c r="A707" s="8">
        <v>42922</v>
      </c>
      <c r="B707" s="9">
        <v>0.4777777777777778</v>
      </c>
      <c r="C707" s="10" t="str">
        <f>"FES1162560725"</f>
        <v>FES1162560725</v>
      </c>
      <c r="D707" s="10" t="s">
        <v>19</v>
      </c>
      <c r="E707" s="10" t="s">
        <v>396</v>
      </c>
      <c r="F707" s="10" t="str">
        <f>"2170572261 "</f>
        <v xml:space="preserve">2170572261 </v>
      </c>
      <c r="G707" s="10" t="str">
        <f t="shared" si="27"/>
        <v>ON1</v>
      </c>
      <c r="H707" s="10" t="s">
        <v>21</v>
      </c>
      <c r="I707" s="10" t="s">
        <v>340</v>
      </c>
      <c r="J707" s="10" t="str">
        <f>""</f>
        <v/>
      </c>
      <c r="K707" s="10" t="str">
        <f>"PFES1162560725_0001"</f>
        <v>PFES1162560725_0001</v>
      </c>
      <c r="L707" s="10">
        <v>1</v>
      </c>
      <c r="M707" s="10">
        <v>1</v>
      </c>
    </row>
    <row r="708" spans="1:13">
      <c r="A708" s="8">
        <v>42922</v>
      </c>
      <c r="B708" s="9">
        <v>0.4770833333333333</v>
      </c>
      <c r="C708" s="10" t="str">
        <f>"FES1162560732"</f>
        <v>FES1162560732</v>
      </c>
      <c r="D708" s="10" t="s">
        <v>19</v>
      </c>
      <c r="E708" s="10" t="s">
        <v>295</v>
      </c>
      <c r="F708" s="10" t="str">
        <f>"2170574557 "</f>
        <v xml:space="preserve">2170574557 </v>
      </c>
      <c r="G708" s="10" t="str">
        <f t="shared" si="27"/>
        <v>ON1</v>
      </c>
      <c r="H708" s="10" t="s">
        <v>21</v>
      </c>
      <c r="I708" s="10" t="s">
        <v>179</v>
      </c>
      <c r="J708" s="10" t="str">
        <f>""</f>
        <v/>
      </c>
      <c r="K708" s="10" t="str">
        <f>"PFES1162560732_0001"</f>
        <v>PFES1162560732_0001</v>
      </c>
      <c r="L708" s="10">
        <v>1</v>
      </c>
      <c r="M708" s="10">
        <v>1</v>
      </c>
    </row>
    <row r="709" spans="1:13">
      <c r="A709" s="8">
        <v>42922</v>
      </c>
      <c r="B709" s="9">
        <v>0.4770833333333333</v>
      </c>
      <c r="C709" s="10" t="str">
        <f>"FES1162560790"</f>
        <v>FES1162560790</v>
      </c>
      <c r="D709" s="10" t="s">
        <v>19</v>
      </c>
      <c r="E709" s="10" t="s">
        <v>391</v>
      </c>
      <c r="F709" s="10" t="str">
        <f>"2170572991 "</f>
        <v xml:space="preserve">2170572991 </v>
      </c>
      <c r="G709" s="10" t="str">
        <f t="shared" si="27"/>
        <v>ON1</v>
      </c>
      <c r="H709" s="10" t="s">
        <v>21</v>
      </c>
      <c r="I709" s="10" t="s">
        <v>183</v>
      </c>
      <c r="J709" s="10" t="str">
        <f>""</f>
        <v/>
      </c>
      <c r="K709" s="10" t="str">
        <f>"PFES1162560790_0001"</f>
        <v>PFES1162560790_0001</v>
      </c>
      <c r="L709" s="10">
        <v>1</v>
      </c>
      <c r="M709" s="10">
        <v>1</v>
      </c>
    </row>
    <row r="710" spans="1:13">
      <c r="A710" s="8">
        <v>42922</v>
      </c>
      <c r="B710" s="9">
        <v>0.47638888888888892</v>
      </c>
      <c r="C710" s="10" t="str">
        <f>"FES1162560734"</f>
        <v>FES1162560734</v>
      </c>
      <c r="D710" s="10" t="s">
        <v>19</v>
      </c>
      <c r="E710" s="10" t="s">
        <v>546</v>
      </c>
      <c r="F710" s="10" t="str">
        <f>"2170574634 "</f>
        <v xml:space="preserve">2170574634 </v>
      </c>
      <c r="G710" s="10" t="str">
        <f t="shared" si="27"/>
        <v>ON1</v>
      </c>
      <c r="H710" s="10" t="s">
        <v>21</v>
      </c>
      <c r="I710" s="10" t="s">
        <v>547</v>
      </c>
      <c r="J710" s="10" t="str">
        <f>""</f>
        <v/>
      </c>
      <c r="K710" s="10" t="str">
        <f>"PFES1162560734_0001"</f>
        <v>PFES1162560734_0001</v>
      </c>
      <c r="L710" s="10">
        <v>1</v>
      </c>
      <c r="M710" s="10">
        <v>1</v>
      </c>
    </row>
    <row r="711" spans="1:13">
      <c r="A711" s="8">
        <v>42922</v>
      </c>
      <c r="B711" s="9">
        <v>0.47638888888888892</v>
      </c>
      <c r="C711" s="10" t="str">
        <f>"FES1162560718"</f>
        <v>FES1162560718</v>
      </c>
      <c r="D711" s="10" t="s">
        <v>19</v>
      </c>
      <c r="E711" s="10" t="s">
        <v>548</v>
      </c>
      <c r="F711" s="10" t="str">
        <f>"2170570853 "</f>
        <v xml:space="preserve">2170570853 </v>
      </c>
      <c r="G711" s="10" t="str">
        <f t="shared" si="27"/>
        <v>ON1</v>
      </c>
      <c r="H711" s="10" t="s">
        <v>21</v>
      </c>
      <c r="I711" s="10" t="s">
        <v>90</v>
      </c>
      <c r="J711" s="10" t="str">
        <f>""</f>
        <v/>
      </c>
      <c r="K711" s="10" t="str">
        <f>"PFES1162560718_0001"</f>
        <v>PFES1162560718_0001</v>
      </c>
      <c r="L711" s="10">
        <v>1</v>
      </c>
      <c r="M711" s="10">
        <v>1</v>
      </c>
    </row>
    <row r="712" spans="1:13">
      <c r="A712" s="8">
        <v>42922</v>
      </c>
      <c r="B712" s="9">
        <v>0.47638888888888892</v>
      </c>
      <c r="C712" s="10" t="str">
        <f>"FES1162560749"</f>
        <v>FES1162560749</v>
      </c>
      <c r="D712" s="10" t="s">
        <v>19</v>
      </c>
      <c r="E712" s="10" t="s">
        <v>329</v>
      </c>
      <c r="F712" s="10" t="str">
        <f>"21705755455 "</f>
        <v xml:space="preserve">21705755455 </v>
      </c>
      <c r="G712" s="10" t="str">
        <f t="shared" si="27"/>
        <v>ON1</v>
      </c>
      <c r="H712" s="10" t="s">
        <v>21</v>
      </c>
      <c r="I712" s="10" t="s">
        <v>330</v>
      </c>
      <c r="J712" s="10" t="str">
        <f>""</f>
        <v/>
      </c>
      <c r="K712" s="10" t="str">
        <f>"PFES1162560749_0001"</f>
        <v>PFES1162560749_0001</v>
      </c>
      <c r="L712" s="10">
        <v>1</v>
      </c>
      <c r="M712" s="10">
        <v>1</v>
      </c>
    </row>
    <row r="713" spans="1:13">
      <c r="A713" s="8">
        <v>42922</v>
      </c>
      <c r="B713" s="9">
        <v>0.47569444444444442</v>
      </c>
      <c r="C713" s="10" t="str">
        <f>"FES1162560687"</f>
        <v>FES1162560687</v>
      </c>
      <c r="D713" s="10" t="s">
        <v>19</v>
      </c>
      <c r="E713" s="10" t="s">
        <v>381</v>
      </c>
      <c r="F713" s="10" t="str">
        <f>"2170577512 "</f>
        <v xml:space="preserve">2170577512 </v>
      </c>
      <c r="G713" s="10" t="str">
        <f t="shared" si="27"/>
        <v>ON1</v>
      </c>
      <c r="H713" s="10" t="s">
        <v>21</v>
      </c>
      <c r="I713" s="10" t="s">
        <v>149</v>
      </c>
      <c r="J713" s="10" t="str">
        <f>""</f>
        <v/>
      </c>
      <c r="K713" s="10" t="str">
        <f>"PFES1162560687_0001"</f>
        <v>PFES1162560687_0001</v>
      </c>
      <c r="L713" s="10">
        <v>1</v>
      </c>
      <c r="M713" s="10">
        <v>1</v>
      </c>
    </row>
    <row r="714" spans="1:13">
      <c r="A714" s="8">
        <v>42922</v>
      </c>
      <c r="B714" s="9">
        <v>0.47569444444444442</v>
      </c>
      <c r="C714" s="10" t="str">
        <f>"FES1162560757"</f>
        <v>FES1162560757</v>
      </c>
      <c r="D714" s="10" t="s">
        <v>19</v>
      </c>
      <c r="E714" s="10" t="s">
        <v>39</v>
      </c>
      <c r="F714" s="10" t="str">
        <f>"2170575552 "</f>
        <v xml:space="preserve">2170575552 </v>
      </c>
      <c r="G714" s="10" t="str">
        <f t="shared" si="27"/>
        <v>ON1</v>
      </c>
      <c r="H714" s="10" t="s">
        <v>21</v>
      </c>
      <c r="I714" s="10" t="s">
        <v>40</v>
      </c>
      <c r="J714" s="10" t="str">
        <f>""</f>
        <v/>
      </c>
      <c r="K714" s="10" t="str">
        <f>"PFES1162560757_0001"</f>
        <v>PFES1162560757_0001</v>
      </c>
      <c r="L714" s="10">
        <v>1</v>
      </c>
      <c r="M714" s="10">
        <v>1</v>
      </c>
    </row>
    <row r="715" spans="1:13">
      <c r="A715" s="8">
        <v>42922</v>
      </c>
      <c r="B715" s="9">
        <v>0.47569444444444442</v>
      </c>
      <c r="C715" s="10" t="str">
        <f>"FES1162560764"</f>
        <v>FES1162560764</v>
      </c>
      <c r="D715" s="10" t="s">
        <v>19</v>
      </c>
      <c r="E715" s="10" t="s">
        <v>450</v>
      </c>
      <c r="F715" s="10" t="str">
        <f>"2170575610 "</f>
        <v xml:space="preserve">2170575610 </v>
      </c>
      <c r="G715" s="10" t="str">
        <f t="shared" si="27"/>
        <v>ON1</v>
      </c>
      <c r="H715" s="10" t="s">
        <v>21</v>
      </c>
      <c r="I715" s="10" t="s">
        <v>259</v>
      </c>
      <c r="J715" s="10" t="str">
        <f>""</f>
        <v/>
      </c>
      <c r="K715" s="10" t="str">
        <f>"PFES1162560764_0001"</f>
        <v>PFES1162560764_0001</v>
      </c>
      <c r="L715" s="10">
        <v>1</v>
      </c>
      <c r="M715" s="10">
        <v>1</v>
      </c>
    </row>
    <row r="716" spans="1:13">
      <c r="A716" s="8">
        <v>42922</v>
      </c>
      <c r="B716" s="9">
        <v>0.47500000000000003</v>
      </c>
      <c r="C716" s="10" t="str">
        <f>"FES1162560707"</f>
        <v>FES1162560707</v>
      </c>
      <c r="D716" s="10" t="s">
        <v>19</v>
      </c>
      <c r="E716" s="10" t="s">
        <v>143</v>
      </c>
      <c r="F716" s="10" t="str">
        <f>"2170577407 "</f>
        <v xml:space="preserve">2170577407 </v>
      </c>
      <c r="G716" s="10" t="str">
        <f t="shared" si="27"/>
        <v>ON1</v>
      </c>
      <c r="H716" s="10" t="s">
        <v>21</v>
      </c>
      <c r="I716" s="10" t="s">
        <v>121</v>
      </c>
      <c r="J716" s="10" t="str">
        <f>""</f>
        <v/>
      </c>
      <c r="K716" s="10" t="str">
        <f>"PFES1162560707_0001"</f>
        <v>PFES1162560707_0001</v>
      </c>
      <c r="L716" s="10">
        <v>1</v>
      </c>
      <c r="M716" s="10">
        <v>1</v>
      </c>
    </row>
    <row r="717" spans="1:13">
      <c r="A717" s="8">
        <v>42922</v>
      </c>
      <c r="B717" s="9">
        <v>0.47500000000000003</v>
      </c>
      <c r="C717" s="10" t="str">
        <f>"FES1162560763"</f>
        <v>FES1162560763</v>
      </c>
      <c r="D717" s="10" t="s">
        <v>19</v>
      </c>
      <c r="E717" s="10" t="s">
        <v>243</v>
      </c>
      <c r="F717" s="10" t="str">
        <f>"2170575608 "</f>
        <v xml:space="preserve">2170575608 </v>
      </c>
      <c r="G717" s="10" t="str">
        <f t="shared" si="27"/>
        <v>ON1</v>
      </c>
      <c r="H717" s="10" t="s">
        <v>21</v>
      </c>
      <c r="I717" s="10" t="s">
        <v>244</v>
      </c>
      <c r="J717" s="10" t="str">
        <f>""</f>
        <v/>
      </c>
      <c r="K717" s="10" t="str">
        <f>"PFES1162560763_0001"</f>
        <v>PFES1162560763_0001</v>
      </c>
      <c r="L717" s="10">
        <v>1</v>
      </c>
      <c r="M717" s="10">
        <v>1</v>
      </c>
    </row>
    <row r="718" spans="1:13">
      <c r="A718" s="8">
        <v>42922</v>
      </c>
      <c r="B718" s="9">
        <v>0.47430555555555554</v>
      </c>
      <c r="C718" s="10" t="str">
        <f>"FES1162560708"</f>
        <v>FES1162560708</v>
      </c>
      <c r="D718" s="10" t="s">
        <v>19</v>
      </c>
      <c r="E718" s="10" t="s">
        <v>549</v>
      </c>
      <c r="F718" s="10" t="str">
        <f>"2170577518 "</f>
        <v xml:space="preserve">2170577518 </v>
      </c>
      <c r="G718" s="10" t="str">
        <f t="shared" si="27"/>
        <v>ON1</v>
      </c>
      <c r="H718" s="10" t="s">
        <v>21</v>
      </c>
      <c r="I718" s="10" t="s">
        <v>224</v>
      </c>
      <c r="J718" s="10" t="str">
        <f>""</f>
        <v/>
      </c>
      <c r="K718" s="10" t="str">
        <f>"PFES1162560708_0001"</f>
        <v>PFES1162560708_0001</v>
      </c>
      <c r="L718" s="10">
        <v>1</v>
      </c>
      <c r="M718" s="10">
        <v>1</v>
      </c>
    </row>
    <row r="719" spans="1:13">
      <c r="A719" s="8">
        <v>42922</v>
      </c>
      <c r="B719" s="9">
        <v>0.47430555555555554</v>
      </c>
      <c r="C719" s="10" t="str">
        <f>"FES1162560703"</f>
        <v>FES1162560703</v>
      </c>
      <c r="D719" s="10" t="s">
        <v>19</v>
      </c>
      <c r="E719" s="10" t="s">
        <v>550</v>
      </c>
      <c r="F719" s="10" t="str">
        <f>"2170576397 "</f>
        <v xml:space="preserve">2170576397 </v>
      </c>
      <c r="G719" s="10" t="str">
        <f t="shared" si="27"/>
        <v>ON1</v>
      </c>
      <c r="H719" s="10" t="s">
        <v>21</v>
      </c>
      <c r="I719" s="10" t="s">
        <v>161</v>
      </c>
      <c r="J719" s="10" t="str">
        <f>""</f>
        <v/>
      </c>
      <c r="K719" s="10" t="str">
        <f>"PFES1162560703_0001"</f>
        <v>PFES1162560703_0001</v>
      </c>
      <c r="L719" s="10">
        <v>1</v>
      </c>
      <c r="M719" s="10">
        <v>1</v>
      </c>
    </row>
    <row r="720" spans="1:13">
      <c r="A720" s="8">
        <v>42922</v>
      </c>
      <c r="B720" s="9">
        <v>0.47361111111111115</v>
      </c>
      <c r="C720" s="10" t="str">
        <f>"FES1162560711"</f>
        <v>FES1162560711</v>
      </c>
      <c r="D720" s="10" t="s">
        <v>19</v>
      </c>
      <c r="E720" s="10" t="s">
        <v>551</v>
      </c>
      <c r="F720" s="10" t="str">
        <f>"2170575292 "</f>
        <v xml:space="preserve">2170575292 </v>
      </c>
      <c r="G720" s="10" t="str">
        <f t="shared" si="27"/>
        <v>ON1</v>
      </c>
      <c r="H720" s="10" t="s">
        <v>21</v>
      </c>
      <c r="I720" s="10" t="s">
        <v>163</v>
      </c>
      <c r="J720" s="10" t="str">
        <f>""</f>
        <v/>
      </c>
      <c r="K720" s="10" t="str">
        <f>"PFES1162560711_0001"</f>
        <v>PFES1162560711_0001</v>
      </c>
      <c r="L720" s="10">
        <v>1</v>
      </c>
      <c r="M720" s="10">
        <v>1</v>
      </c>
    </row>
    <row r="721" spans="1:13">
      <c r="A721" s="8">
        <v>42922</v>
      </c>
      <c r="B721" s="9">
        <v>0.47361111111111115</v>
      </c>
      <c r="C721" s="10" t="str">
        <f>"FES1162560755"</f>
        <v>FES1162560755</v>
      </c>
      <c r="D721" s="10" t="s">
        <v>19</v>
      </c>
      <c r="E721" s="10" t="s">
        <v>404</v>
      </c>
      <c r="F721" s="10" t="str">
        <f>"2170575523 "</f>
        <v xml:space="preserve">2170575523 </v>
      </c>
      <c r="G721" s="10" t="str">
        <f t="shared" si="27"/>
        <v>ON1</v>
      </c>
      <c r="H721" s="10" t="s">
        <v>21</v>
      </c>
      <c r="I721" s="10" t="s">
        <v>405</v>
      </c>
      <c r="J721" s="10" t="str">
        <f>""</f>
        <v/>
      </c>
      <c r="K721" s="10" t="str">
        <f>"PFES1162560755_0001"</f>
        <v>PFES1162560755_0001</v>
      </c>
      <c r="L721" s="10">
        <v>1</v>
      </c>
      <c r="M721" s="10">
        <v>1</v>
      </c>
    </row>
    <row r="722" spans="1:13">
      <c r="A722" s="8">
        <v>42922</v>
      </c>
      <c r="B722" s="9">
        <v>0.47291666666666665</v>
      </c>
      <c r="C722" s="10" t="str">
        <f>"FES1162560759"</f>
        <v>FES1162560759</v>
      </c>
      <c r="D722" s="10" t="s">
        <v>19</v>
      </c>
      <c r="E722" s="10" t="s">
        <v>552</v>
      </c>
      <c r="F722" s="10" t="str">
        <f>"21705775570 "</f>
        <v xml:space="preserve">21705775570 </v>
      </c>
      <c r="G722" s="10" t="str">
        <f t="shared" si="27"/>
        <v>ON1</v>
      </c>
      <c r="H722" s="10" t="s">
        <v>21</v>
      </c>
      <c r="I722" s="10" t="s">
        <v>553</v>
      </c>
      <c r="J722" s="10" t="str">
        <f>""</f>
        <v/>
      </c>
      <c r="K722" s="10" t="str">
        <f>"PFES1162560759_0001"</f>
        <v>PFES1162560759_0001</v>
      </c>
      <c r="L722" s="10">
        <v>1</v>
      </c>
      <c r="M722" s="10">
        <v>1</v>
      </c>
    </row>
    <row r="723" spans="1:13">
      <c r="A723" s="8">
        <v>42922</v>
      </c>
      <c r="B723" s="9">
        <v>0.47291666666666665</v>
      </c>
      <c r="C723" s="10" t="str">
        <f>"FES1162560756"</f>
        <v>FES1162560756</v>
      </c>
      <c r="D723" s="10" t="s">
        <v>19</v>
      </c>
      <c r="E723" s="10" t="s">
        <v>39</v>
      </c>
      <c r="F723" s="10" t="str">
        <f>"21705775548 "</f>
        <v xml:space="preserve">21705775548 </v>
      </c>
      <c r="G723" s="10" t="str">
        <f t="shared" si="27"/>
        <v>ON1</v>
      </c>
      <c r="H723" s="10" t="s">
        <v>21</v>
      </c>
      <c r="I723" s="10" t="s">
        <v>40</v>
      </c>
      <c r="J723" s="10" t="str">
        <f>""</f>
        <v/>
      </c>
      <c r="K723" s="10" t="str">
        <f>"PFES1162560756_0001"</f>
        <v>PFES1162560756_0001</v>
      </c>
      <c r="L723" s="10">
        <v>1</v>
      </c>
      <c r="M723" s="10">
        <v>1</v>
      </c>
    </row>
    <row r="724" spans="1:13">
      <c r="A724" s="8">
        <v>42922</v>
      </c>
      <c r="B724" s="9">
        <v>0.47291666666666665</v>
      </c>
      <c r="C724" s="10" t="str">
        <f>"FES1162560758"</f>
        <v>FES1162560758</v>
      </c>
      <c r="D724" s="10" t="s">
        <v>19</v>
      </c>
      <c r="E724" s="10" t="s">
        <v>33</v>
      </c>
      <c r="F724" s="10" t="str">
        <f>"21705775557 "</f>
        <v xml:space="preserve">21705775557 </v>
      </c>
      <c r="G724" s="10" t="str">
        <f t="shared" si="27"/>
        <v>ON1</v>
      </c>
      <c r="H724" s="10" t="s">
        <v>21</v>
      </c>
      <c r="I724" s="10" t="s">
        <v>34</v>
      </c>
      <c r="J724" s="10" t="str">
        <f>""</f>
        <v/>
      </c>
      <c r="K724" s="10" t="str">
        <f>"PFES1162560758_0001"</f>
        <v>PFES1162560758_0001</v>
      </c>
      <c r="L724" s="10">
        <v>1</v>
      </c>
      <c r="M724" s="10">
        <v>1</v>
      </c>
    </row>
    <row r="725" spans="1:13">
      <c r="A725" s="8">
        <v>42922</v>
      </c>
      <c r="B725" s="9">
        <v>0.47222222222222227</v>
      </c>
      <c r="C725" s="10" t="str">
        <f>"FES1162560846"</f>
        <v>FES1162560846</v>
      </c>
      <c r="D725" s="10" t="s">
        <v>19</v>
      </c>
      <c r="E725" s="10" t="s">
        <v>190</v>
      </c>
      <c r="F725" s="10" t="str">
        <f>"2170577620 "</f>
        <v xml:space="preserve">2170577620 </v>
      </c>
      <c r="G725" s="10" t="str">
        <f t="shared" si="27"/>
        <v>ON1</v>
      </c>
      <c r="H725" s="10" t="s">
        <v>21</v>
      </c>
      <c r="I725" s="10" t="s">
        <v>52</v>
      </c>
      <c r="J725" s="10" t="str">
        <f>""</f>
        <v/>
      </c>
      <c r="K725" s="10" t="str">
        <f>"PFES1162560846_0001"</f>
        <v>PFES1162560846_0001</v>
      </c>
      <c r="L725" s="10">
        <v>1</v>
      </c>
      <c r="M725" s="10">
        <v>1</v>
      </c>
    </row>
    <row r="726" spans="1:13">
      <c r="A726" s="8">
        <v>42922</v>
      </c>
      <c r="B726" s="9">
        <v>0.47222222222222227</v>
      </c>
      <c r="C726" s="10" t="str">
        <f>"FES1162560818"</f>
        <v>FES1162560818</v>
      </c>
      <c r="D726" s="10" t="s">
        <v>19</v>
      </c>
      <c r="E726" s="10" t="s">
        <v>255</v>
      </c>
      <c r="F726" s="10" t="str">
        <f>"2170575691 "</f>
        <v xml:space="preserve">2170575691 </v>
      </c>
      <c r="G726" s="10" t="str">
        <f t="shared" si="27"/>
        <v>ON1</v>
      </c>
      <c r="H726" s="10" t="s">
        <v>21</v>
      </c>
      <c r="I726" s="10" t="s">
        <v>256</v>
      </c>
      <c r="J726" s="10" t="str">
        <f>""</f>
        <v/>
      </c>
      <c r="K726" s="10" t="str">
        <f>"PFES1162560818_0001"</f>
        <v>PFES1162560818_0001</v>
      </c>
      <c r="L726" s="10">
        <v>1</v>
      </c>
      <c r="M726" s="10">
        <v>1</v>
      </c>
    </row>
    <row r="727" spans="1:13">
      <c r="A727" s="8">
        <v>42922</v>
      </c>
      <c r="B727" s="9">
        <v>0.47083333333333338</v>
      </c>
      <c r="C727" s="10" t="str">
        <f>"FES1162560805"</f>
        <v>FES1162560805</v>
      </c>
      <c r="D727" s="10" t="s">
        <v>19</v>
      </c>
      <c r="E727" s="10" t="s">
        <v>436</v>
      </c>
      <c r="F727" s="10" t="str">
        <f>"2170577259 "</f>
        <v xml:space="preserve">2170577259 </v>
      </c>
      <c r="G727" s="10" t="str">
        <f t="shared" ref="G727:G779" si="28">"ON1"</f>
        <v>ON1</v>
      </c>
      <c r="H727" s="10" t="s">
        <v>21</v>
      </c>
      <c r="I727" s="10" t="s">
        <v>252</v>
      </c>
      <c r="J727" s="10" t="str">
        <f>""</f>
        <v/>
      </c>
      <c r="K727" s="10" t="str">
        <f>"PFES1162560805_0001"</f>
        <v>PFES1162560805_0001</v>
      </c>
      <c r="L727" s="10">
        <v>1</v>
      </c>
      <c r="M727" s="10">
        <v>6</v>
      </c>
    </row>
    <row r="728" spans="1:13">
      <c r="A728" s="8">
        <v>42922</v>
      </c>
      <c r="B728" s="9">
        <v>0.47083333333333338</v>
      </c>
      <c r="C728" s="10" t="str">
        <f>"FES1162560733"</f>
        <v>FES1162560733</v>
      </c>
      <c r="D728" s="10" t="s">
        <v>19</v>
      </c>
      <c r="E728" s="10" t="s">
        <v>295</v>
      </c>
      <c r="F728" s="10" t="str">
        <f>"2170574558 "</f>
        <v xml:space="preserve">2170574558 </v>
      </c>
      <c r="G728" s="10" t="str">
        <f t="shared" si="28"/>
        <v>ON1</v>
      </c>
      <c r="H728" s="10" t="s">
        <v>21</v>
      </c>
      <c r="I728" s="10" t="s">
        <v>179</v>
      </c>
      <c r="J728" s="10" t="str">
        <f>""</f>
        <v/>
      </c>
      <c r="K728" s="10" t="str">
        <f>"PFES1162560733_0001"</f>
        <v>PFES1162560733_0001</v>
      </c>
      <c r="L728" s="10">
        <v>1</v>
      </c>
      <c r="M728" s="10">
        <v>1</v>
      </c>
    </row>
    <row r="729" spans="1:13">
      <c r="A729" s="8">
        <v>42922</v>
      </c>
      <c r="B729" s="9">
        <v>0.47013888888888888</v>
      </c>
      <c r="C729" s="10" t="str">
        <f>"FES1162560747"</f>
        <v>FES1162560747</v>
      </c>
      <c r="D729" s="10" t="s">
        <v>19</v>
      </c>
      <c r="E729" s="10" t="s">
        <v>554</v>
      </c>
      <c r="F729" s="10" t="str">
        <f>"2170575423 "</f>
        <v xml:space="preserve">2170575423 </v>
      </c>
      <c r="G729" s="10" t="str">
        <f t="shared" si="28"/>
        <v>ON1</v>
      </c>
      <c r="H729" s="10" t="s">
        <v>21</v>
      </c>
      <c r="I729" s="10" t="s">
        <v>179</v>
      </c>
      <c r="J729" s="10" t="str">
        <f>""</f>
        <v/>
      </c>
      <c r="K729" s="10" t="str">
        <f>"PFES1162560747_0001"</f>
        <v>PFES1162560747_0001</v>
      </c>
      <c r="L729" s="10">
        <v>1</v>
      </c>
      <c r="M729" s="10">
        <v>3</v>
      </c>
    </row>
    <row r="730" spans="1:13">
      <c r="A730" s="8">
        <v>42922</v>
      </c>
      <c r="B730" s="9">
        <v>0.47013888888888888</v>
      </c>
      <c r="C730" s="10" t="str">
        <f>"FES1162560743"</f>
        <v>FES1162560743</v>
      </c>
      <c r="D730" s="10" t="s">
        <v>19</v>
      </c>
      <c r="E730" s="10" t="s">
        <v>49</v>
      </c>
      <c r="F730" s="10" t="str">
        <f>"2170575271 "</f>
        <v xml:space="preserve">2170575271 </v>
      </c>
      <c r="G730" s="10" t="str">
        <f t="shared" si="28"/>
        <v>ON1</v>
      </c>
      <c r="H730" s="10" t="s">
        <v>21</v>
      </c>
      <c r="I730" s="10" t="s">
        <v>50</v>
      </c>
      <c r="J730" s="10" t="str">
        <f>""</f>
        <v/>
      </c>
      <c r="K730" s="10" t="str">
        <f>"PFES1162560743_0001"</f>
        <v>PFES1162560743_0001</v>
      </c>
      <c r="L730" s="10">
        <v>1</v>
      </c>
      <c r="M730" s="10">
        <v>3</v>
      </c>
    </row>
    <row r="731" spans="1:13">
      <c r="A731" s="8">
        <v>42922</v>
      </c>
      <c r="B731" s="9">
        <v>0.4694444444444445</v>
      </c>
      <c r="C731" s="10" t="str">
        <f>"FES1162560694"</f>
        <v>FES1162560694</v>
      </c>
      <c r="D731" s="10" t="s">
        <v>19</v>
      </c>
      <c r="E731" s="10" t="s">
        <v>555</v>
      </c>
      <c r="F731" s="10" t="str">
        <f>"2170577524 "</f>
        <v xml:space="preserve">2170577524 </v>
      </c>
      <c r="G731" s="10" t="str">
        <f t="shared" si="28"/>
        <v>ON1</v>
      </c>
      <c r="H731" s="10" t="s">
        <v>21</v>
      </c>
      <c r="I731" s="10" t="s">
        <v>168</v>
      </c>
      <c r="J731" s="10" t="str">
        <f>""</f>
        <v/>
      </c>
      <c r="K731" s="10" t="str">
        <f>"PFES1162560694_0001"</f>
        <v>PFES1162560694_0001</v>
      </c>
      <c r="L731" s="10">
        <v>1</v>
      </c>
      <c r="M731" s="10">
        <v>4</v>
      </c>
    </row>
    <row r="732" spans="1:13">
      <c r="A732" s="8">
        <v>42922</v>
      </c>
      <c r="B732" s="9">
        <v>0.4694444444444445</v>
      </c>
      <c r="C732" s="10" t="str">
        <f>"FES1162560839"</f>
        <v>FES1162560839</v>
      </c>
      <c r="D732" s="10" t="s">
        <v>19</v>
      </c>
      <c r="E732" s="10" t="s">
        <v>556</v>
      </c>
      <c r="F732" s="10" t="str">
        <f>"2170577359 "</f>
        <v xml:space="preserve">2170577359 </v>
      </c>
      <c r="G732" s="10" t="str">
        <f t="shared" si="28"/>
        <v>ON1</v>
      </c>
      <c r="H732" s="10" t="s">
        <v>21</v>
      </c>
      <c r="I732" s="10" t="s">
        <v>159</v>
      </c>
      <c r="J732" s="10" t="str">
        <f>""</f>
        <v/>
      </c>
      <c r="K732" s="10" t="str">
        <f>"PFES1162560839_0001"</f>
        <v>PFES1162560839_0001</v>
      </c>
      <c r="L732" s="10">
        <v>1</v>
      </c>
      <c r="M732" s="10">
        <v>2</v>
      </c>
    </row>
    <row r="733" spans="1:13">
      <c r="A733" s="8">
        <v>42922</v>
      </c>
      <c r="B733" s="9">
        <v>0.4680555555555555</v>
      </c>
      <c r="C733" s="10" t="str">
        <f>"FES1162560850"</f>
        <v>FES1162560850</v>
      </c>
      <c r="D733" s="10" t="s">
        <v>19</v>
      </c>
      <c r="E733" s="10" t="s">
        <v>190</v>
      </c>
      <c r="F733" s="10" t="str">
        <f>"2170577622 "</f>
        <v xml:space="preserve">2170577622 </v>
      </c>
      <c r="G733" s="10" t="str">
        <f t="shared" si="28"/>
        <v>ON1</v>
      </c>
      <c r="H733" s="10" t="s">
        <v>21</v>
      </c>
      <c r="I733" s="10" t="s">
        <v>52</v>
      </c>
      <c r="J733" s="10" t="str">
        <f>""</f>
        <v/>
      </c>
      <c r="K733" s="10" t="str">
        <f>"PFES1162560850_0001"</f>
        <v>PFES1162560850_0001</v>
      </c>
      <c r="L733" s="10">
        <v>1</v>
      </c>
      <c r="M733" s="10">
        <v>2</v>
      </c>
    </row>
    <row r="734" spans="1:13">
      <c r="A734" s="8">
        <v>42922</v>
      </c>
      <c r="B734" s="9">
        <v>0.46736111111111112</v>
      </c>
      <c r="C734" s="10" t="str">
        <f>"FES1162560726"</f>
        <v>FES1162560726</v>
      </c>
      <c r="D734" s="10" t="s">
        <v>19</v>
      </c>
      <c r="E734" s="10" t="s">
        <v>320</v>
      </c>
      <c r="F734" s="10" t="str">
        <f>"2170572623 "</f>
        <v xml:space="preserve">2170572623 </v>
      </c>
      <c r="G734" s="10" t="str">
        <f t="shared" si="28"/>
        <v>ON1</v>
      </c>
      <c r="H734" s="10" t="s">
        <v>21</v>
      </c>
      <c r="I734" s="10" t="s">
        <v>32</v>
      </c>
      <c r="J734" s="10" t="str">
        <f>""</f>
        <v/>
      </c>
      <c r="K734" s="10" t="str">
        <f>"PFES1162560726_0001"</f>
        <v>PFES1162560726_0001</v>
      </c>
      <c r="L734" s="10">
        <v>1</v>
      </c>
      <c r="M734" s="10">
        <v>1</v>
      </c>
    </row>
    <row r="735" spans="1:13">
      <c r="A735" s="8">
        <v>42922</v>
      </c>
      <c r="B735" s="9">
        <v>0.46666666666666662</v>
      </c>
      <c r="C735" s="10" t="str">
        <f>"FES1162560735"</f>
        <v>FES1162560735</v>
      </c>
      <c r="D735" s="10" t="s">
        <v>19</v>
      </c>
      <c r="E735" s="10" t="s">
        <v>249</v>
      </c>
      <c r="F735" s="10" t="str">
        <f>"2170574772 "</f>
        <v xml:space="preserve">2170574772 </v>
      </c>
      <c r="G735" s="10" t="str">
        <f t="shared" si="28"/>
        <v>ON1</v>
      </c>
      <c r="H735" s="10" t="s">
        <v>21</v>
      </c>
      <c r="I735" s="10" t="s">
        <v>166</v>
      </c>
      <c r="J735" s="10" t="str">
        <f>""</f>
        <v/>
      </c>
      <c r="K735" s="10" t="str">
        <f>"PFES1162560735_0001"</f>
        <v>PFES1162560735_0001</v>
      </c>
      <c r="L735" s="10">
        <v>1</v>
      </c>
      <c r="M735" s="10">
        <v>1</v>
      </c>
    </row>
    <row r="736" spans="1:13">
      <c r="A736" s="8">
        <v>42922</v>
      </c>
      <c r="B736" s="9">
        <v>0.46597222222222223</v>
      </c>
      <c r="C736" s="10" t="str">
        <f>"FES1162560853"</f>
        <v>FES1162560853</v>
      </c>
      <c r="D736" s="10" t="s">
        <v>19</v>
      </c>
      <c r="E736" s="10" t="s">
        <v>535</v>
      </c>
      <c r="F736" s="10" t="str">
        <f>"2170577629 "</f>
        <v xml:space="preserve">2170577629 </v>
      </c>
      <c r="G736" s="10" t="str">
        <f t="shared" si="28"/>
        <v>ON1</v>
      </c>
      <c r="H736" s="10" t="s">
        <v>21</v>
      </c>
      <c r="I736" s="10" t="s">
        <v>240</v>
      </c>
      <c r="J736" s="10" t="str">
        <f>""</f>
        <v/>
      </c>
      <c r="K736" s="10" t="str">
        <f>"PFES1162560853_0001"</f>
        <v>PFES1162560853_0001</v>
      </c>
      <c r="L736" s="10">
        <v>1</v>
      </c>
      <c r="M736" s="10">
        <v>2</v>
      </c>
    </row>
    <row r="737" spans="1:13">
      <c r="A737" s="8">
        <v>42922</v>
      </c>
      <c r="B737" s="9">
        <v>0.46597222222222223</v>
      </c>
      <c r="C737" s="10" t="str">
        <f>"FES1162560716"</f>
        <v>FES1162560716</v>
      </c>
      <c r="D737" s="10" t="s">
        <v>19</v>
      </c>
      <c r="E737" s="10" t="s">
        <v>237</v>
      </c>
      <c r="F737" s="10" t="str">
        <f>"2170569898 "</f>
        <v xml:space="preserve">2170569898 </v>
      </c>
      <c r="G737" s="10" t="str">
        <f t="shared" si="28"/>
        <v>ON1</v>
      </c>
      <c r="H737" s="10" t="s">
        <v>21</v>
      </c>
      <c r="I737" s="10" t="s">
        <v>238</v>
      </c>
      <c r="J737" s="10" t="str">
        <f>""</f>
        <v/>
      </c>
      <c r="K737" s="10" t="str">
        <f>"PFES1162560716_0001"</f>
        <v>PFES1162560716_0001</v>
      </c>
      <c r="L737" s="10">
        <v>1</v>
      </c>
      <c r="M737" s="10">
        <v>1</v>
      </c>
    </row>
    <row r="738" spans="1:13">
      <c r="A738" s="8">
        <v>42922</v>
      </c>
      <c r="B738" s="9">
        <v>0.46458333333333335</v>
      </c>
      <c r="C738" s="10" t="str">
        <f>"FES1162560784"</f>
        <v>FES1162560784</v>
      </c>
      <c r="D738" s="10" t="s">
        <v>19</v>
      </c>
      <c r="E738" s="10" t="s">
        <v>264</v>
      </c>
      <c r="F738" s="10" t="str">
        <f>"2170577548 "</f>
        <v xml:space="preserve">2170577548 </v>
      </c>
      <c r="G738" s="10" t="str">
        <f t="shared" si="28"/>
        <v>ON1</v>
      </c>
      <c r="H738" s="10" t="s">
        <v>21</v>
      </c>
      <c r="I738" s="10" t="s">
        <v>240</v>
      </c>
      <c r="J738" s="10" t="str">
        <f>""</f>
        <v/>
      </c>
      <c r="K738" s="10" t="str">
        <f>"PFES1162560784_0001"</f>
        <v>PFES1162560784_0001</v>
      </c>
      <c r="L738" s="10">
        <v>1</v>
      </c>
      <c r="M738" s="10">
        <v>1</v>
      </c>
    </row>
    <row r="739" spans="1:13">
      <c r="A739" s="8">
        <v>42922</v>
      </c>
      <c r="B739" s="9">
        <v>0.45763888888888887</v>
      </c>
      <c r="C739" s="10" t="str">
        <f>"FES1162560762"</f>
        <v>FES1162560762</v>
      </c>
      <c r="D739" s="10" t="s">
        <v>19</v>
      </c>
      <c r="E739" s="10" t="s">
        <v>268</v>
      </c>
      <c r="F739" s="10" t="str">
        <f>"2150575604 "</f>
        <v xml:space="preserve">2150575604 </v>
      </c>
      <c r="G739" s="10" t="str">
        <f t="shared" si="28"/>
        <v>ON1</v>
      </c>
      <c r="H739" s="10" t="s">
        <v>21</v>
      </c>
      <c r="I739" s="10" t="s">
        <v>185</v>
      </c>
      <c r="J739" s="10" t="str">
        <f>""</f>
        <v/>
      </c>
      <c r="K739" s="10" t="str">
        <f>"PFES1162560762_0001"</f>
        <v>PFES1162560762_0001</v>
      </c>
      <c r="L739" s="10">
        <v>1</v>
      </c>
      <c r="M739" s="10">
        <v>1</v>
      </c>
    </row>
    <row r="740" spans="1:13">
      <c r="A740" s="8">
        <v>42922</v>
      </c>
      <c r="B740" s="9">
        <v>0.45694444444444443</v>
      </c>
      <c r="C740" s="10" t="str">
        <f>"FES1162560761"</f>
        <v>FES1162560761</v>
      </c>
      <c r="D740" s="10" t="s">
        <v>19</v>
      </c>
      <c r="E740" s="10" t="s">
        <v>436</v>
      </c>
      <c r="F740" s="10" t="str">
        <f>"2170575592 "</f>
        <v xml:space="preserve">2170575592 </v>
      </c>
      <c r="G740" s="10" t="str">
        <f t="shared" si="28"/>
        <v>ON1</v>
      </c>
      <c r="H740" s="10" t="s">
        <v>21</v>
      </c>
      <c r="I740" s="10" t="s">
        <v>252</v>
      </c>
      <c r="J740" s="10" t="str">
        <f>""</f>
        <v/>
      </c>
      <c r="K740" s="10" t="str">
        <f>"PFES1162560761_0001"</f>
        <v>PFES1162560761_0001</v>
      </c>
      <c r="L740" s="10">
        <v>1</v>
      </c>
      <c r="M740" s="10">
        <v>1</v>
      </c>
    </row>
    <row r="741" spans="1:13">
      <c r="A741" s="8">
        <v>42922</v>
      </c>
      <c r="B741" s="9">
        <v>0.45555555555555555</v>
      </c>
      <c r="C741" s="10" t="str">
        <f>"FES1162560780"</f>
        <v>FES1162560780</v>
      </c>
      <c r="D741" s="10" t="s">
        <v>19</v>
      </c>
      <c r="E741" s="10" t="s">
        <v>255</v>
      </c>
      <c r="F741" s="10" t="str">
        <f>"2170577543 "</f>
        <v xml:space="preserve">2170577543 </v>
      </c>
      <c r="G741" s="10" t="str">
        <f t="shared" si="28"/>
        <v>ON1</v>
      </c>
      <c r="H741" s="10" t="s">
        <v>21</v>
      </c>
      <c r="I741" s="10" t="s">
        <v>256</v>
      </c>
      <c r="J741" s="10" t="str">
        <f>""</f>
        <v/>
      </c>
      <c r="K741" s="10" t="str">
        <f>"PFES1162560780_0001"</f>
        <v>PFES1162560780_0001</v>
      </c>
      <c r="L741" s="10">
        <v>1</v>
      </c>
      <c r="M741" s="10">
        <v>1</v>
      </c>
    </row>
    <row r="742" spans="1:13">
      <c r="A742" s="8">
        <v>42922</v>
      </c>
      <c r="B742" s="9">
        <v>0.45555555555555555</v>
      </c>
      <c r="C742" s="10" t="str">
        <f>"FES1162560782"</f>
        <v>FES1162560782</v>
      </c>
      <c r="D742" s="10" t="s">
        <v>19</v>
      </c>
      <c r="E742" s="10" t="s">
        <v>264</v>
      </c>
      <c r="F742" s="10" t="str">
        <f>"2170577545 "</f>
        <v xml:space="preserve">2170577545 </v>
      </c>
      <c r="G742" s="10" t="str">
        <f t="shared" si="28"/>
        <v>ON1</v>
      </c>
      <c r="H742" s="10" t="s">
        <v>21</v>
      </c>
      <c r="I742" s="10" t="s">
        <v>240</v>
      </c>
      <c r="J742" s="10" t="str">
        <f>""</f>
        <v/>
      </c>
      <c r="K742" s="10" t="str">
        <f>"PFES1162560782_0001"</f>
        <v>PFES1162560782_0001</v>
      </c>
      <c r="L742" s="10">
        <v>1</v>
      </c>
      <c r="M742" s="10">
        <v>1</v>
      </c>
    </row>
    <row r="743" spans="1:13">
      <c r="A743" s="8">
        <v>42922</v>
      </c>
      <c r="B743" s="9">
        <v>0.4548611111111111</v>
      </c>
      <c r="C743" s="10" t="str">
        <f>"FES1162560741"</f>
        <v>FES1162560741</v>
      </c>
      <c r="D743" s="10" t="s">
        <v>19</v>
      </c>
      <c r="E743" s="10" t="s">
        <v>184</v>
      </c>
      <c r="F743" s="10" t="str">
        <f>"2170575331 "</f>
        <v xml:space="preserve">2170575331 </v>
      </c>
      <c r="G743" s="10" t="str">
        <f t="shared" si="28"/>
        <v>ON1</v>
      </c>
      <c r="H743" s="10" t="s">
        <v>21</v>
      </c>
      <c r="I743" s="10" t="s">
        <v>185</v>
      </c>
      <c r="J743" s="10" t="str">
        <f>""</f>
        <v/>
      </c>
      <c r="K743" s="10" t="str">
        <f>"PFES1162560741_0001"</f>
        <v>PFES1162560741_0001</v>
      </c>
      <c r="L743" s="10">
        <v>1</v>
      </c>
      <c r="M743" s="10">
        <v>1</v>
      </c>
    </row>
    <row r="744" spans="1:13">
      <c r="A744" s="8">
        <v>42922</v>
      </c>
      <c r="B744" s="9">
        <v>0.45416666666666666</v>
      </c>
      <c r="C744" s="10" t="str">
        <f>"FES1162560714"</f>
        <v>FES1162560714</v>
      </c>
      <c r="D744" s="10" t="s">
        <v>19</v>
      </c>
      <c r="E744" s="10" t="s">
        <v>184</v>
      </c>
      <c r="F744" s="10" t="str">
        <f>"2170568894 "</f>
        <v xml:space="preserve">2170568894 </v>
      </c>
      <c r="G744" s="10" t="str">
        <f t="shared" si="28"/>
        <v>ON1</v>
      </c>
      <c r="H744" s="10" t="s">
        <v>21</v>
      </c>
      <c r="I744" s="10" t="s">
        <v>185</v>
      </c>
      <c r="J744" s="10" t="str">
        <f>""</f>
        <v/>
      </c>
      <c r="K744" s="10" t="str">
        <f>"PFES1162560714_0001"</f>
        <v>PFES1162560714_0001</v>
      </c>
      <c r="L744" s="10">
        <v>1</v>
      </c>
      <c r="M744" s="10">
        <v>1</v>
      </c>
    </row>
    <row r="745" spans="1:13">
      <c r="A745" s="8">
        <v>42922</v>
      </c>
      <c r="B745" s="9">
        <v>0.45347222222222222</v>
      </c>
      <c r="C745" s="10" t="str">
        <f>"FES1162560720"</f>
        <v>FES1162560720</v>
      </c>
      <c r="D745" s="10" t="s">
        <v>19</v>
      </c>
      <c r="E745" s="10" t="s">
        <v>557</v>
      </c>
      <c r="F745" s="10" t="str">
        <f>"2170571079 "</f>
        <v xml:space="preserve">2170571079 </v>
      </c>
      <c r="G745" s="10" t="str">
        <f t="shared" si="28"/>
        <v>ON1</v>
      </c>
      <c r="H745" s="10" t="s">
        <v>21</v>
      </c>
      <c r="I745" s="10" t="s">
        <v>558</v>
      </c>
      <c r="J745" s="10" t="str">
        <f>""</f>
        <v/>
      </c>
      <c r="K745" s="10" t="str">
        <f>"PFES1162560720_0001"</f>
        <v>PFES1162560720_0001</v>
      </c>
      <c r="L745" s="10">
        <v>1</v>
      </c>
      <c r="M745" s="10">
        <v>1</v>
      </c>
    </row>
    <row r="746" spans="1:13">
      <c r="A746" s="8">
        <v>42922</v>
      </c>
      <c r="B746" s="9">
        <v>0.45208333333333334</v>
      </c>
      <c r="C746" s="10" t="str">
        <f>"FES1162560693"</f>
        <v>FES1162560693</v>
      </c>
      <c r="D746" s="10" t="s">
        <v>19</v>
      </c>
      <c r="E746" s="10" t="s">
        <v>559</v>
      </c>
      <c r="F746" s="10" t="str">
        <f>"2170577523 "</f>
        <v xml:space="preserve">2170577523 </v>
      </c>
      <c r="G746" s="10" t="str">
        <f t="shared" si="28"/>
        <v>ON1</v>
      </c>
      <c r="H746" s="10" t="s">
        <v>21</v>
      </c>
      <c r="I746" s="10" t="s">
        <v>240</v>
      </c>
      <c r="J746" s="10" t="str">
        <f>""</f>
        <v/>
      </c>
      <c r="K746" s="10" t="str">
        <f>"PFES1162560693_0001"</f>
        <v>PFES1162560693_0001</v>
      </c>
      <c r="L746" s="10">
        <v>1</v>
      </c>
      <c r="M746" s="10">
        <v>1</v>
      </c>
    </row>
    <row r="747" spans="1:13">
      <c r="A747" s="8">
        <v>42922</v>
      </c>
      <c r="B747" s="9">
        <v>0.4513888888888889</v>
      </c>
      <c r="C747" s="10" t="str">
        <f>"FES1162560767"</f>
        <v>FES1162560767</v>
      </c>
      <c r="D747" s="10" t="s">
        <v>19</v>
      </c>
      <c r="E747" s="10" t="s">
        <v>560</v>
      </c>
      <c r="F747" s="10" t="str">
        <f>"2170576124 "</f>
        <v xml:space="preserve">2170576124 </v>
      </c>
      <c r="G747" s="10" t="str">
        <f t="shared" si="28"/>
        <v>ON1</v>
      </c>
      <c r="H747" s="10" t="s">
        <v>21</v>
      </c>
      <c r="I747" s="10" t="s">
        <v>561</v>
      </c>
      <c r="J747" s="10" t="str">
        <f>""</f>
        <v/>
      </c>
      <c r="K747" s="10" t="str">
        <f>"PFES1162560767_0001"</f>
        <v>PFES1162560767_0001</v>
      </c>
      <c r="L747" s="10">
        <v>1</v>
      </c>
      <c r="M747" s="10">
        <v>1</v>
      </c>
    </row>
    <row r="748" spans="1:13">
      <c r="A748" s="8">
        <v>42922</v>
      </c>
      <c r="B748" s="9">
        <v>0.45</v>
      </c>
      <c r="C748" s="10" t="str">
        <f>"FES1162560740"</f>
        <v>FES1162560740</v>
      </c>
      <c r="D748" s="10" t="s">
        <v>19</v>
      </c>
      <c r="E748" s="10" t="s">
        <v>184</v>
      </c>
      <c r="F748" s="10" t="str">
        <f>"2170575325 "</f>
        <v xml:space="preserve">2170575325 </v>
      </c>
      <c r="G748" s="10" t="str">
        <f t="shared" si="28"/>
        <v>ON1</v>
      </c>
      <c r="H748" s="10" t="s">
        <v>21</v>
      </c>
      <c r="I748" s="10" t="s">
        <v>185</v>
      </c>
      <c r="J748" s="10" t="str">
        <f>""</f>
        <v/>
      </c>
      <c r="K748" s="10" t="str">
        <f>"PFES1162560740_0001"</f>
        <v>PFES1162560740_0001</v>
      </c>
      <c r="L748" s="10">
        <v>1</v>
      </c>
      <c r="M748" s="10">
        <v>1</v>
      </c>
    </row>
    <row r="749" spans="1:13">
      <c r="A749" s="8">
        <v>42922</v>
      </c>
      <c r="B749" s="9">
        <v>0.45</v>
      </c>
      <c r="C749" s="10" t="str">
        <f>"FES1162560719"</f>
        <v>FES1162560719</v>
      </c>
      <c r="D749" s="10" t="s">
        <v>19</v>
      </c>
      <c r="E749" s="10" t="s">
        <v>41</v>
      </c>
      <c r="F749" s="10" t="str">
        <f>"2170570926 "</f>
        <v xml:space="preserve">2170570926 </v>
      </c>
      <c r="G749" s="10" t="str">
        <f t="shared" si="28"/>
        <v>ON1</v>
      </c>
      <c r="H749" s="10" t="s">
        <v>21</v>
      </c>
      <c r="I749" s="10" t="s">
        <v>42</v>
      </c>
      <c r="J749" s="10" t="str">
        <f>""</f>
        <v/>
      </c>
      <c r="K749" s="10" t="str">
        <f>"PFES1162560719_0001"</f>
        <v>PFES1162560719_0001</v>
      </c>
      <c r="L749" s="10">
        <v>1</v>
      </c>
      <c r="M749" s="10">
        <v>1</v>
      </c>
    </row>
    <row r="750" spans="1:13">
      <c r="A750" s="8">
        <v>42922</v>
      </c>
      <c r="B750" s="9">
        <v>0.44861111111111113</v>
      </c>
      <c r="C750" s="10" t="str">
        <f>"FES1162560695"</f>
        <v>FES1162560695</v>
      </c>
      <c r="D750" s="10" t="s">
        <v>19</v>
      </c>
      <c r="E750" s="10" t="s">
        <v>562</v>
      </c>
      <c r="F750" s="10" t="str">
        <f>"2170577525 "</f>
        <v xml:space="preserve">2170577525 </v>
      </c>
      <c r="G750" s="10" t="str">
        <f t="shared" si="28"/>
        <v>ON1</v>
      </c>
      <c r="H750" s="10" t="s">
        <v>21</v>
      </c>
      <c r="I750" s="10" t="s">
        <v>563</v>
      </c>
      <c r="J750" s="10" t="str">
        <f>""</f>
        <v/>
      </c>
      <c r="K750" s="10" t="str">
        <f>"PFES1162560695_0001"</f>
        <v>PFES1162560695_0001</v>
      </c>
      <c r="L750" s="10">
        <v>1</v>
      </c>
      <c r="M750" s="10">
        <v>1</v>
      </c>
    </row>
    <row r="751" spans="1:13">
      <c r="A751" s="8">
        <v>42922</v>
      </c>
      <c r="B751" s="9">
        <v>0.44791666666666669</v>
      </c>
      <c r="C751" s="10" t="str">
        <f>"FES1162553737"</f>
        <v>FES1162553737</v>
      </c>
      <c r="D751" s="10" t="s">
        <v>19</v>
      </c>
      <c r="E751" s="10" t="s">
        <v>564</v>
      </c>
      <c r="F751" s="10" t="str">
        <f>"2170570781 "</f>
        <v xml:space="preserve">2170570781 </v>
      </c>
      <c r="G751" s="10" t="str">
        <f t="shared" si="28"/>
        <v>ON1</v>
      </c>
      <c r="H751" s="10" t="s">
        <v>21</v>
      </c>
      <c r="I751" s="10" t="s">
        <v>565</v>
      </c>
      <c r="J751" s="10" t="str">
        <f>""</f>
        <v/>
      </c>
      <c r="K751" s="10" t="str">
        <f>"PFES1162553737_0001"</f>
        <v>PFES1162553737_0001</v>
      </c>
      <c r="L751" s="10">
        <v>1</v>
      </c>
      <c r="M751" s="10">
        <v>1</v>
      </c>
    </row>
    <row r="752" spans="1:13">
      <c r="A752" s="8">
        <v>42922</v>
      </c>
      <c r="B752" s="9">
        <v>0.44722222222222219</v>
      </c>
      <c r="C752" s="10" t="str">
        <f>"FES1162550677"</f>
        <v>FES1162550677</v>
      </c>
      <c r="D752" s="10" t="s">
        <v>19</v>
      </c>
      <c r="E752" s="10" t="s">
        <v>566</v>
      </c>
      <c r="F752" s="10" t="str">
        <f>"2170563267 "</f>
        <v xml:space="preserve">2170563267 </v>
      </c>
      <c r="G752" s="10" t="str">
        <f t="shared" si="28"/>
        <v>ON1</v>
      </c>
      <c r="H752" s="10" t="s">
        <v>21</v>
      </c>
      <c r="I752" s="10" t="s">
        <v>567</v>
      </c>
      <c r="J752" s="10" t="str">
        <f>""</f>
        <v/>
      </c>
      <c r="K752" s="10" t="str">
        <f>"PFES1162550677_0001"</f>
        <v>PFES1162550677_0001</v>
      </c>
      <c r="L752" s="10">
        <v>1</v>
      </c>
      <c r="M752" s="10">
        <v>1</v>
      </c>
    </row>
    <row r="753" spans="1:13">
      <c r="A753" s="8">
        <v>42922</v>
      </c>
      <c r="B753" s="9">
        <v>0.44513888888888892</v>
      </c>
      <c r="C753" s="10" t="str">
        <f>"FES1162553503"</f>
        <v>FES1162553503</v>
      </c>
      <c r="D753" s="10" t="s">
        <v>19</v>
      </c>
      <c r="E753" s="10" t="s">
        <v>568</v>
      </c>
      <c r="F753" s="10" t="str">
        <f>"2170570833 "</f>
        <v xml:space="preserve">2170570833 </v>
      </c>
      <c r="G753" s="10" t="str">
        <f t="shared" si="28"/>
        <v>ON1</v>
      </c>
      <c r="H753" s="10" t="s">
        <v>21</v>
      </c>
      <c r="I753" s="10" t="s">
        <v>38</v>
      </c>
      <c r="J753" s="10" t="str">
        <f>""</f>
        <v/>
      </c>
      <c r="K753" s="10" t="str">
        <f>"PFES1162553503_0001"</f>
        <v>PFES1162553503_0001</v>
      </c>
      <c r="L753" s="10">
        <v>1</v>
      </c>
      <c r="M753" s="10">
        <v>1</v>
      </c>
    </row>
    <row r="754" spans="1:13">
      <c r="A754" s="8">
        <v>42922</v>
      </c>
      <c r="B754" s="9">
        <v>0.44444444444444442</v>
      </c>
      <c r="C754" s="10" t="str">
        <f>"FES1162554200"</f>
        <v>FES1162554200</v>
      </c>
      <c r="D754" s="10" t="s">
        <v>19</v>
      </c>
      <c r="E754" s="10" t="s">
        <v>564</v>
      </c>
      <c r="F754" s="10" t="str">
        <f>"2170570781 "</f>
        <v xml:space="preserve">2170570781 </v>
      </c>
      <c r="G754" s="10" t="str">
        <f t="shared" si="28"/>
        <v>ON1</v>
      </c>
      <c r="H754" s="10" t="s">
        <v>21</v>
      </c>
      <c r="I754" s="10" t="s">
        <v>565</v>
      </c>
      <c r="J754" s="10" t="str">
        <f>""</f>
        <v/>
      </c>
      <c r="K754" s="10" t="str">
        <f>"PFES1162554200_0001"</f>
        <v>PFES1162554200_0001</v>
      </c>
      <c r="L754" s="10">
        <v>1</v>
      </c>
      <c r="M754" s="10">
        <v>1</v>
      </c>
    </row>
    <row r="755" spans="1:13">
      <c r="A755" s="8">
        <v>42922</v>
      </c>
      <c r="B755" s="9">
        <v>0.44375000000000003</v>
      </c>
      <c r="C755" s="10" t="str">
        <f>"FES1162554162"</f>
        <v>FES1162554162</v>
      </c>
      <c r="D755" s="10" t="s">
        <v>19</v>
      </c>
      <c r="E755" s="10" t="s">
        <v>564</v>
      </c>
      <c r="F755" s="10" t="str">
        <f>"2170570781 "</f>
        <v xml:space="preserve">2170570781 </v>
      </c>
      <c r="G755" s="10" t="str">
        <f t="shared" si="28"/>
        <v>ON1</v>
      </c>
      <c r="H755" s="10" t="s">
        <v>21</v>
      </c>
      <c r="I755" s="10" t="s">
        <v>565</v>
      </c>
      <c r="J755" s="10" t="str">
        <f>""</f>
        <v/>
      </c>
      <c r="K755" s="10" t="str">
        <f>"PFES1162554162_0001"</f>
        <v>PFES1162554162_0001</v>
      </c>
      <c r="L755" s="10">
        <v>1</v>
      </c>
      <c r="M755" s="10">
        <v>1</v>
      </c>
    </row>
    <row r="756" spans="1:13">
      <c r="A756" s="8">
        <v>42922</v>
      </c>
      <c r="B756" s="9">
        <v>0.42777777777777781</v>
      </c>
      <c r="C756" s="10" t="str">
        <f>"FES1162560724"</f>
        <v>FES1162560724</v>
      </c>
      <c r="D756" s="10" t="s">
        <v>19</v>
      </c>
      <c r="E756" s="10" t="s">
        <v>395</v>
      </c>
      <c r="F756" s="10" t="str">
        <f>"2170572256 "</f>
        <v xml:space="preserve">2170572256 </v>
      </c>
      <c r="G756" s="10" t="str">
        <f t="shared" si="28"/>
        <v>ON1</v>
      </c>
      <c r="H756" s="10" t="s">
        <v>21</v>
      </c>
      <c r="I756" s="10" t="s">
        <v>569</v>
      </c>
      <c r="J756" s="10" t="str">
        <f>""</f>
        <v/>
      </c>
      <c r="K756" s="10" t="str">
        <f>"PFES1162560724_0001"</f>
        <v>PFES1162560724_0001</v>
      </c>
      <c r="L756" s="10">
        <v>1</v>
      </c>
      <c r="M756" s="10">
        <v>1</v>
      </c>
    </row>
    <row r="757" spans="1:13">
      <c r="A757" s="8">
        <v>42922</v>
      </c>
      <c r="B757" s="9">
        <v>0.42708333333333331</v>
      </c>
      <c r="C757" s="10" t="str">
        <f>"FES1162556376"</f>
        <v>FES1162556376</v>
      </c>
      <c r="D757" s="10" t="s">
        <v>19</v>
      </c>
      <c r="E757" s="10" t="s">
        <v>543</v>
      </c>
      <c r="F757" s="10" t="str">
        <f>"2170573443 "</f>
        <v xml:space="preserve">2170573443 </v>
      </c>
      <c r="G757" s="10" t="str">
        <f t="shared" si="28"/>
        <v>ON1</v>
      </c>
      <c r="H757" s="10" t="s">
        <v>21</v>
      </c>
      <c r="I757" s="10" t="s">
        <v>300</v>
      </c>
      <c r="J757" s="10" t="str">
        <f>""</f>
        <v/>
      </c>
      <c r="K757" s="10" t="str">
        <f>"PFES1162556376_0001"</f>
        <v>PFES1162556376_0001</v>
      </c>
      <c r="L757" s="10">
        <v>1</v>
      </c>
      <c r="M757" s="10">
        <v>1</v>
      </c>
    </row>
    <row r="758" spans="1:13">
      <c r="A758" s="8">
        <v>42922</v>
      </c>
      <c r="B758" s="9">
        <v>0.42638888888888887</v>
      </c>
      <c r="C758" s="10" t="str">
        <f>"FES1162556023"</f>
        <v>FES1162556023</v>
      </c>
      <c r="D758" s="10" t="s">
        <v>19</v>
      </c>
      <c r="E758" s="10" t="s">
        <v>564</v>
      </c>
      <c r="F758" s="10" t="str">
        <f>"2170570781 "</f>
        <v xml:space="preserve">2170570781 </v>
      </c>
      <c r="G758" s="10" t="str">
        <f t="shared" si="28"/>
        <v>ON1</v>
      </c>
      <c r="H758" s="10" t="s">
        <v>21</v>
      </c>
      <c r="I758" s="10" t="s">
        <v>565</v>
      </c>
      <c r="J758" s="10" t="str">
        <f>""</f>
        <v/>
      </c>
      <c r="K758" s="10" t="str">
        <f>"PFES1162556023_0001"</f>
        <v>PFES1162556023_0001</v>
      </c>
      <c r="L758" s="10">
        <v>1</v>
      </c>
      <c r="M758" s="10">
        <v>1</v>
      </c>
    </row>
    <row r="759" spans="1:13">
      <c r="A759" s="8">
        <v>42922</v>
      </c>
      <c r="B759" s="9">
        <v>0.42569444444444443</v>
      </c>
      <c r="C759" s="10" t="str">
        <f>"FES1162555997"</f>
        <v>FES1162555997</v>
      </c>
      <c r="D759" s="10" t="s">
        <v>19</v>
      </c>
      <c r="E759" s="10" t="s">
        <v>543</v>
      </c>
      <c r="F759" s="10" t="str">
        <f>"2170573128 "</f>
        <v xml:space="preserve">2170573128 </v>
      </c>
      <c r="G759" s="10" t="str">
        <f t="shared" si="28"/>
        <v>ON1</v>
      </c>
      <c r="H759" s="10" t="s">
        <v>21</v>
      </c>
      <c r="I759" s="10" t="s">
        <v>300</v>
      </c>
      <c r="J759" s="10" t="str">
        <f>""</f>
        <v/>
      </c>
      <c r="K759" s="10" t="str">
        <f>"PFES1162555997_0001"</f>
        <v>PFES1162555997_0001</v>
      </c>
      <c r="L759" s="10">
        <v>1</v>
      </c>
      <c r="M759" s="10">
        <v>1</v>
      </c>
    </row>
    <row r="760" spans="1:13">
      <c r="A760" s="8">
        <v>42922</v>
      </c>
      <c r="B760" s="9">
        <v>0.42430555555555555</v>
      </c>
      <c r="C760" s="10" t="str">
        <f>"FES1162560712"</f>
        <v>FES1162560712</v>
      </c>
      <c r="D760" s="10" t="s">
        <v>19</v>
      </c>
      <c r="E760" s="10" t="s">
        <v>396</v>
      </c>
      <c r="F760" s="10" t="str">
        <f>"2170568519 "</f>
        <v xml:space="preserve">2170568519 </v>
      </c>
      <c r="G760" s="10" t="str">
        <f t="shared" si="28"/>
        <v>ON1</v>
      </c>
      <c r="H760" s="10" t="s">
        <v>21</v>
      </c>
      <c r="I760" s="10" t="s">
        <v>340</v>
      </c>
      <c r="J760" s="10" t="str">
        <f>""</f>
        <v/>
      </c>
      <c r="K760" s="10" t="str">
        <f>"PFES1162560712_0001"</f>
        <v>PFES1162560712_0001</v>
      </c>
      <c r="L760" s="10">
        <v>1</v>
      </c>
      <c r="M760" s="10">
        <v>4</v>
      </c>
    </row>
    <row r="761" spans="1:13">
      <c r="A761" s="8">
        <v>42922</v>
      </c>
      <c r="B761" s="9">
        <v>0.4236111111111111</v>
      </c>
      <c r="C761" s="10" t="str">
        <f>"FES1162560766"</f>
        <v>FES1162560766</v>
      </c>
      <c r="D761" s="10" t="s">
        <v>19</v>
      </c>
      <c r="E761" s="10" t="s">
        <v>184</v>
      </c>
      <c r="F761" s="10" t="str">
        <f>"2170575951 "</f>
        <v xml:space="preserve">2170575951 </v>
      </c>
      <c r="G761" s="10" t="str">
        <f t="shared" si="28"/>
        <v>ON1</v>
      </c>
      <c r="H761" s="10" t="s">
        <v>21</v>
      </c>
      <c r="I761" s="10" t="s">
        <v>185</v>
      </c>
      <c r="J761" s="10" t="str">
        <f>""</f>
        <v/>
      </c>
      <c r="K761" s="10" t="str">
        <f>"PFES1162560766_0001"</f>
        <v>PFES1162560766_0001</v>
      </c>
      <c r="L761" s="10">
        <v>1</v>
      </c>
      <c r="M761" s="10">
        <v>1</v>
      </c>
    </row>
    <row r="762" spans="1:13">
      <c r="A762" s="8">
        <v>42922</v>
      </c>
      <c r="B762" s="9">
        <v>0.42222222222222222</v>
      </c>
      <c r="C762" s="10" t="str">
        <f>"FES1162556741"</f>
        <v>FES1162556741</v>
      </c>
      <c r="D762" s="10" t="s">
        <v>19</v>
      </c>
      <c r="E762" s="10" t="s">
        <v>220</v>
      </c>
      <c r="F762" s="10" t="str">
        <f>"2170573740 "</f>
        <v xml:space="preserve">2170573740 </v>
      </c>
      <c r="G762" s="10" t="str">
        <f t="shared" si="28"/>
        <v>ON1</v>
      </c>
      <c r="H762" s="10" t="s">
        <v>21</v>
      </c>
      <c r="I762" s="10" t="s">
        <v>90</v>
      </c>
      <c r="J762" s="10" t="str">
        <f>""</f>
        <v/>
      </c>
      <c r="K762" s="10" t="str">
        <f>"PFES1162556741_0001"</f>
        <v>PFES1162556741_0001</v>
      </c>
      <c r="L762" s="10">
        <v>1</v>
      </c>
      <c r="M762" s="10">
        <v>5</v>
      </c>
    </row>
    <row r="763" spans="1:13">
      <c r="A763" s="8">
        <v>42922</v>
      </c>
      <c r="B763" s="9">
        <v>0.42152777777777778</v>
      </c>
      <c r="C763" s="10" t="str">
        <f>"FES1162554249"</f>
        <v>FES1162554249</v>
      </c>
      <c r="D763" s="10" t="s">
        <v>19</v>
      </c>
      <c r="E763" s="10" t="s">
        <v>570</v>
      </c>
      <c r="F763" s="10" t="str">
        <f>"2170571874 "</f>
        <v xml:space="preserve">2170571874 </v>
      </c>
      <c r="G763" s="10" t="str">
        <f t="shared" si="28"/>
        <v>ON1</v>
      </c>
      <c r="H763" s="10" t="s">
        <v>21</v>
      </c>
      <c r="I763" s="10" t="s">
        <v>571</v>
      </c>
      <c r="J763" s="10" t="str">
        <f>""</f>
        <v/>
      </c>
      <c r="K763" s="10" t="str">
        <f>"PFES1162554249_0001"</f>
        <v>PFES1162554249_0001</v>
      </c>
      <c r="L763" s="10">
        <v>1</v>
      </c>
      <c r="M763" s="10">
        <v>2</v>
      </c>
    </row>
    <row r="764" spans="1:13">
      <c r="A764" s="8">
        <v>42922</v>
      </c>
      <c r="B764" s="9">
        <v>0.4201388888888889</v>
      </c>
      <c r="C764" s="10" t="str">
        <f>"FES1162554189"</f>
        <v>FES1162554189</v>
      </c>
      <c r="D764" s="10" t="s">
        <v>19</v>
      </c>
      <c r="E764" s="10" t="s">
        <v>572</v>
      </c>
      <c r="F764" s="10" t="str">
        <f>"2170568534 "</f>
        <v xml:space="preserve">2170568534 </v>
      </c>
      <c r="G764" s="10" t="str">
        <f t="shared" si="28"/>
        <v>ON1</v>
      </c>
      <c r="H764" s="10" t="s">
        <v>21</v>
      </c>
      <c r="I764" s="10" t="s">
        <v>547</v>
      </c>
      <c r="J764" s="10" t="str">
        <f>""</f>
        <v/>
      </c>
      <c r="K764" s="10" t="str">
        <f>"PFES1162554189_0001"</f>
        <v>PFES1162554189_0001</v>
      </c>
      <c r="L764" s="10">
        <v>1</v>
      </c>
      <c r="M764" s="10">
        <v>5</v>
      </c>
    </row>
    <row r="765" spans="1:13">
      <c r="A765" s="8">
        <v>42922</v>
      </c>
      <c r="B765" s="9">
        <v>0.41944444444444445</v>
      </c>
      <c r="C765" s="10" t="str">
        <f>"FES1162560737"</f>
        <v>FES1162560737</v>
      </c>
      <c r="D765" s="10" t="s">
        <v>19</v>
      </c>
      <c r="E765" s="10" t="s">
        <v>283</v>
      </c>
      <c r="F765" s="10" t="str">
        <f>"2170575232 "</f>
        <v xml:space="preserve">2170575232 </v>
      </c>
      <c r="G765" s="10" t="str">
        <f t="shared" si="28"/>
        <v>ON1</v>
      </c>
      <c r="H765" s="10" t="s">
        <v>21</v>
      </c>
      <c r="I765" s="10" t="s">
        <v>234</v>
      </c>
      <c r="J765" s="10" t="str">
        <f>""</f>
        <v/>
      </c>
      <c r="K765" s="10" t="str">
        <f>"PFES1162560737_0001"</f>
        <v>PFES1162560737_0001</v>
      </c>
      <c r="L765" s="10">
        <v>1</v>
      </c>
      <c r="M765" s="10">
        <v>12</v>
      </c>
    </row>
    <row r="766" spans="1:13">
      <c r="A766" s="8">
        <v>42922</v>
      </c>
      <c r="B766" s="9">
        <v>0.41805555555555557</v>
      </c>
      <c r="C766" s="10" t="str">
        <f>"FES1162559241"</f>
        <v>FES1162559241</v>
      </c>
      <c r="D766" s="10" t="s">
        <v>19</v>
      </c>
      <c r="E766" s="10" t="s">
        <v>573</v>
      </c>
      <c r="F766" s="10" t="str">
        <f>"2170572344 "</f>
        <v xml:space="preserve">2170572344 </v>
      </c>
      <c r="G766" s="10" t="str">
        <f t="shared" si="28"/>
        <v>ON1</v>
      </c>
      <c r="H766" s="10" t="s">
        <v>21</v>
      </c>
      <c r="I766" s="10" t="s">
        <v>24</v>
      </c>
      <c r="J766" s="10" t="str">
        <f>""</f>
        <v/>
      </c>
      <c r="K766" s="10" t="str">
        <f>"PFES1162559241_0001"</f>
        <v>PFES1162559241_0001</v>
      </c>
      <c r="L766" s="10">
        <v>1</v>
      </c>
      <c r="M766" s="10">
        <v>3</v>
      </c>
    </row>
    <row r="767" spans="1:13">
      <c r="A767" s="8">
        <v>42922</v>
      </c>
      <c r="B767" s="9">
        <v>0.41736111111111113</v>
      </c>
      <c r="C767" s="10" t="str">
        <f>"FES1162559530"</f>
        <v>FES1162559530</v>
      </c>
      <c r="D767" s="10" t="s">
        <v>19</v>
      </c>
      <c r="E767" s="10" t="s">
        <v>574</v>
      </c>
      <c r="F767" s="10" t="str">
        <f>"2170574145 "</f>
        <v xml:space="preserve">2170574145 </v>
      </c>
      <c r="G767" s="10" t="str">
        <f t="shared" si="28"/>
        <v>ON1</v>
      </c>
      <c r="H767" s="10" t="s">
        <v>21</v>
      </c>
      <c r="I767" s="10" t="s">
        <v>213</v>
      </c>
      <c r="J767" s="10" t="str">
        <f>""</f>
        <v/>
      </c>
      <c r="K767" s="10" t="str">
        <f>"PFES1162559530_0001"</f>
        <v>PFES1162559530_0001</v>
      </c>
      <c r="L767" s="10">
        <v>1</v>
      </c>
      <c r="M767" s="10">
        <v>3</v>
      </c>
    </row>
    <row r="768" spans="1:13">
      <c r="A768" s="8">
        <v>42922</v>
      </c>
      <c r="B768" s="9">
        <v>0.40486111111111112</v>
      </c>
      <c r="C768" s="10" t="str">
        <f>"FES1162553828"</f>
        <v>FES1162553828</v>
      </c>
      <c r="D768" s="10" t="s">
        <v>19</v>
      </c>
      <c r="E768" s="10" t="s">
        <v>575</v>
      </c>
      <c r="F768" s="10" t="str">
        <f>"2170571497 "</f>
        <v xml:space="preserve">2170571497 </v>
      </c>
      <c r="G768" s="10" t="str">
        <f t="shared" si="28"/>
        <v>ON1</v>
      </c>
      <c r="H768" s="10" t="s">
        <v>21</v>
      </c>
      <c r="I768" s="10" t="s">
        <v>334</v>
      </c>
      <c r="J768" s="10" t="str">
        <f>""</f>
        <v/>
      </c>
      <c r="K768" s="10" t="str">
        <f>"PFES1162553828_0001"</f>
        <v>PFES1162553828_0001</v>
      </c>
      <c r="L768" s="10">
        <v>1</v>
      </c>
      <c r="M768" s="10">
        <v>3</v>
      </c>
    </row>
    <row r="769" spans="1:13">
      <c r="A769" s="8">
        <v>42922</v>
      </c>
      <c r="B769" s="9">
        <v>0.68888888888888899</v>
      </c>
      <c r="C769" s="10" t="str">
        <f>"FES1162561008"</f>
        <v>FES1162561008</v>
      </c>
      <c r="D769" s="10" t="s">
        <v>19</v>
      </c>
      <c r="E769" s="10" t="s">
        <v>576</v>
      </c>
      <c r="F769" s="10" t="str">
        <f>"2170577805 "</f>
        <v xml:space="preserve">2170577805 </v>
      </c>
      <c r="G769" s="10" t="str">
        <f t="shared" si="28"/>
        <v>ON1</v>
      </c>
      <c r="H769" s="10" t="s">
        <v>21</v>
      </c>
      <c r="I769" s="10" t="s">
        <v>577</v>
      </c>
      <c r="J769" s="10" t="str">
        <f>""</f>
        <v/>
      </c>
      <c r="K769" s="10" t="str">
        <f>"PFES1162561008_0001"</f>
        <v>PFES1162561008_0001</v>
      </c>
      <c r="L769" s="10">
        <v>1</v>
      </c>
      <c r="M769" s="10">
        <v>1</v>
      </c>
    </row>
    <row r="770" spans="1:13">
      <c r="A770" s="8">
        <v>42922</v>
      </c>
      <c r="B770" s="9">
        <v>0.68888888888888899</v>
      </c>
      <c r="C770" s="10" t="str">
        <f>"FES1162561007"</f>
        <v>FES1162561007</v>
      </c>
      <c r="D770" s="10" t="s">
        <v>19</v>
      </c>
      <c r="E770" s="10" t="s">
        <v>576</v>
      </c>
      <c r="F770" s="10" t="str">
        <f>"2170577807 "</f>
        <v xml:space="preserve">2170577807 </v>
      </c>
      <c r="G770" s="10" t="str">
        <f t="shared" si="28"/>
        <v>ON1</v>
      </c>
      <c r="H770" s="10" t="s">
        <v>21</v>
      </c>
      <c r="I770" s="10" t="s">
        <v>577</v>
      </c>
      <c r="J770" s="10" t="str">
        <f>""</f>
        <v/>
      </c>
      <c r="K770" s="10" t="str">
        <f>"PFES1162561007_0001"</f>
        <v>PFES1162561007_0001</v>
      </c>
      <c r="L770" s="10">
        <v>1</v>
      </c>
      <c r="M770" s="10">
        <v>1</v>
      </c>
    </row>
    <row r="771" spans="1:13">
      <c r="A771" s="8">
        <v>42922</v>
      </c>
      <c r="B771" s="9">
        <v>0.6875</v>
      </c>
      <c r="C771" s="10" t="str">
        <f>"FES1162561002"</f>
        <v>FES1162561002</v>
      </c>
      <c r="D771" s="10" t="s">
        <v>19</v>
      </c>
      <c r="E771" s="10" t="s">
        <v>466</v>
      </c>
      <c r="F771" s="10" t="str">
        <f>"2170577799 "</f>
        <v xml:space="preserve">2170577799 </v>
      </c>
      <c r="G771" s="10" t="str">
        <f t="shared" si="28"/>
        <v>ON1</v>
      </c>
      <c r="H771" s="10" t="s">
        <v>21</v>
      </c>
      <c r="I771" s="10" t="s">
        <v>467</v>
      </c>
      <c r="J771" s="10" t="str">
        <f>""</f>
        <v/>
      </c>
      <c r="K771" s="10" t="str">
        <f>"PFES1162561002_0001"</f>
        <v>PFES1162561002_0001</v>
      </c>
      <c r="L771" s="10">
        <v>1</v>
      </c>
      <c r="M771" s="10">
        <v>1</v>
      </c>
    </row>
    <row r="772" spans="1:13">
      <c r="A772" s="8">
        <v>42922</v>
      </c>
      <c r="B772" s="9">
        <v>0.6875</v>
      </c>
      <c r="C772" s="10" t="str">
        <f>"FES1162561012"</f>
        <v>FES1162561012</v>
      </c>
      <c r="D772" s="10" t="s">
        <v>19</v>
      </c>
      <c r="E772" s="10" t="s">
        <v>326</v>
      </c>
      <c r="F772" s="10" t="str">
        <f>"2170577804 "</f>
        <v xml:space="preserve">2170577804 </v>
      </c>
      <c r="G772" s="10" t="str">
        <f t="shared" si="28"/>
        <v>ON1</v>
      </c>
      <c r="H772" s="10" t="s">
        <v>21</v>
      </c>
      <c r="I772" s="10" t="s">
        <v>327</v>
      </c>
      <c r="J772" s="10" t="str">
        <f>""</f>
        <v/>
      </c>
      <c r="K772" s="10" t="str">
        <f>"PFES1162561012_0001"</f>
        <v>PFES1162561012_0001</v>
      </c>
      <c r="L772" s="10">
        <v>1</v>
      </c>
      <c r="M772" s="10">
        <v>1</v>
      </c>
    </row>
    <row r="773" spans="1:13">
      <c r="A773" s="8">
        <v>42922</v>
      </c>
      <c r="B773" s="9">
        <v>0.68680555555555556</v>
      </c>
      <c r="C773" s="10" t="str">
        <f>"FES1162561001"</f>
        <v>FES1162561001</v>
      </c>
      <c r="D773" s="10" t="s">
        <v>19</v>
      </c>
      <c r="E773" s="10" t="s">
        <v>62</v>
      </c>
      <c r="F773" s="10" t="str">
        <f>"2170577798 "</f>
        <v xml:space="preserve">2170577798 </v>
      </c>
      <c r="G773" s="10" t="str">
        <f t="shared" si="28"/>
        <v>ON1</v>
      </c>
      <c r="H773" s="10" t="s">
        <v>21</v>
      </c>
      <c r="I773" s="10" t="s">
        <v>40</v>
      </c>
      <c r="J773" s="10" t="str">
        <f>""</f>
        <v/>
      </c>
      <c r="K773" s="10" t="str">
        <f>"PFES1162561001_0001"</f>
        <v>PFES1162561001_0001</v>
      </c>
      <c r="L773" s="10">
        <v>1</v>
      </c>
      <c r="M773" s="10">
        <v>1</v>
      </c>
    </row>
    <row r="774" spans="1:13">
      <c r="A774" s="8">
        <v>42922</v>
      </c>
      <c r="B774" s="9">
        <v>0.68472222222222223</v>
      </c>
      <c r="C774" s="10" t="str">
        <f>"FES1162560887"</f>
        <v>FES1162560887</v>
      </c>
      <c r="D774" s="10" t="s">
        <v>19</v>
      </c>
      <c r="E774" s="10" t="s">
        <v>578</v>
      </c>
      <c r="F774" s="10" t="str">
        <f>"2170577659 "</f>
        <v xml:space="preserve">2170577659 </v>
      </c>
      <c r="G774" s="10" t="str">
        <f t="shared" si="28"/>
        <v>ON1</v>
      </c>
      <c r="H774" s="10" t="s">
        <v>21</v>
      </c>
      <c r="I774" s="10" t="s">
        <v>503</v>
      </c>
      <c r="J774" s="10" t="str">
        <f>""</f>
        <v/>
      </c>
      <c r="K774" s="10" t="str">
        <f>"PFES1162560887_0001"</f>
        <v>PFES1162560887_0001</v>
      </c>
      <c r="L774" s="10">
        <v>1</v>
      </c>
      <c r="M774" s="10">
        <v>1</v>
      </c>
    </row>
    <row r="775" spans="1:13">
      <c r="A775" s="8">
        <v>42922</v>
      </c>
      <c r="B775" s="9">
        <v>0.68402777777777779</v>
      </c>
      <c r="C775" s="10" t="str">
        <f>"FES1162561006"</f>
        <v>FES1162561006</v>
      </c>
      <c r="D775" s="10" t="s">
        <v>19</v>
      </c>
      <c r="E775" s="10" t="s">
        <v>579</v>
      </c>
      <c r="F775" s="10" t="str">
        <f>"2170576856 "</f>
        <v xml:space="preserve">2170576856 </v>
      </c>
      <c r="G775" s="10" t="str">
        <f t="shared" si="28"/>
        <v>ON1</v>
      </c>
      <c r="H775" s="10" t="s">
        <v>21</v>
      </c>
      <c r="I775" s="10" t="s">
        <v>580</v>
      </c>
      <c r="J775" s="10" t="str">
        <f>""</f>
        <v/>
      </c>
      <c r="K775" s="10" t="str">
        <f>"PFES1162561006_0001"</f>
        <v>PFES1162561006_0001</v>
      </c>
      <c r="L775" s="10">
        <v>1</v>
      </c>
      <c r="M775" s="10">
        <v>1</v>
      </c>
    </row>
    <row r="776" spans="1:13">
      <c r="A776" s="8">
        <v>42922</v>
      </c>
      <c r="B776" s="9">
        <v>0.68333333333333324</v>
      </c>
      <c r="C776" s="10" t="str">
        <f>"FES1162560989"</f>
        <v>FES1162560989</v>
      </c>
      <c r="D776" s="10" t="s">
        <v>19</v>
      </c>
      <c r="E776" s="10" t="s">
        <v>581</v>
      </c>
      <c r="F776" s="10" t="str">
        <f>"2170577785 "</f>
        <v xml:space="preserve">2170577785 </v>
      </c>
      <c r="G776" s="10" t="str">
        <f t="shared" si="28"/>
        <v>ON1</v>
      </c>
      <c r="H776" s="10" t="s">
        <v>21</v>
      </c>
      <c r="I776" s="10" t="s">
        <v>22</v>
      </c>
      <c r="J776" s="10" t="str">
        <f>""</f>
        <v/>
      </c>
      <c r="K776" s="10" t="str">
        <f>"PFES1162560989_0001"</f>
        <v>PFES1162560989_0001</v>
      </c>
      <c r="L776" s="10">
        <v>1</v>
      </c>
      <c r="M776" s="10">
        <v>2</v>
      </c>
    </row>
    <row r="777" spans="1:13">
      <c r="A777" s="8">
        <v>42922</v>
      </c>
      <c r="B777" s="9">
        <v>0.68333333333333324</v>
      </c>
      <c r="C777" s="10" t="str">
        <f>"FES1162561003"</f>
        <v>FES1162561003</v>
      </c>
      <c r="D777" s="10" t="s">
        <v>19</v>
      </c>
      <c r="E777" s="10" t="s">
        <v>582</v>
      </c>
      <c r="F777" s="10" t="str">
        <f>"2170577800 "</f>
        <v xml:space="preserve">2170577800 </v>
      </c>
      <c r="G777" s="10" t="str">
        <f t="shared" si="28"/>
        <v>ON1</v>
      </c>
      <c r="H777" s="10" t="s">
        <v>21</v>
      </c>
      <c r="I777" s="10" t="s">
        <v>130</v>
      </c>
      <c r="J777" s="10" t="str">
        <f>""</f>
        <v/>
      </c>
      <c r="K777" s="10" t="str">
        <f>"PFES1162561003_0001"</f>
        <v>PFES1162561003_0001</v>
      </c>
      <c r="L777" s="10">
        <v>1</v>
      </c>
      <c r="M777" s="10">
        <v>1</v>
      </c>
    </row>
    <row r="778" spans="1:13">
      <c r="A778" s="8">
        <v>42922</v>
      </c>
      <c r="B778" s="9">
        <v>0.68263888888888891</v>
      </c>
      <c r="C778" s="10" t="str">
        <f>"FES1162560986"</f>
        <v>FES1162560986</v>
      </c>
      <c r="D778" s="10" t="s">
        <v>19</v>
      </c>
      <c r="E778" s="10" t="s">
        <v>409</v>
      </c>
      <c r="F778" s="10" t="str">
        <f>"2170577767 "</f>
        <v xml:space="preserve">2170577767 </v>
      </c>
      <c r="G778" s="10" t="str">
        <f t="shared" si="28"/>
        <v>ON1</v>
      </c>
      <c r="H778" s="10" t="s">
        <v>21</v>
      </c>
      <c r="I778" s="10" t="s">
        <v>410</v>
      </c>
      <c r="J778" s="10" t="str">
        <f>""</f>
        <v/>
      </c>
      <c r="K778" s="10" t="str">
        <f>"PFES1162560986_0001"</f>
        <v>PFES1162560986_0001</v>
      </c>
      <c r="L778" s="10">
        <v>1</v>
      </c>
      <c r="M778" s="10">
        <v>1</v>
      </c>
    </row>
    <row r="779" spans="1:13">
      <c r="A779" s="8">
        <v>42922</v>
      </c>
      <c r="B779" s="9">
        <v>0.68263888888888891</v>
      </c>
      <c r="C779" s="10" t="str">
        <f>"FES1162560995"</f>
        <v>FES1162560995</v>
      </c>
      <c r="D779" s="10" t="s">
        <v>19</v>
      </c>
      <c r="E779" s="10" t="s">
        <v>583</v>
      </c>
      <c r="F779" s="10" t="str">
        <f>"2170577793 "</f>
        <v xml:space="preserve">2170577793 </v>
      </c>
      <c r="G779" s="10" t="str">
        <f t="shared" si="28"/>
        <v>ON1</v>
      </c>
      <c r="H779" s="10" t="s">
        <v>21</v>
      </c>
      <c r="I779" s="10" t="s">
        <v>54</v>
      </c>
      <c r="J779" s="10" t="str">
        <f>""</f>
        <v/>
      </c>
      <c r="K779" s="10" t="str">
        <f>"PFES1162560995_0001"</f>
        <v>PFES1162560995_0001</v>
      </c>
      <c r="L779" s="10">
        <v>1</v>
      </c>
      <c r="M779" s="10">
        <v>1</v>
      </c>
    </row>
    <row r="780" spans="1:13">
      <c r="A780" s="8">
        <v>42922</v>
      </c>
      <c r="B780" s="9">
        <v>0.68263888888888891</v>
      </c>
      <c r="C780" s="10" t="str">
        <f>"FES1162560915"</f>
        <v>FES1162560915</v>
      </c>
      <c r="D780" s="10" t="s">
        <v>19</v>
      </c>
      <c r="E780" s="10" t="s">
        <v>584</v>
      </c>
      <c r="F780" s="10" t="str">
        <f>"2170575368 "</f>
        <v xml:space="preserve">2170575368 </v>
      </c>
      <c r="G780" s="10" t="str">
        <f>"DBC"</f>
        <v>DBC</v>
      </c>
      <c r="H780" s="10" t="s">
        <v>21</v>
      </c>
      <c r="I780" s="10" t="s">
        <v>75</v>
      </c>
      <c r="J780" s="10" t="str">
        <f>""</f>
        <v/>
      </c>
      <c r="K780" s="10" t="str">
        <f>"PFES1162560915_0001"</f>
        <v>PFES1162560915_0001</v>
      </c>
      <c r="L780" s="10">
        <v>1</v>
      </c>
      <c r="M780" s="10">
        <v>32</v>
      </c>
    </row>
    <row r="781" spans="1:13">
      <c r="A781" s="8">
        <v>42922</v>
      </c>
      <c r="B781" s="9">
        <v>0.68194444444444446</v>
      </c>
      <c r="C781" s="10" t="str">
        <f>"FES1162560987"</f>
        <v>FES1162560987</v>
      </c>
      <c r="D781" s="10" t="s">
        <v>19</v>
      </c>
      <c r="E781" s="10" t="s">
        <v>409</v>
      </c>
      <c r="F781" s="10" t="str">
        <f>"2170577770 "</f>
        <v xml:space="preserve">2170577770 </v>
      </c>
      <c r="G781" s="10" t="str">
        <f>"ON1"</f>
        <v>ON1</v>
      </c>
      <c r="H781" s="10" t="s">
        <v>21</v>
      </c>
      <c r="I781" s="10" t="s">
        <v>410</v>
      </c>
      <c r="J781" s="10" t="str">
        <f>""</f>
        <v/>
      </c>
      <c r="K781" s="10" t="str">
        <f>"PFES1162560987_0001"</f>
        <v>PFES1162560987_0001</v>
      </c>
      <c r="L781" s="10">
        <v>1</v>
      </c>
      <c r="M781" s="10">
        <v>1</v>
      </c>
    </row>
    <row r="782" spans="1:13">
      <c r="A782" s="8">
        <v>42922</v>
      </c>
      <c r="B782" s="9">
        <v>0.68194444444444446</v>
      </c>
      <c r="C782" s="10" t="str">
        <f>"FES1162560997"</f>
        <v>FES1162560997</v>
      </c>
      <c r="D782" s="10" t="s">
        <v>19</v>
      </c>
      <c r="E782" s="10" t="s">
        <v>286</v>
      </c>
      <c r="F782" s="10" t="str">
        <f>"2170577796 "</f>
        <v xml:space="preserve">2170577796 </v>
      </c>
      <c r="G782" s="10" t="str">
        <f>"ON1"</f>
        <v>ON1</v>
      </c>
      <c r="H782" s="10" t="s">
        <v>21</v>
      </c>
      <c r="I782" s="10" t="s">
        <v>177</v>
      </c>
      <c r="J782" s="10" t="str">
        <f>""</f>
        <v/>
      </c>
      <c r="K782" s="10" t="str">
        <f>"PFES1162560997_0001"</f>
        <v>PFES1162560997_0001</v>
      </c>
      <c r="L782" s="10">
        <v>1</v>
      </c>
      <c r="M782" s="10">
        <v>1</v>
      </c>
    </row>
    <row r="783" spans="1:13">
      <c r="A783" s="8">
        <v>42922</v>
      </c>
      <c r="B783" s="9">
        <v>0.68125000000000002</v>
      </c>
      <c r="C783" s="10" t="str">
        <f>"FES1162560985"</f>
        <v>FES1162560985</v>
      </c>
      <c r="D783" s="10" t="s">
        <v>19</v>
      </c>
      <c r="E783" s="10" t="s">
        <v>473</v>
      </c>
      <c r="F783" s="10" t="str">
        <f>"2170577764 "</f>
        <v xml:space="preserve">2170577764 </v>
      </c>
      <c r="G783" s="10" t="str">
        <f>"ON1"</f>
        <v>ON1</v>
      </c>
      <c r="H783" s="10" t="s">
        <v>21</v>
      </c>
      <c r="I783" s="10" t="s">
        <v>474</v>
      </c>
      <c r="J783" s="10" t="str">
        <f>""</f>
        <v/>
      </c>
      <c r="K783" s="10" t="str">
        <f>"PFES1162560985_0001"</f>
        <v>PFES1162560985_0001</v>
      </c>
      <c r="L783" s="10">
        <v>1</v>
      </c>
      <c r="M783" s="10">
        <v>1</v>
      </c>
    </row>
    <row r="784" spans="1:13">
      <c r="A784" s="8">
        <v>42922</v>
      </c>
      <c r="B784" s="9">
        <v>0.68125000000000002</v>
      </c>
      <c r="C784" s="10" t="str">
        <f>"FES1162560977"</f>
        <v>FES1162560977</v>
      </c>
      <c r="D784" s="10" t="s">
        <v>19</v>
      </c>
      <c r="E784" s="10" t="s">
        <v>585</v>
      </c>
      <c r="F784" s="10" t="str">
        <f>"2170577534 "</f>
        <v xml:space="preserve">2170577534 </v>
      </c>
      <c r="G784" s="10" t="str">
        <f>"DBC"</f>
        <v>DBC</v>
      </c>
      <c r="H784" s="10" t="s">
        <v>21</v>
      </c>
      <c r="I784" s="10" t="s">
        <v>586</v>
      </c>
      <c r="J784" s="10" t="str">
        <f>""</f>
        <v/>
      </c>
      <c r="K784" s="10" t="str">
        <f>"PFES1162560977_0001"</f>
        <v>PFES1162560977_0001</v>
      </c>
      <c r="L784" s="10">
        <v>1</v>
      </c>
      <c r="M784" s="10">
        <v>5</v>
      </c>
    </row>
    <row r="785" spans="1:13">
      <c r="A785" s="8">
        <v>42922</v>
      </c>
      <c r="B785" s="9">
        <v>0.68055555555555547</v>
      </c>
      <c r="C785" s="10" t="str">
        <f>"FES1162561004"</f>
        <v>FES1162561004</v>
      </c>
      <c r="D785" s="10" t="s">
        <v>19</v>
      </c>
      <c r="E785" s="10" t="s">
        <v>587</v>
      </c>
      <c r="F785" s="10" t="str">
        <f>"2170577801 "</f>
        <v xml:space="preserve">2170577801 </v>
      </c>
      <c r="G785" s="10" t="str">
        <f t="shared" ref="G785:G799" si="29">"ON1"</f>
        <v>ON1</v>
      </c>
      <c r="H785" s="10" t="s">
        <v>21</v>
      </c>
      <c r="I785" s="10" t="s">
        <v>588</v>
      </c>
      <c r="J785" s="10" t="str">
        <f>""</f>
        <v/>
      </c>
      <c r="K785" s="10" t="str">
        <f>"PFES1162561004_0001"</f>
        <v>PFES1162561004_0001</v>
      </c>
      <c r="L785" s="10">
        <v>1</v>
      </c>
      <c r="M785" s="10">
        <v>1</v>
      </c>
    </row>
    <row r="786" spans="1:13">
      <c r="A786" s="8">
        <v>42922</v>
      </c>
      <c r="B786" s="9">
        <v>0.67986111111111114</v>
      </c>
      <c r="C786" s="10" t="str">
        <f>"FES1162561005"</f>
        <v>FES1162561005</v>
      </c>
      <c r="D786" s="10" t="s">
        <v>19</v>
      </c>
      <c r="E786" s="10" t="s">
        <v>314</v>
      </c>
      <c r="F786" s="10" t="str">
        <f>"2170577802 "</f>
        <v xml:space="preserve">2170577802 </v>
      </c>
      <c r="G786" s="10" t="str">
        <f t="shared" si="29"/>
        <v>ON1</v>
      </c>
      <c r="H786" s="10" t="s">
        <v>21</v>
      </c>
      <c r="I786" s="10" t="s">
        <v>90</v>
      </c>
      <c r="J786" s="10" t="str">
        <f>""</f>
        <v/>
      </c>
      <c r="K786" s="10" t="str">
        <f>"PFES1162561005_0001"</f>
        <v>PFES1162561005_0001</v>
      </c>
      <c r="L786" s="10">
        <v>1</v>
      </c>
      <c r="M786" s="10">
        <v>3</v>
      </c>
    </row>
    <row r="787" spans="1:13">
      <c r="A787" s="8">
        <v>42922</v>
      </c>
      <c r="B787" s="9">
        <v>0.67986111111111114</v>
      </c>
      <c r="C787" s="10" t="str">
        <f>"FES1162560994"</f>
        <v>FES1162560994</v>
      </c>
      <c r="D787" s="10" t="s">
        <v>19</v>
      </c>
      <c r="E787" s="10" t="s">
        <v>33</v>
      </c>
      <c r="F787" s="10" t="str">
        <f>"2170577792 "</f>
        <v xml:space="preserve">2170577792 </v>
      </c>
      <c r="G787" s="10" t="str">
        <f t="shared" si="29"/>
        <v>ON1</v>
      </c>
      <c r="H787" s="10" t="s">
        <v>21</v>
      </c>
      <c r="I787" s="10" t="s">
        <v>34</v>
      </c>
      <c r="J787" s="10" t="str">
        <f>""</f>
        <v/>
      </c>
      <c r="K787" s="10" t="str">
        <f>"PFES1162560994_0001"</f>
        <v>PFES1162560994_0001</v>
      </c>
      <c r="L787" s="10">
        <v>1</v>
      </c>
      <c r="M787" s="10">
        <v>3</v>
      </c>
    </row>
    <row r="788" spans="1:13">
      <c r="A788" s="8">
        <v>42922</v>
      </c>
      <c r="B788" s="9">
        <v>0.67361111111111116</v>
      </c>
      <c r="C788" s="10" t="str">
        <f>"FES1162560992"</f>
        <v>FES1162560992</v>
      </c>
      <c r="D788" s="10" t="s">
        <v>19</v>
      </c>
      <c r="E788" s="10" t="s">
        <v>378</v>
      </c>
      <c r="F788" s="10" t="str">
        <f>"217057777888 "</f>
        <v xml:space="preserve">217057777888 </v>
      </c>
      <c r="G788" s="10" t="str">
        <f t="shared" si="29"/>
        <v>ON1</v>
      </c>
      <c r="H788" s="10" t="s">
        <v>21</v>
      </c>
      <c r="I788" s="10" t="s">
        <v>36</v>
      </c>
      <c r="J788" s="10" t="str">
        <f>""</f>
        <v/>
      </c>
      <c r="K788" s="10" t="str">
        <f>"PFES1162560992_0001"</f>
        <v>PFES1162560992_0001</v>
      </c>
      <c r="L788" s="10">
        <v>1</v>
      </c>
      <c r="M788" s="10">
        <v>1</v>
      </c>
    </row>
    <row r="789" spans="1:13">
      <c r="A789" s="8">
        <v>42922</v>
      </c>
      <c r="B789" s="9">
        <v>0.67361111111111116</v>
      </c>
      <c r="C789" s="10" t="str">
        <f>"FES1162560990"</f>
        <v>FES1162560990</v>
      </c>
      <c r="D789" s="10" t="s">
        <v>19</v>
      </c>
      <c r="E789" s="10" t="s">
        <v>33</v>
      </c>
      <c r="F789" s="10" t="str">
        <f>"2170577786 "</f>
        <v xml:space="preserve">2170577786 </v>
      </c>
      <c r="G789" s="10" t="str">
        <f t="shared" si="29"/>
        <v>ON1</v>
      </c>
      <c r="H789" s="10" t="s">
        <v>21</v>
      </c>
      <c r="I789" s="10" t="s">
        <v>34</v>
      </c>
      <c r="J789" s="10" t="str">
        <f>""</f>
        <v/>
      </c>
      <c r="K789" s="10" t="str">
        <f>"PFES1162560990_0001"</f>
        <v>PFES1162560990_0001</v>
      </c>
      <c r="L789" s="10">
        <v>1</v>
      </c>
      <c r="M789" s="10">
        <v>1</v>
      </c>
    </row>
    <row r="790" spans="1:13">
      <c r="A790" s="8">
        <v>42922</v>
      </c>
      <c r="B790" s="9">
        <v>0.67291666666666661</v>
      </c>
      <c r="C790" s="10" t="str">
        <f>"FES1162560973"</f>
        <v>FES1162560973</v>
      </c>
      <c r="D790" s="10" t="s">
        <v>19</v>
      </c>
      <c r="E790" s="10" t="s">
        <v>371</v>
      </c>
      <c r="F790" s="10" t="str">
        <f>"21705777396 "</f>
        <v xml:space="preserve">21705777396 </v>
      </c>
      <c r="G790" s="10" t="str">
        <f t="shared" si="29"/>
        <v>ON1</v>
      </c>
      <c r="H790" s="10" t="s">
        <v>21</v>
      </c>
      <c r="I790" s="10" t="s">
        <v>202</v>
      </c>
      <c r="J790" s="10" t="str">
        <f>""</f>
        <v/>
      </c>
      <c r="K790" s="10" t="str">
        <f>"PFES1162560973_0001"</f>
        <v>PFES1162560973_0001</v>
      </c>
      <c r="L790" s="10">
        <v>1</v>
      </c>
      <c r="M790" s="10">
        <v>5</v>
      </c>
    </row>
    <row r="791" spans="1:13">
      <c r="A791" s="8">
        <v>42922</v>
      </c>
      <c r="B791" s="9">
        <v>0.67291666666666661</v>
      </c>
      <c r="C791" s="10" t="str">
        <f>"FES1162560991"</f>
        <v>FES1162560991</v>
      </c>
      <c r="D791" s="10" t="s">
        <v>19</v>
      </c>
      <c r="E791" s="10" t="s">
        <v>305</v>
      </c>
      <c r="F791" s="10" t="str">
        <f>"2170577787 "</f>
        <v xml:space="preserve">2170577787 </v>
      </c>
      <c r="G791" s="10" t="str">
        <f t="shared" si="29"/>
        <v>ON1</v>
      </c>
      <c r="H791" s="10" t="s">
        <v>21</v>
      </c>
      <c r="I791" s="10" t="s">
        <v>202</v>
      </c>
      <c r="J791" s="10" t="str">
        <f>""</f>
        <v/>
      </c>
      <c r="K791" s="10" t="str">
        <f>"PFES1162560991_0001"</f>
        <v>PFES1162560991_0001</v>
      </c>
      <c r="L791" s="10">
        <v>1</v>
      </c>
      <c r="M791" s="10">
        <v>8</v>
      </c>
    </row>
    <row r="792" spans="1:13">
      <c r="A792" s="8">
        <v>42922</v>
      </c>
      <c r="B792" s="9">
        <v>0.67222222222222217</v>
      </c>
      <c r="C792" s="10" t="str">
        <f>"FES1162560972"</f>
        <v>FES1162560972</v>
      </c>
      <c r="D792" s="10" t="s">
        <v>19</v>
      </c>
      <c r="E792" s="10" t="s">
        <v>589</v>
      </c>
      <c r="F792" s="10" t="str">
        <f>"2170577780 "</f>
        <v xml:space="preserve">2170577780 </v>
      </c>
      <c r="G792" s="10" t="str">
        <f t="shared" si="29"/>
        <v>ON1</v>
      </c>
      <c r="H792" s="10" t="s">
        <v>21</v>
      </c>
      <c r="I792" s="10" t="s">
        <v>330</v>
      </c>
      <c r="J792" s="10" t="str">
        <f>""</f>
        <v/>
      </c>
      <c r="K792" s="10" t="str">
        <f>"PFES1162560972_0001"</f>
        <v>PFES1162560972_0001</v>
      </c>
      <c r="L792" s="10">
        <v>1</v>
      </c>
      <c r="M792" s="10">
        <v>5</v>
      </c>
    </row>
    <row r="793" spans="1:13">
      <c r="A793" s="8">
        <v>42922</v>
      </c>
      <c r="B793" s="9">
        <v>0.67152777777777783</v>
      </c>
      <c r="C793" s="10" t="str">
        <f>"FES1160560983"</f>
        <v>FES1160560983</v>
      </c>
      <c r="D793" s="10" t="s">
        <v>19</v>
      </c>
      <c r="E793" s="10" t="s">
        <v>288</v>
      </c>
      <c r="F793" s="10" t="str">
        <f>"2170577784 "</f>
        <v xml:space="preserve">2170577784 </v>
      </c>
      <c r="G793" s="10" t="str">
        <f t="shared" si="29"/>
        <v>ON1</v>
      </c>
      <c r="H793" s="10" t="s">
        <v>21</v>
      </c>
      <c r="I793" s="10" t="s">
        <v>300</v>
      </c>
      <c r="J793" s="10" t="str">
        <f>""</f>
        <v/>
      </c>
      <c r="K793" s="10" t="str">
        <f>"PFES1160560983_0001"</f>
        <v>PFES1160560983_0001</v>
      </c>
      <c r="L793" s="10">
        <v>1</v>
      </c>
      <c r="M793" s="10">
        <v>1</v>
      </c>
    </row>
    <row r="794" spans="1:13">
      <c r="A794" s="8">
        <v>42922</v>
      </c>
      <c r="B794" s="9">
        <v>0.67083333333333339</v>
      </c>
      <c r="C794" s="10" t="str">
        <f>"FES1162560996"</f>
        <v>FES1162560996</v>
      </c>
      <c r="D794" s="10" t="s">
        <v>19</v>
      </c>
      <c r="E794" s="10" t="s">
        <v>590</v>
      </c>
      <c r="F794" s="10" t="str">
        <f>"2170577795 "</f>
        <v xml:space="preserve">2170577795 </v>
      </c>
      <c r="G794" s="10" t="str">
        <f t="shared" si="29"/>
        <v>ON1</v>
      </c>
      <c r="H794" s="10" t="s">
        <v>21</v>
      </c>
      <c r="I794" s="10" t="s">
        <v>330</v>
      </c>
      <c r="J794" s="10" t="str">
        <f>""</f>
        <v/>
      </c>
      <c r="K794" s="10" t="str">
        <f>"PFES1162560996_0001"</f>
        <v>PFES1162560996_0001</v>
      </c>
      <c r="L794" s="10">
        <v>1</v>
      </c>
      <c r="M794" s="10">
        <v>3</v>
      </c>
    </row>
    <row r="795" spans="1:13">
      <c r="A795" s="8">
        <v>42922</v>
      </c>
      <c r="B795" s="9">
        <v>0.67013888888888884</v>
      </c>
      <c r="C795" s="10" t="str">
        <f>"FES1162560981"</f>
        <v>FES1162560981</v>
      </c>
      <c r="D795" s="10" t="s">
        <v>19</v>
      </c>
      <c r="E795" s="10" t="s">
        <v>288</v>
      </c>
      <c r="F795" s="10" t="str">
        <f>"2170577783 "</f>
        <v xml:space="preserve">2170577783 </v>
      </c>
      <c r="G795" s="10" t="str">
        <f t="shared" si="29"/>
        <v>ON1</v>
      </c>
      <c r="H795" s="10" t="s">
        <v>21</v>
      </c>
      <c r="I795" s="10" t="s">
        <v>300</v>
      </c>
      <c r="J795" s="10" t="str">
        <f>""</f>
        <v/>
      </c>
      <c r="K795" s="10" t="str">
        <f>"PFES1162560981_0001"</f>
        <v>PFES1162560981_0001</v>
      </c>
      <c r="L795" s="10">
        <v>1</v>
      </c>
      <c r="M795" s="10">
        <v>1</v>
      </c>
    </row>
    <row r="796" spans="1:13">
      <c r="A796" s="8">
        <v>42922</v>
      </c>
      <c r="B796" s="9">
        <v>0.6694444444444444</v>
      </c>
      <c r="C796" s="10" t="str">
        <f>"FES1162560988"</f>
        <v>FES1162560988</v>
      </c>
      <c r="D796" s="10" t="s">
        <v>19</v>
      </c>
      <c r="E796" s="10" t="s">
        <v>118</v>
      </c>
      <c r="F796" s="10" t="str">
        <f>"2170577781 "</f>
        <v xml:space="preserve">2170577781 </v>
      </c>
      <c r="G796" s="10" t="str">
        <f t="shared" si="29"/>
        <v>ON1</v>
      </c>
      <c r="H796" s="10" t="s">
        <v>21</v>
      </c>
      <c r="I796" s="10" t="s">
        <v>119</v>
      </c>
      <c r="J796" s="10" t="str">
        <f>""</f>
        <v/>
      </c>
      <c r="K796" s="10" t="str">
        <f>"PFES1162560988_0001"</f>
        <v>PFES1162560988_0001</v>
      </c>
      <c r="L796" s="10">
        <v>1</v>
      </c>
      <c r="M796" s="10">
        <v>1</v>
      </c>
    </row>
    <row r="797" spans="1:13">
      <c r="A797" s="8">
        <v>42922</v>
      </c>
      <c r="B797" s="9">
        <v>0.66875000000000007</v>
      </c>
      <c r="C797" s="10" t="str">
        <f>"FES1162560980"</f>
        <v>FES1162560980</v>
      </c>
      <c r="D797" s="10" t="s">
        <v>19</v>
      </c>
      <c r="E797" s="10" t="s">
        <v>591</v>
      </c>
      <c r="F797" s="10" t="str">
        <f>"2170577777 "</f>
        <v xml:space="preserve">2170577777 </v>
      </c>
      <c r="G797" s="10" t="str">
        <f t="shared" si="29"/>
        <v>ON1</v>
      </c>
      <c r="H797" s="10" t="s">
        <v>21</v>
      </c>
      <c r="I797" s="10" t="s">
        <v>168</v>
      </c>
      <c r="J797" s="10" t="str">
        <f>""</f>
        <v/>
      </c>
      <c r="K797" s="10" t="str">
        <f>"PFES1162560980_0001"</f>
        <v>PFES1162560980_0001</v>
      </c>
      <c r="L797" s="10">
        <v>1</v>
      </c>
      <c r="M797" s="10">
        <v>1</v>
      </c>
    </row>
    <row r="798" spans="1:13">
      <c r="A798" s="8">
        <v>42922</v>
      </c>
      <c r="B798" s="9">
        <v>0.66805555555555562</v>
      </c>
      <c r="C798" s="10" t="str">
        <f>"FES1162560960"</f>
        <v>FES1162560960</v>
      </c>
      <c r="D798" s="10" t="s">
        <v>19</v>
      </c>
      <c r="E798" s="10" t="s">
        <v>33</v>
      </c>
      <c r="F798" s="10" t="str">
        <f>"2170577753 "</f>
        <v xml:space="preserve">2170577753 </v>
      </c>
      <c r="G798" s="10" t="str">
        <f t="shared" si="29"/>
        <v>ON1</v>
      </c>
      <c r="H798" s="10" t="s">
        <v>21</v>
      </c>
      <c r="I798" s="10" t="s">
        <v>34</v>
      </c>
      <c r="J798" s="10" t="str">
        <f>""</f>
        <v/>
      </c>
      <c r="K798" s="10" t="str">
        <f>"PFES1162560960_0001"</f>
        <v>PFES1162560960_0001</v>
      </c>
      <c r="L798" s="10">
        <v>1</v>
      </c>
      <c r="M798" s="10">
        <v>5</v>
      </c>
    </row>
    <row r="799" spans="1:13">
      <c r="A799" s="8">
        <v>42922</v>
      </c>
      <c r="B799" s="9">
        <v>0.66805555555555562</v>
      </c>
      <c r="C799" s="10" t="str">
        <f>"FES1162560998"</f>
        <v>FES1162560998</v>
      </c>
      <c r="D799" s="10" t="s">
        <v>19</v>
      </c>
      <c r="E799" s="10" t="s">
        <v>212</v>
      </c>
      <c r="F799" s="10" t="str">
        <f>"2170577744 "</f>
        <v xml:space="preserve">2170577744 </v>
      </c>
      <c r="G799" s="10" t="str">
        <f t="shared" si="29"/>
        <v>ON1</v>
      </c>
      <c r="H799" s="10" t="s">
        <v>21</v>
      </c>
      <c r="I799" s="10" t="s">
        <v>213</v>
      </c>
      <c r="J799" s="10" t="str">
        <f>""</f>
        <v/>
      </c>
      <c r="K799" s="10" t="str">
        <f>"PFES1162560998_0001"</f>
        <v>PFES1162560998_0001</v>
      </c>
      <c r="L799" s="10">
        <v>1</v>
      </c>
      <c r="M799" s="10">
        <v>14</v>
      </c>
    </row>
    <row r="800" spans="1:13">
      <c r="A800" s="8">
        <v>42922</v>
      </c>
      <c r="B800" s="9">
        <v>0.66736111111111107</v>
      </c>
      <c r="C800" s="10" t="str">
        <f>"FES1162560959"</f>
        <v>FES1162560959</v>
      </c>
      <c r="D800" s="10" t="s">
        <v>19</v>
      </c>
      <c r="E800" s="10" t="s">
        <v>96</v>
      </c>
      <c r="F800" s="10" t="str">
        <f>"217057752 "</f>
        <v xml:space="preserve">217057752 </v>
      </c>
      <c r="G800" s="10" t="str">
        <f>"ON2"</f>
        <v>ON2</v>
      </c>
      <c r="H800" s="10" t="s">
        <v>21</v>
      </c>
      <c r="I800" s="10" t="s">
        <v>90</v>
      </c>
      <c r="J800" s="10" t="str">
        <f>""</f>
        <v/>
      </c>
      <c r="K800" s="10" t="str">
        <f>"PFES1162560959_0001"</f>
        <v>PFES1162560959_0001</v>
      </c>
      <c r="L800" s="10">
        <v>1</v>
      </c>
      <c r="M800" s="10">
        <v>7</v>
      </c>
    </row>
    <row r="801" spans="1:13">
      <c r="A801" s="8">
        <v>42922</v>
      </c>
      <c r="B801" s="9">
        <v>0.66666666666666663</v>
      </c>
      <c r="C801" s="10" t="str">
        <f>"FES1160560901"</f>
        <v>FES1160560901</v>
      </c>
      <c r="D801" s="10" t="s">
        <v>19</v>
      </c>
      <c r="E801" s="10" t="s">
        <v>181</v>
      </c>
      <c r="F801" s="10" t="str">
        <f>"2170577669 "</f>
        <v xml:space="preserve">2170577669 </v>
      </c>
      <c r="G801" s="10" t="str">
        <f t="shared" ref="G801:G810" si="30">"ON1"</f>
        <v>ON1</v>
      </c>
      <c r="H801" s="10" t="s">
        <v>21</v>
      </c>
      <c r="I801" s="10" t="s">
        <v>179</v>
      </c>
      <c r="J801" s="10" t="str">
        <f>""</f>
        <v/>
      </c>
      <c r="K801" s="10" t="str">
        <f>"PFES1160560901_0001"</f>
        <v>PFES1160560901_0001</v>
      </c>
      <c r="L801" s="10">
        <v>1</v>
      </c>
      <c r="M801" s="10">
        <v>2</v>
      </c>
    </row>
    <row r="802" spans="1:13">
      <c r="A802" s="8">
        <v>42922</v>
      </c>
      <c r="B802" s="9">
        <v>0.66597222222222219</v>
      </c>
      <c r="C802" s="10" t="str">
        <f>"FES1162560965"</f>
        <v>FES1162560965</v>
      </c>
      <c r="D802" s="10" t="s">
        <v>19</v>
      </c>
      <c r="E802" s="10" t="s">
        <v>592</v>
      </c>
      <c r="F802" s="10" t="str">
        <f>"2170577760 "</f>
        <v xml:space="preserve">2170577760 </v>
      </c>
      <c r="G802" s="10" t="str">
        <f t="shared" si="30"/>
        <v>ON1</v>
      </c>
      <c r="H802" s="10" t="s">
        <v>21</v>
      </c>
      <c r="I802" s="10" t="s">
        <v>593</v>
      </c>
      <c r="J802" s="10" t="str">
        <f>""</f>
        <v/>
      </c>
      <c r="K802" s="10" t="str">
        <f>"PFES1162560965_0001"</f>
        <v>PFES1162560965_0001</v>
      </c>
      <c r="L802" s="10">
        <v>1</v>
      </c>
      <c r="M802" s="10">
        <v>4</v>
      </c>
    </row>
    <row r="803" spans="1:13">
      <c r="A803" s="8">
        <v>42922</v>
      </c>
      <c r="B803" s="9">
        <v>0.66597222222222219</v>
      </c>
      <c r="C803" s="10" t="str">
        <f>"FES1162560962"</f>
        <v>FES1162560962</v>
      </c>
      <c r="D803" s="10" t="s">
        <v>19</v>
      </c>
      <c r="E803" s="10" t="s">
        <v>594</v>
      </c>
      <c r="F803" s="10" t="str">
        <f>"2170577755 "</f>
        <v xml:space="preserve">2170577755 </v>
      </c>
      <c r="G803" s="10" t="str">
        <f t="shared" si="30"/>
        <v>ON1</v>
      </c>
      <c r="H803" s="10" t="s">
        <v>21</v>
      </c>
      <c r="I803" s="10" t="s">
        <v>179</v>
      </c>
      <c r="J803" s="10" t="str">
        <f>""</f>
        <v/>
      </c>
      <c r="K803" s="10" t="str">
        <f>"PFES1162560962_0001"</f>
        <v>PFES1162560962_0001</v>
      </c>
      <c r="L803" s="10">
        <v>1</v>
      </c>
      <c r="M803" s="10">
        <v>4</v>
      </c>
    </row>
    <row r="804" spans="1:13">
      <c r="A804" s="8">
        <v>42922</v>
      </c>
      <c r="B804" s="9">
        <v>0.66527777777777775</v>
      </c>
      <c r="C804" s="10" t="str">
        <f>"FES1162560974"</f>
        <v>FES1162560974</v>
      </c>
      <c r="D804" s="10" t="s">
        <v>19</v>
      </c>
      <c r="E804" s="10" t="s">
        <v>146</v>
      </c>
      <c r="F804" s="10" t="str">
        <f>"2170577425 "</f>
        <v xml:space="preserve">2170577425 </v>
      </c>
      <c r="G804" s="10" t="str">
        <f t="shared" si="30"/>
        <v>ON1</v>
      </c>
      <c r="H804" s="10" t="s">
        <v>21</v>
      </c>
      <c r="I804" s="10" t="s">
        <v>147</v>
      </c>
      <c r="J804" s="10" t="str">
        <f>""</f>
        <v/>
      </c>
      <c r="K804" s="10" t="str">
        <f>"PFES1162560974_0001"</f>
        <v>PFES1162560974_0001</v>
      </c>
      <c r="L804" s="10">
        <v>1</v>
      </c>
      <c r="M804" s="10">
        <v>2</v>
      </c>
    </row>
    <row r="805" spans="1:13">
      <c r="A805" s="8">
        <v>42922</v>
      </c>
      <c r="B805" s="9">
        <v>0.6645833333333333</v>
      </c>
      <c r="C805" s="10" t="str">
        <f>"FES1162560903"</f>
        <v>FES1162560903</v>
      </c>
      <c r="D805" s="10" t="s">
        <v>19</v>
      </c>
      <c r="E805" s="10" t="s">
        <v>595</v>
      </c>
      <c r="F805" s="10" t="str">
        <f>"2170577678 "</f>
        <v xml:space="preserve">2170577678 </v>
      </c>
      <c r="G805" s="10" t="str">
        <f t="shared" si="30"/>
        <v>ON1</v>
      </c>
      <c r="H805" s="10" t="s">
        <v>21</v>
      </c>
      <c r="I805" s="10" t="s">
        <v>179</v>
      </c>
      <c r="J805" s="10" t="str">
        <f>""</f>
        <v/>
      </c>
      <c r="K805" s="10" t="str">
        <f>"PFES1162560903_0001"</f>
        <v>PFES1162560903_0001</v>
      </c>
      <c r="L805" s="10">
        <v>1</v>
      </c>
      <c r="M805" s="10">
        <v>2</v>
      </c>
    </row>
    <row r="806" spans="1:13">
      <c r="A806" s="8">
        <v>42922</v>
      </c>
      <c r="B806" s="9">
        <v>0.6645833333333333</v>
      </c>
      <c r="C806" s="10" t="str">
        <f>"FES1162560975"</f>
        <v>FES1162560975</v>
      </c>
      <c r="D806" s="10" t="s">
        <v>19</v>
      </c>
      <c r="E806" s="10" t="s">
        <v>146</v>
      </c>
      <c r="F806" s="10" t="str">
        <f>"2170577445 "</f>
        <v xml:space="preserve">2170577445 </v>
      </c>
      <c r="G806" s="10" t="str">
        <f t="shared" si="30"/>
        <v>ON1</v>
      </c>
      <c r="H806" s="10" t="s">
        <v>21</v>
      </c>
      <c r="I806" s="10" t="s">
        <v>147</v>
      </c>
      <c r="J806" s="10" t="str">
        <f>""</f>
        <v/>
      </c>
      <c r="K806" s="10" t="str">
        <f>"PFES1162560975_0001"</f>
        <v>PFES1162560975_0001</v>
      </c>
      <c r="L806" s="10">
        <v>1</v>
      </c>
      <c r="M806" s="10">
        <v>3</v>
      </c>
    </row>
    <row r="807" spans="1:13">
      <c r="A807" s="8">
        <v>42922</v>
      </c>
      <c r="B807" s="9">
        <v>0.66388888888888886</v>
      </c>
      <c r="C807" s="10" t="str">
        <f>"FES1162560963"</f>
        <v>FES1162560963</v>
      </c>
      <c r="D807" s="10" t="s">
        <v>19</v>
      </c>
      <c r="E807" s="10" t="s">
        <v>596</v>
      </c>
      <c r="F807" s="10" t="str">
        <f>"2170577756 "</f>
        <v xml:space="preserve">2170577756 </v>
      </c>
      <c r="G807" s="10" t="str">
        <f t="shared" si="30"/>
        <v>ON1</v>
      </c>
      <c r="H807" s="10" t="s">
        <v>21</v>
      </c>
      <c r="I807" s="10" t="s">
        <v>228</v>
      </c>
      <c r="J807" s="10" t="str">
        <f>""</f>
        <v/>
      </c>
      <c r="K807" s="10" t="str">
        <f>"PFES1162560963_0001"</f>
        <v>PFES1162560963_0001</v>
      </c>
      <c r="L807" s="10">
        <v>1</v>
      </c>
      <c r="M807" s="10">
        <v>3</v>
      </c>
    </row>
    <row r="808" spans="1:13">
      <c r="A808" s="8">
        <v>42922</v>
      </c>
      <c r="B808" s="9">
        <v>0.66041666666666665</v>
      </c>
      <c r="C808" s="10" t="str">
        <f>"FES1162560969"</f>
        <v>FES1162560969</v>
      </c>
      <c r="D808" s="10" t="s">
        <v>19</v>
      </c>
      <c r="E808" s="10" t="s">
        <v>597</v>
      </c>
      <c r="F808" s="10" t="str">
        <f>"2170577766 "</f>
        <v xml:space="preserve">2170577766 </v>
      </c>
      <c r="G808" s="10" t="str">
        <f t="shared" si="30"/>
        <v>ON1</v>
      </c>
      <c r="H808" s="10" t="s">
        <v>21</v>
      </c>
      <c r="I808" s="10" t="s">
        <v>205</v>
      </c>
      <c r="J808" s="10" t="str">
        <f>""</f>
        <v/>
      </c>
      <c r="K808" s="10" t="str">
        <f>"PFES1162560969_0001"</f>
        <v>PFES1162560969_0001</v>
      </c>
      <c r="L808" s="10">
        <v>1</v>
      </c>
      <c r="M808" s="10">
        <v>1</v>
      </c>
    </row>
    <row r="809" spans="1:13">
      <c r="A809" s="8">
        <v>42922</v>
      </c>
      <c r="B809" s="9">
        <v>0.65972222222222221</v>
      </c>
      <c r="C809" s="10" t="str">
        <f>"FES1162560970"</f>
        <v>FES1162560970</v>
      </c>
      <c r="D809" s="10" t="s">
        <v>19</v>
      </c>
      <c r="E809" s="10" t="s">
        <v>527</v>
      </c>
      <c r="F809" s="10" t="str">
        <f>"2170577768 "</f>
        <v xml:space="preserve">2170577768 </v>
      </c>
      <c r="G809" s="10" t="str">
        <f t="shared" si="30"/>
        <v>ON1</v>
      </c>
      <c r="H809" s="10" t="s">
        <v>21</v>
      </c>
      <c r="I809" s="10" t="s">
        <v>217</v>
      </c>
      <c r="J809" s="10" t="str">
        <f>""</f>
        <v/>
      </c>
      <c r="K809" s="10" t="str">
        <f>"PFES1162560970_0001"</f>
        <v>PFES1162560970_0001</v>
      </c>
      <c r="L809" s="10">
        <v>1</v>
      </c>
      <c r="M809" s="10">
        <v>1</v>
      </c>
    </row>
    <row r="810" spans="1:13">
      <c r="A810" s="8">
        <v>42922</v>
      </c>
      <c r="B810" s="9">
        <v>0.65902777777777777</v>
      </c>
      <c r="C810" s="10" t="str">
        <f>"FES1162560968"</f>
        <v>FES1162560968</v>
      </c>
      <c r="D810" s="10" t="s">
        <v>19</v>
      </c>
      <c r="E810" s="10" t="s">
        <v>255</v>
      </c>
      <c r="F810" s="10" t="str">
        <f>"2170577765 "</f>
        <v xml:space="preserve">2170577765 </v>
      </c>
      <c r="G810" s="10" t="str">
        <f t="shared" si="30"/>
        <v>ON1</v>
      </c>
      <c r="H810" s="10" t="s">
        <v>21</v>
      </c>
      <c r="I810" s="10" t="s">
        <v>256</v>
      </c>
      <c r="J810" s="10" t="str">
        <f>""</f>
        <v/>
      </c>
      <c r="K810" s="10" t="str">
        <f>"PFES1162560968_0001"</f>
        <v>PFES1162560968_0001</v>
      </c>
      <c r="L810" s="10">
        <v>1</v>
      </c>
      <c r="M810" s="10">
        <v>1</v>
      </c>
    </row>
    <row r="811" spans="1:13">
      <c r="A811" s="8">
        <v>42922</v>
      </c>
      <c r="B811" s="9">
        <v>0.65833333333333333</v>
      </c>
      <c r="C811" s="10" t="str">
        <f>"FES1162560809"</f>
        <v>FES1162560809</v>
      </c>
      <c r="D811" s="10" t="s">
        <v>19</v>
      </c>
      <c r="E811" s="10" t="s">
        <v>333</v>
      </c>
      <c r="F811" s="10" t="str">
        <f>"2170577592 "</f>
        <v xml:space="preserve">2170577592 </v>
      </c>
      <c r="G811" s="10" t="str">
        <f>"DBC"</f>
        <v>DBC</v>
      </c>
      <c r="H811" s="10" t="s">
        <v>21</v>
      </c>
      <c r="I811" s="10" t="s">
        <v>334</v>
      </c>
      <c r="J811" s="10" t="str">
        <f>""</f>
        <v/>
      </c>
      <c r="K811" s="10" t="str">
        <f>"PFES1162560809_0001"</f>
        <v>PFES1162560809_0001</v>
      </c>
      <c r="L811" s="10">
        <v>1</v>
      </c>
      <c r="M811" s="10">
        <v>23</v>
      </c>
    </row>
    <row r="812" spans="1:13">
      <c r="A812" s="8">
        <v>42922</v>
      </c>
      <c r="B812" s="9">
        <v>0.65625</v>
      </c>
      <c r="C812" s="10" t="str">
        <f>"FES1162560971"</f>
        <v>FES1162560971</v>
      </c>
      <c r="D812" s="10" t="s">
        <v>19</v>
      </c>
      <c r="E812" s="10" t="s">
        <v>283</v>
      </c>
      <c r="F812" s="10" t="str">
        <f>"2170577769 "</f>
        <v xml:space="preserve">2170577769 </v>
      </c>
      <c r="G812" s="10" t="str">
        <f t="shared" ref="G812:G817" si="31">"ON1"</f>
        <v>ON1</v>
      </c>
      <c r="H812" s="10" t="s">
        <v>21</v>
      </c>
      <c r="I812" s="10" t="s">
        <v>234</v>
      </c>
      <c r="J812" s="10" t="str">
        <f>""</f>
        <v/>
      </c>
      <c r="K812" s="10" t="str">
        <f>"PFES1162560971_0001"</f>
        <v>PFES1162560971_0001</v>
      </c>
      <c r="L812" s="10">
        <v>1</v>
      </c>
      <c r="M812" s="10">
        <v>1</v>
      </c>
    </row>
    <row r="813" spans="1:13">
      <c r="A813" s="8">
        <v>42922</v>
      </c>
      <c r="B813" s="9">
        <v>0.65555555555555556</v>
      </c>
      <c r="C813" s="10" t="str">
        <f>"FES1162560978"</f>
        <v>FES1162560978</v>
      </c>
      <c r="D813" s="10" t="s">
        <v>19</v>
      </c>
      <c r="E813" s="10" t="s">
        <v>25</v>
      </c>
      <c r="F813" s="10" t="str">
        <f>"2170577774 "</f>
        <v xml:space="preserve">2170577774 </v>
      </c>
      <c r="G813" s="10" t="str">
        <f t="shared" si="31"/>
        <v>ON1</v>
      </c>
      <c r="H813" s="10" t="s">
        <v>21</v>
      </c>
      <c r="I813" s="10" t="s">
        <v>26</v>
      </c>
      <c r="J813" s="10" t="str">
        <f>""</f>
        <v/>
      </c>
      <c r="K813" s="10" t="str">
        <f>"PFES1162560978_0001"</f>
        <v>PFES1162560978_0001</v>
      </c>
      <c r="L813" s="10">
        <v>1</v>
      </c>
      <c r="M813" s="10">
        <v>1</v>
      </c>
    </row>
    <row r="814" spans="1:13">
      <c r="A814" s="8">
        <v>42922</v>
      </c>
      <c r="B814" s="9">
        <v>0.65416666666666667</v>
      </c>
      <c r="C814" s="10" t="str">
        <f>"FES1162560953"</f>
        <v>FES1162560953</v>
      </c>
      <c r="D814" s="10" t="s">
        <v>19</v>
      </c>
      <c r="E814" s="10" t="s">
        <v>422</v>
      </c>
      <c r="F814" s="10" t="str">
        <f>"2170577742 "</f>
        <v xml:space="preserve">2170577742 </v>
      </c>
      <c r="G814" s="10" t="str">
        <f t="shared" si="31"/>
        <v>ON1</v>
      </c>
      <c r="H814" s="10" t="s">
        <v>21</v>
      </c>
      <c r="I814" s="10" t="s">
        <v>330</v>
      </c>
      <c r="J814" s="10" t="str">
        <f>""</f>
        <v/>
      </c>
      <c r="K814" s="10" t="str">
        <f>"PFES1162560953_0001"</f>
        <v>PFES1162560953_0001</v>
      </c>
      <c r="L814" s="10">
        <v>1</v>
      </c>
      <c r="M814" s="10">
        <v>1</v>
      </c>
    </row>
    <row r="815" spans="1:13">
      <c r="A815" s="8">
        <v>42922</v>
      </c>
      <c r="B815" s="9">
        <v>0.65416666666666667</v>
      </c>
      <c r="C815" s="10" t="str">
        <f>"FES1162560946"</f>
        <v>FES1162560946</v>
      </c>
      <c r="D815" s="10" t="s">
        <v>19</v>
      </c>
      <c r="E815" s="10" t="s">
        <v>391</v>
      </c>
      <c r="F815" s="10" t="str">
        <f>"2170577738 "</f>
        <v xml:space="preserve">2170577738 </v>
      </c>
      <c r="G815" s="10" t="str">
        <f t="shared" si="31"/>
        <v>ON1</v>
      </c>
      <c r="H815" s="10" t="s">
        <v>21</v>
      </c>
      <c r="I815" s="10" t="s">
        <v>183</v>
      </c>
      <c r="J815" s="10" t="str">
        <f>""</f>
        <v/>
      </c>
      <c r="K815" s="10" t="str">
        <f>"PFES1162560946_0001"</f>
        <v>PFES1162560946_0001</v>
      </c>
      <c r="L815" s="10">
        <v>1</v>
      </c>
      <c r="M815" s="10">
        <v>1</v>
      </c>
    </row>
    <row r="816" spans="1:13">
      <c r="A816" s="8">
        <v>42922</v>
      </c>
      <c r="B816" s="9">
        <v>0.65277777777777779</v>
      </c>
      <c r="C816" s="10" t="str">
        <f>"FES1162560966"</f>
        <v>FES1162560966</v>
      </c>
      <c r="D816" s="10" t="s">
        <v>19</v>
      </c>
      <c r="E816" s="10" t="s">
        <v>598</v>
      </c>
      <c r="F816" s="10" t="str">
        <f>"2170577758 "</f>
        <v xml:space="preserve">2170577758 </v>
      </c>
      <c r="G816" s="10" t="str">
        <f t="shared" si="31"/>
        <v>ON1</v>
      </c>
      <c r="H816" s="10" t="s">
        <v>21</v>
      </c>
      <c r="I816" s="10" t="s">
        <v>599</v>
      </c>
      <c r="J816" s="10" t="str">
        <f>""</f>
        <v/>
      </c>
      <c r="K816" s="10" t="str">
        <f>"PFES1162560966_0001"</f>
        <v>PFES1162560966_0001</v>
      </c>
      <c r="L816" s="10">
        <v>1</v>
      </c>
      <c r="M816" s="10">
        <v>1</v>
      </c>
    </row>
    <row r="817" spans="1:13">
      <c r="A817" s="8">
        <v>42922</v>
      </c>
      <c r="B817" s="9">
        <v>0.65208333333333335</v>
      </c>
      <c r="C817" s="10" t="str">
        <f>"FES1162560902"</f>
        <v>FES1162560902</v>
      </c>
      <c r="D817" s="10" t="s">
        <v>19</v>
      </c>
      <c r="E817" s="10" t="s">
        <v>323</v>
      </c>
      <c r="F817" s="10" t="str">
        <f>"2170577677 "</f>
        <v xml:space="preserve">2170577677 </v>
      </c>
      <c r="G817" s="10" t="str">
        <f t="shared" si="31"/>
        <v>ON1</v>
      </c>
      <c r="H817" s="10" t="s">
        <v>21</v>
      </c>
      <c r="I817" s="10" t="s">
        <v>75</v>
      </c>
      <c r="J817" s="10" t="str">
        <f>""</f>
        <v/>
      </c>
      <c r="K817" s="10" t="str">
        <f>"PFES1162560902_0001"</f>
        <v>PFES1162560902_0001</v>
      </c>
      <c r="L817" s="10">
        <v>1</v>
      </c>
      <c r="M817" s="10">
        <v>1</v>
      </c>
    </row>
    <row r="818" spans="1:13">
      <c r="A818" s="8">
        <v>42922</v>
      </c>
      <c r="B818" s="9">
        <v>0.65138888888888891</v>
      </c>
      <c r="C818" s="10" t="str">
        <f>"FES1162560794"</f>
        <v>FES1162560794</v>
      </c>
      <c r="D818" s="10" t="s">
        <v>19</v>
      </c>
      <c r="E818" s="10" t="s">
        <v>39</v>
      </c>
      <c r="F818" s="10" t="str">
        <f>"2170577576 "</f>
        <v xml:space="preserve">2170577576 </v>
      </c>
      <c r="G818" s="10" t="str">
        <f>"DBC"</f>
        <v>DBC</v>
      </c>
      <c r="H818" s="10" t="s">
        <v>21</v>
      </c>
      <c r="I818" s="10" t="s">
        <v>40</v>
      </c>
      <c r="J818" s="10" t="str">
        <f>""</f>
        <v/>
      </c>
      <c r="K818" s="10" t="str">
        <f>"PFES1162560794_0001"</f>
        <v>PFES1162560794_0001</v>
      </c>
      <c r="L818" s="10">
        <v>1</v>
      </c>
      <c r="M818" s="10">
        <v>30</v>
      </c>
    </row>
    <row r="819" spans="1:13">
      <c r="A819" s="8">
        <v>42922</v>
      </c>
      <c r="B819" s="9">
        <v>0.65138888888888891</v>
      </c>
      <c r="C819" s="10" t="str">
        <f>"FES1162560918"</f>
        <v>FES1162560918</v>
      </c>
      <c r="D819" s="10" t="s">
        <v>19</v>
      </c>
      <c r="E819" s="10" t="s">
        <v>600</v>
      </c>
      <c r="F819" s="10" t="str">
        <f>"2170577707 "</f>
        <v xml:space="preserve">2170577707 </v>
      </c>
      <c r="G819" s="10" t="str">
        <f t="shared" ref="G819:G839" si="32">"ON1"</f>
        <v>ON1</v>
      </c>
      <c r="H819" s="10" t="s">
        <v>21</v>
      </c>
      <c r="I819" s="10" t="s">
        <v>601</v>
      </c>
      <c r="J819" s="10" t="str">
        <f>""</f>
        <v/>
      </c>
      <c r="K819" s="10" t="str">
        <f>"PFES1162560918_0001"</f>
        <v>PFES1162560918_0001</v>
      </c>
      <c r="L819" s="10">
        <v>1</v>
      </c>
      <c r="M819" s="10">
        <v>1</v>
      </c>
    </row>
    <row r="820" spans="1:13">
      <c r="A820" s="8">
        <v>42922</v>
      </c>
      <c r="B820" s="9">
        <v>0.65069444444444446</v>
      </c>
      <c r="C820" s="10" t="str">
        <f>"FES1162560814"</f>
        <v>FES1162560814</v>
      </c>
      <c r="D820" s="10" t="s">
        <v>19</v>
      </c>
      <c r="E820" s="10" t="s">
        <v>164</v>
      </c>
      <c r="F820" s="10" t="str">
        <f>"2170577595 "</f>
        <v xml:space="preserve">2170577595 </v>
      </c>
      <c r="G820" s="10" t="str">
        <f t="shared" si="32"/>
        <v>ON1</v>
      </c>
      <c r="H820" s="10" t="s">
        <v>21</v>
      </c>
      <c r="I820" s="10" t="s">
        <v>147</v>
      </c>
      <c r="J820" s="10" t="str">
        <f>""</f>
        <v/>
      </c>
      <c r="K820" s="10" t="str">
        <f>"PFES1162560814_0001"</f>
        <v>PFES1162560814_0001</v>
      </c>
      <c r="L820" s="10">
        <v>1</v>
      </c>
      <c r="M820" s="10">
        <v>15</v>
      </c>
    </row>
    <row r="821" spans="1:13">
      <c r="A821" s="8">
        <v>42922</v>
      </c>
      <c r="B821" s="9">
        <v>0.65069444444444446</v>
      </c>
      <c r="C821" s="10" t="str">
        <f>"FES1162560950"</f>
        <v>FES1162560950</v>
      </c>
      <c r="D821" s="10" t="s">
        <v>19</v>
      </c>
      <c r="E821" s="10" t="s">
        <v>602</v>
      </c>
      <c r="F821" s="10" t="str">
        <f>"2170577739 "</f>
        <v xml:space="preserve">2170577739 </v>
      </c>
      <c r="G821" s="10" t="str">
        <f t="shared" si="32"/>
        <v>ON1</v>
      </c>
      <c r="H821" s="10" t="s">
        <v>21</v>
      </c>
      <c r="I821" s="10" t="s">
        <v>285</v>
      </c>
      <c r="J821" s="10" t="str">
        <f>""</f>
        <v/>
      </c>
      <c r="K821" s="10" t="str">
        <f>"PFES1162560950_0001"</f>
        <v>PFES1162560950_0001</v>
      </c>
      <c r="L821" s="10">
        <v>1</v>
      </c>
      <c r="M821" s="10">
        <v>1</v>
      </c>
    </row>
    <row r="822" spans="1:13">
      <c r="A822" s="8">
        <v>42922</v>
      </c>
      <c r="B822" s="9">
        <v>0.65069444444444446</v>
      </c>
      <c r="C822" s="10" t="str">
        <f>"FES1162560813"</f>
        <v>FES1162560813</v>
      </c>
      <c r="D822" s="10" t="s">
        <v>19</v>
      </c>
      <c r="E822" s="10" t="s">
        <v>162</v>
      </c>
      <c r="F822" s="10" t="str">
        <f>"2170577593 "</f>
        <v xml:space="preserve">2170577593 </v>
      </c>
      <c r="G822" s="10" t="str">
        <f t="shared" si="32"/>
        <v>ON1</v>
      </c>
      <c r="H822" s="10" t="s">
        <v>21</v>
      </c>
      <c r="I822" s="10" t="s">
        <v>163</v>
      </c>
      <c r="J822" s="10" t="str">
        <f>""</f>
        <v/>
      </c>
      <c r="K822" s="10" t="str">
        <f>"PFES1162560813_0001"</f>
        <v>PFES1162560813_0001</v>
      </c>
      <c r="L822" s="10">
        <v>1</v>
      </c>
      <c r="M822" s="10">
        <v>15</v>
      </c>
    </row>
    <row r="823" spans="1:13">
      <c r="A823" s="8">
        <v>42922</v>
      </c>
      <c r="B823" s="9">
        <v>0.65</v>
      </c>
      <c r="C823" s="10" t="str">
        <f>"FES1162560886"</f>
        <v>FES1162560886</v>
      </c>
      <c r="D823" s="10" t="s">
        <v>19</v>
      </c>
      <c r="E823" s="10" t="s">
        <v>293</v>
      </c>
      <c r="F823" s="10" t="str">
        <f>"21705777326 "</f>
        <v xml:space="preserve">21705777326 </v>
      </c>
      <c r="G823" s="10" t="str">
        <f t="shared" si="32"/>
        <v>ON1</v>
      </c>
      <c r="H823" s="10" t="s">
        <v>21</v>
      </c>
      <c r="I823" s="10" t="s">
        <v>142</v>
      </c>
      <c r="J823" s="10" t="str">
        <f>""</f>
        <v/>
      </c>
      <c r="K823" s="10" t="str">
        <f>"PFES1162560886_0001"</f>
        <v>PFES1162560886_0001</v>
      </c>
      <c r="L823" s="10">
        <v>1</v>
      </c>
      <c r="M823" s="10">
        <v>7</v>
      </c>
    </row>
    <row r="824" spans="1:13">
      <c r="A824" s="8">
        <v>42922</v>
      </c>
      <c r="B824" s="9">
        <v>0.64930555555555558</v>
      </c>
      <c r="C824" s="10" t="str">
        <f>"FES1162560955"</f>
        <v>FES1162560955</v>
      </c>
      <c r="D824" s="10" t="s">
        <v>19</v>
      </c>
      <c r="E824" s="10" t="s">
        <v>190</v>
      </c>
      <c r="F824" s="10" t="str">
        <f>"2170577747 "</f>
        <v xml:space="preserve">2170577747 </v>
      </c>
      <c r="G824" s="10" t="str">
        <f t="shared" si="32"/>
        <v>ON1</v>
      </c>
      <c r="H824" s="10" t="s">
        <v>21</v>
      </c>
      <c r="I824" s="10" t="s">
        <v>52</v>
      </c>
      <c r="J824" s="10" t="str">
        <f>""</f>
        <v/>
      </c>
      <c r="K824" s="10" t="str">
        <f>"PFES1162560955_0001"</f>
        <v>PFES1162560955_0001</v>
      </c>
      <c r="L824" s="10">
        <v>1</v>
      </c>
      <c r="M824" s="10">
        <v>17</v>
      </c>
    </row>
    <row r="825" spans="1:13">
      <c r="A825" s="8">
        <v>42922</v>
      </c>
      <c r="B825" s="9">
        <v>0.64930555555555558</v>
      </c>
      <c r="C825" s="10" t="str">
        <f>"FES1162560940"</f>
        <v>FES1162560940</v>
      </c>
      <c r="D825" s="10" t="s">
        <v>19</v>
      </c>
      <c r="E825" s="10" t="s">
        <v>229</v>
      </c>
      <c r="F825" s="10" t="str">
        <f>"2170577731 "</f>
        <v xml:space="preserve">2170577731 </v>
      </c>
      <c r="G825" s="10" t="str">
        <f t="shared" si="32"/>
        <v>ON1</v>
      </c>
      <c r="H825" s="10" t="s">
        <v>21</v>
      </c>
      <c r="I825" s="10" t="s">
        <v>230</v>
      </c>
      <c r="J825" s="10" t="str">
        <f>""</f>
        <v/>
      </c>
      <c r="K825" s="10" t="str">
        <f>"PFES1162560940_0001"</f>
        <v>PFES1162560940_0001</v>
      </c>
      <c r="L825" s="10">
        <v>1</v>
      </c>
      <c r="M825" s="10">
        <v>4</v>
      </c>
    </row>
    <row r="826" spans="1:13">
      <c r="A826" s="8">
        <v>42922</v>
      </c>
      <c r="B826" s="9">
        <v>0.64861111111111114</v>
      </c>
      <c r="C826" s="10" t="str">
        <f>"FES1162560885"</f>
        <v>FES1162560885</v>
      </c>
      <c r="D826" s="10" t="s">
        <v>19</v>
      </c>
      <c r="E826" s="10" t="s">
        <v>39</v>
      </c>
      <c r="F826" s="10" t="str">
        <f>"2170577241 "</f>
        <v xml:space="preserve">2170577241 </v>
      </c>
      <c r="G826" s="10" t="str">
        <f t="shared" si="32"/>
        <v>ON1</v>
      </c>
      <c r="H826" s="10" t="s">
        <v>21</v>
      </c>
      <c r="I826" s="10" t="s">
        <v>40</v>
      </c>
      <c r="J826" s="10" t="str">
        <f>""</f>
        <v/>
      </c>
      <c r="K826" s="10" t="str">
        <f>"PFES1162560885_0001"</f>
        <v>PFES1162560885_0001</v>
      </c>
      <c r="L826" s="10">
        <v>1</v>
      </c>
      <c r="M826" s="10">
        <v>6</v>
      </c>
    </row>
    <row r="827" spans="1:13">
      <c r="A827" s="8">
        <v>42922</v>
      </c>
      <c r="B827" s="9">
        <v>0.64513888888888882</v>
      </c>
      <c r="C827" s="10" t="str">
        <f>"FES1162560951"</f>
        <v>FES1162560951</v>
      </c>
      <c r="D827" s="10" t="s">
        <v>19</v>
      </c>
      <c r="E827" s="10" t="s">
        <v>184</v>
      </c>
      <c r="F827" s="10" t="str">
        <f>"2170577740 "</f>
        <v xml:space="preserve">2170577740 </v>
      </c>
      <c r="G827" s="10" t="str">
        <f t="shared" si="32"/>
        <v>ON1</v>
      </c>
      <c r="H827" s="10" t="s">
        <v>21</v>
      </c>
      <c r="I827" s="10" t="s">
        <v>185</v>
      </c>
      <c r="J827" s="10" t="str">
        <f>""</f>
        <v/>
      </c>
      <c r="K827" s="10" t="str">
        <f>"PFES1162560951_0001"</f>
        <v>PFES1162560951_0001</v>
      </c>
      <c r="L827" s="10">
        <v>1</v>
      </c>
      <c r="M827" s="10">
        <v>1</v>
      </c>
    </row>
    <row r="828" spans="1:13">
      <c r="A828" s="8">
        <v>42922</v>
      </c>
      <c r="B828" s="9">
        <v>0.64444444444444449</v>
      </c>
      <c r="C828" s="10" t="str">
        <f>"FES1162560905"</f>
        <v>FES1162560905</v>
      </c>
      <c r="D828" s="10" t="s">
        <v>19</v>
      </c>
      <c r="E828" s="10" t="s">
        <v>62</v>
      </c>
      <c r="F828" s="10" t="str">
        <f>"2170577689 "</f>
        <v xml:space="preserve">2170577689 </v>
      </c>
      <c r="G828" s="10" t="str">
        <f t="shared" si="32"/>
        <v>ON1</v>
      </c>
      <c r="H828" s="10" t="s">
        <v>21</v>
      </c>
      <c r="I828" s="10" t="s">
        <v>40</v>
      </c>
      <c r="J828" s="10" t="str">
        <f>""</f>
        <v/>
      </c>
      <c r="K828" s="10" t="str">
        <f>"PFES1162560905_0001"</f>
        <v>PFES1162560905_0001</v>
      </c>
      <c r="L828" s="10">
        <v>1</v>
      </c>
      <c r="M828" s="10">
        <v>1</v>
      </c>
    </row>
    <row r="829" spans="1:13">
      <c r="A829" s="8">
        <v>42922</v>
      </c>
      <c r="B829" s="9">
        <v>0.64374999999999993</v>
      </c>
      <c r="C829" s="10" t="str">
        <f>"FES1162560913"</f>
        <v>FES1162560913</v>
      </c>
      <c r="D829" s="10" t="s">
        <v>19</v>
      </c>
      <c r="E829" s="10" t="s">
        <v>158</v>
      </c>
      <c r="F829" s="10" t="str">
        <f>"2170577706 "</f>
        <v xml:space="preserve">2170577706 </v>
      </c>
      <c r="G829" s="10" t="str">
        <f t="shared" si="32"/>
        <v>ON1</v>
      </c>
      <c r="H829" s="10" t="s">
        <v>21</v>
      </c>
      <c r="I829" s="10" t="s">
        <v>159</v>
      </c>
      <c r="J829" s="10" t="str">
        <f>""</f>
        <v/>
      </c>
      <c r="K829" s="10" t="str">
        <f>"PFES1162560913_0001"</f>
        <v>PFES1162560913_0001</v>
      </c>
      <c r="L829" s="10">
        <v>1</v>
      </c>
      <c r="M829" s="10">
        <v>1</v>
      </c>
    </row>
    <row r="830" spans="1:13">
      <c r="A830" s="8">
        <v>42922</v>
      </c>
      <c r="B830" s="9">
        <v>0.6430555555555556</v>
      </c>
      <c r="C830" s="10" t="str">
        <f>"FES1162560920"</f>
        <v>FES1162560920</v>
      </c>
      <c r="D830" s="10" t="s">
        <v>19</v>
      </c>
      <c r="E830" s="10" t="s">
        <v>603</v>
      </c>
      <c r="F830" s="10" t="str">
        <f>"2170577709 "</f>
        <v xml:space="preserve">2170577709 </v>
      </c>
      <c r="G830" s="10" t="str">
        <f t="shared" si="32"/>
        <v>ON1</v>
      </c>
      <c r="H830" s="10" t="s">
        <v>21</v>
      </c>
      <c r="I830" s="10" t="s">
        <v>232</v>
      </c>
      <c r="J830" s="10" t="str">
        <f>""</f>
        <v/>
      </c>
      <c r="K830" s="10" t="str">
        <f>"PFES1162560920_0001"</f>
        <v>PFES1162560920_0001</v>
      </c>
      <c r="L830" s="10">
        <v>1</v>
      </c>
      <c r="M830" s="10">
        <v>2</v>
      </c>
    </row>
    <row r="831" spans="1:13">
      <c r="A831" s="8">
        <v>42922</v>
      </c>
      <c r="B831" s="9">
        <v>0.6430555555555556</v>
      </c>
      <c r="C831" s="10" t="str">
        <f>"FES1162560928"</f>
        <v>FES1162560928</v>
      </c>
      <c r="D831" s="10" t="s">
        <v>19</v>
      </c>
      <c r="E831" s="10" t="s">
        <v>146</v>
      </c>
      <c r="F831" s="10" t="str">
        <f>"2170577717 "</f>
        <v xml:space="preserve">2170577717 </v>
      </c>
      <c r="G831" s="10" t="str">
        <f t="shared" si="32"/>
        <v>ON1</v>
      </c>
      <c r="H831" s="10" t="s">
        <v>21</v>
      </c>
      <c r="I831" s="10" t="s">
        <v>147</v>
      </c>
      <c r="J831" s="10" t="str">
        <f>""</f>
        <v/>
      </c>
      <c r="K831" s="10" t="str">
        <f>"PFES1162560928_0001"</f>
        <v>PFES1162560928_0001</v>
      </c>
      <c r="L831" s="10">
        <v>1</v>
      </c>
      <c r="M831" s="10">
        <v>1</v>
      </c>
    </row>
    <row r="832" spans="1:13">
      <c r="A832" s="8">
        <v>42922</v>
      </c>
      <c r="B832" s="9">
        <v>0.64236111111111105</v>
      </c>
      <c r="C832" s="10" t="str">
        <f>"FES1162560898"</f>
        <v>FES1162560898</v>
      </c>
      <c r="D832" s="10" t="s">
        <v>19</v>
      </c>
      <c r="E832" s="10" t="s">
        <v>604</v>
      </c>
      <c r="F832" s="10" t="str">
        <f>"2170577648 "</f>
        <v xml:space="preserve">2170577648 </v>
      </c>
      <c r="G832" s="10" t="str">
        <f t="shared" si="32"/>
        <v>ON1</v>
      </c>
      <c r="H832" s="10" t="s">
        <v>21</v>
      </c>
      <c r="I832" s="10" t="s">
        <v>121</v>
      </c>
      <c r="J832" s="10" t="str">
        <f>""</f>
        <v/>
      </c>
      <c r="K832" s="10" t="str">
        <f>"PFES1162560898_0001"</f>
        <v>PFES1162560898_0001</v>
      </c>
      <c r="L832" s="10">
        <v>1</v>
      </c>
      <c r="M832" s="10">
        <v>1</v>
      </c>
    </row>
    <row r="833" spans="1:13">
      <c r="A833" s="8">
        <v>42922</v>
      </c>
      <c r="B833" s="9">
        <v>0.64236111111111105</v>
      </c>
      <c r="C833" s="10" t="str">
        <f>"FES1162560945"</f>
        <v>FES1162560945</v>
      </c>
      <c r="D833" s="10" t="s">
        <v>19</v>
      </c>
      <c r="E833" s="10" t="s">
        <v>279</v>
      </c>
      <c r="F833" s="10" t="str">
        <f>"2170577736 "</f>
        <v xml:space="preserve">2170577736 </v>
      </c>
      <c r="G833" s="10" t="str">
        <f t="shared" si="32"/>
        <v>ON1</v>
      </c>
      <c r="H833" s="10" t="s">
        <v>21</v>
      </c>
      <c r="I833" s="10" t="s">
        <v>234</v>
      </c>
      <c r="J833" s="10" t="str">
        <f>""</f>
        <v/>
      </c>
      <c r="K833" s="10" t="str">
        <f>"PFES1162560945_0001"</f>
        <v>PFES1162560945_0001</v>
      </c>
      <c r="L833" s="10">
        <v>1</v>
      </c>
      <c r="M833" s="10">
        <v>1</v>
      </c>
    </row>
    <row r="834" spans="1:13">
      <c r="A834" s="8">
        <v>42922</v>
      </c>
      <c r="B834" s="9">
        <v>0.64166666666666672</v>
      </c>
      <c r="C834" s="10" t="str">
        <f>"FES1162560948"</f>
        <v>FES1162560948</v>
      </c>
      <c r="D834" s="10" t="s">
        <v>19</v>
      </c>
      <c r="E834" s="10" t="s">
        <v>212</v>
      </c>
      <c r="F834" s="10" t="str">
        <f>"2170576681 "</f>
        <v xml:space="preserve">2170576681 </v>
      </c>
      <c r="G834" s="10" t="str">
        <f t="shared" si="32"/>
        <v>ON1</v>
      </c>
      <c r="H834" s="10" t="s">
        <v>21</v>
      </c>
      <c r="I834" s="10" t="s">
        <v>213</v>
      </c>
      <c r="J834" s="10" t="str">
        <f>""</f>
        <v/>
      </c>
      <c r="K834" s="10" t="str">
        <f>"PFES1162560948_0001"</f>
        <v>PFES1162560948_0001</v>
      </c>
      <c r="L834" s="10">
        <v>1</v>
      </c>
      <c r="M834" s="10">
        <v>5</v>
      </c>
    </row>
    <row r="835" spans="1:13">
      <c r="A835" s="8">
        <v>42922</v>
      </c>
      <c r="B835" s="9">
        <v>0.64166666666666672</v>
      </c>
      <c r="C835" s="10" t="str">
        <f>"FES1162560889"</f>
        <v>FES1162560889</v>
      </c>
      <c r="D835" s="10" t="s">
        <v>19</v>
      </c>
      <c r="E835" s="10" t="s">
        <v>110</v>
      </c>
      <c r="F835" s="10" t="str">
        <f>"2170577666 "</f>
        <v xml:space="preserve">2170577666 </v>
      </c>
      <c r="G835" s="10" t="str">
        <f t="shared" si="32"/>
        <v>ON1</v>
      </c>
      <c r="H835" s="10" t="s">
        <v>21</v>
      </c>
      <c r="I835" s="10" t="s">
        <v>111</v>
      </c>
      <c r="J835" s="10" t="str">
        <f>""</f>
        <v/>
      </c>
      <c r="K835" s="10" t="str">
        <f>"PFES1162560889_0001"</f>
        <v>PFES1162560889_0001</v>
      </c>
      <c r="L835" s="10">
        <v>1</v>
      </c>
      <c r="M835" s="10">
        <v>1</v>
      </c>
    </row>
    <row r="836" spans="1:13">
      <c r="A836" s="8">
        <v>42922</v>
      </c>
      <c r="B836" s="9">
        <v>0.64027777777777783</v>
      </c>
      <c r="C836" s="10" t="str">
        <f>"FES1162560935"</f>
        <v>FES1162560935</v>
      </c>
      <c r="D836" s="10" t="s">
        <v>19</v>
      </c>
      <c r="E836" s="10" t="s">
        <v>243</v>
      </c>
      <c r="F836" s="10" t="str">
        <f>"2170577725 "</f>
        <v xml:space="preserve">2170577725 </v>
      </c>
      <c r="G836" s="10" t="str">
        <f t="shared" si="32"/>
        <v>ON1</v>
      </c>
      <c r="H836" s="10" t="s">
        <v>21</v>
      </c>
      <c r="I836" s="10" t="s">
        <v>244</v>
      </c>
      <c r="J836" s="10" t="str">
        <f>""</f>
        <v/>
      </c>
      <c r="K836" s="10" t="str">
        <f>"PFES1162560935_0001"</f>
        <v>PFES1162560935_0001</v>
      </c>
      <c r="L836" s="10">
        <v>1</v>
      </c>
      <c r="M836" s="10">
        <v>1</v>
      </c>
    </row>
    <row r="837" spans="1:13">
      <c r="A837" s="8">
        <v>42922</v>
      </c>
      <c r="B837" s="9">
        <v>0.63958333333333328</v>
      </c>
      <c r="C837" s="10" t="str">
        <f>"FES1162560952"</f>
        <v>FES1162560952</v>
      </c>
      <c r="D837" s="10" t="s">
        <v>19</v>
      </c>
      <c r="E837" s="10" t="s">
        <v>99</v>
      </c>
      <c r="F837" s="10" t="str">
        <f>"2170577741 "</f>
        <v xml:space="preserve">2170577741 </v>
      </c>
      <c r="G837" s="10" t="str">
        <f t="shared" si="32"/>
        <v>ON1</v>
      </c>
      <c r="H837" s="10" t="s">
        <v>21</v>
      </c>
      <c r="I837" s="10" t="s">
        <v>100</v>
      </c>
      <c r="J837" s="10" t="str">
        <f>""</f>
        <v/>
      </c>
      <c r="K837" s="10" t="str">
        <f>"PFES1162560952_0001"</f>
        <v>PFES1162560952_0001</v>
      </c>
      <c r="L837" s="10">
        <v>1</v>
      </c>
      <c r="M837" s="10">
        <v>1</v>
      </c>
    </row>
    <row r="838" spans="1:13">
      <c r="A838" s="8">
        <v>42922</v>
      </c>
      <c r="B838" s="9">
        <v>0.63888888888888895</v>
      </c>
      <c r="C838" s="10" t="str">
        <f>"FES1162560956"</f>
        <v>FES1162560956</v>
      </c>
      <c r="D838" s="10" t="s">
        <v>19</v>
      </c>
      <c r="E838" s="10" t="s">
        <v>605</v>
      </c>
      <c r="F838" s="10" t="str">
        <f>"2170577749 "</f>
        <v xml:space="preserve">2170577749 </v>
      </c>
      <c r="G838" s="10" t="str">
        <f t="shared" si="32"/>
        <v>ON1</v>
      </c>
      <c r="H838" s="10" t="s">
        <v>21</v>
      </c>
      <c r="I838" s="10" t="s">
        <v>567</v>
      </c>
      <c r="J838" s="10" t="str">
        <f>""</f>
        <v/>
      </c>
      <c r="K838" s="10" t="str">
        <f>"PFES1162560956_0001"</f>
        <v>PFES1162560956_0001</v>
      </c>
      <c r="L838" s="10">
        <v>1</v>
      </c>
      <c r="M838" s="10">
        <v>1</v>
      </c>
    </row>
    <row r="839" spans="1:13">
      <c r="A839" s="8">
        <v>42922</v>
      </c>
      <c r="B839" s="9">
        <v>0.6381944444444444</v>
      </c>
      <c r="C839" s="10" t="str">
        <f>"FES1162560188"</f>
        <v>FES1162560188</v>
      </c>
      <c r="D839" s="10" t="s">
        <v>19</v>
      </c>
      <c r="E839" s="10" t="s">
        <v>606</v>
      </c>
      <c r="F839" s="10" t="str">
        <f>"2170577002 "</f>
        <v xml:space="preserve">2170577002 </v>
      </c>
      <c r="G839" s="10" t="str">
        <f t="shared" si="32"/>
        <v>ON1</v>
      </c>
      <c r="H839" s="10" t="s">
        <v>21</v>
      </c>
      <c r="I839" s="10" t="s">
        <v>130</v>
      </c>
      <c r="J839" s="10" t="str">
        <f>""</f>
        <v/>
      </c>
      <c r="K839" s="10" t="str">
        <f>"PFES1162560188_0001"</f>
        <v>PFES1162560188_0001</v>
      </c>
      <c r="L839" s="10">
        <v>1</v>
      </c>
      <c r="M839" s="10">
        <v>1</v>
      </c>
    </row>
    <row r="840" spans="1:13">
      <c r="A840" s="8">
        <v>42922</v>
      </c>
      <c r="B840" s="9">
        <v>0.6381944444444444</v>
      </c>
      <c r="C840" s="10" t="str">
        <f>"FES1162560884"</f>
        <v>FES1162560884</v>
      </c>
      <c r="D840" s="10" t="s">
        <v>19</v>
      </c>
      <c r="E840" s="10" t="s">
        <v>80</v>
      </c>
      <c r="F840" s="10" t="str">
        <f>"2170577097 "</f>
        <v xml:space="preserve">2170577097 </v>
      </c>
      <c r="G840" s="10" t="str">
        <f>"DBC"</f>
        <v>DBC</v>
      </c>
      <c r="H840" s="10" t="s">
        <v>21</v>
      </c>
      <c r="I840" s="10" t="s">
        <v>607</v>
      </c>
      <c r="J840" s="10" t="str">
        <f>""</f>
        <v/>
      </c>
      <c r="K840" s="10" t="str">
        <f>"PFES1162560884_0001"</f>
        <v>PFES1162560884_0001</v>
      </c>
      <c r="L840" s="10">
        <v>2</v>
      </c>
      <c r="M840" s="10">
        <v>28</v>
      </c>
    </row>
    <row r="841" spans="1:13">
      <c r="A841" s="8">
        <v>42922</v>
      </c>
      <c r="B841" s="9">
        <v>0.6381944444444444</v>
      </c>
      <c r="C841" s="10" t="str">
        <f>"FES1162560884"</f>
        <v>FES1162560884</v>
      </c>
      <c r="D841" s="10" t="s">
        <v>19</v>
      </c>
      <c r="E841" s="10" t="s">
        <v>80</v>
      </c>
      <c r="F841" s="10" t="str">
        <f>"2170577097 "</f>
        <v xml:space="preserve">2170577097 </v>
      </c>
      <c r="G841" s="10" t="str">
        <f>"DBC"</f>
        <v>DBC</v>
      </c>
      <c r="H841" s="10" t="s">
        <v>21</v>
      </c>
      <c r="I841" s="10" t="s">
        <v>607</v>
      </c>
      <c r="J841" s="10"/>
      <c r="K841" s="10" t="str">
        <f>"PFES1162560884_0002"</f>
        <v>PFES1162560884_0002</v>
      </c>
      <c r="L841" s="10">
        <v>2</v>
      </c>
      <c r="M841" s="10">
        <v>28</v>
      </c>
    </row>
    <row r="842" spans="1:13">
      <c r="A842" s="8">
        <v>42922</v>
      </c>
      <c r="B842" s="9">
        <v>0.63750000000000007</v>
      </c>
      <c r="C842" s="10" t="str">
        <f>"FES1162560938"</f>
        <v>FES1162560938</v>
      </c>
      <c r="D842" s="10" t="s">
        <v>19</v>
      </c>
      <c r="E842" s="10" t="s">
        <v>608</v>
      </c>
      <c r="F842" s="10" t="str">
        <f>"2170577728 "</f>
        <v xml:space="preserve">2170577728 </v>
      </c>
      <c r="G842" s="10" t="str">
        <f>"ON1"</f>
        <v>ON1</v>
      </c>
      <c r="H842" s="10" t="s">
        <v>21</v>
      </c>
      <c r="I842" s="10" t="s">
        <v>609</v>
      </c>
      <c r="J842" s="10" t="str">
        <f>""</f>
        <v/>
      </c>
      <c r="K842" s="10" t="str">
        <f>"PFES1162560938_0001"</f>
        <v>PFES1162560938_0001</v>
      </c>
      <c r="L842" s="10">
        <v>1</v>
      </c>
      <c r="M842" s="10">
        <v>1</v>
      </c>
    </row>
    <row r="843" spans="1:13">
      <c r="A843" s="8">
        <v>42922</v>
      </c>
      <c r="B843" s="9">
        <v>0.63680555555555551</v>
      </c>
      <c r="C843" s="10" t="str">
        <f>"FES1162560958"</f>
        <v>FES1162560958</v>
      </c>
      <c r="D843" s="10" t="s">
        <v>19</v>
      </c>
      <c r="E843" s="10" t="s">
        <v>87</v>
      </c>
      <c r="F843" s="10" t="str">
        <f>"2170577751 "</f>
        <v xml:space="preserve">2170577751 </v>
      </c>
      <c r="G843" s="10" t="str">
        <f>"ON1"</f>
        <v>ON1</v>
      </c>
      <c r="H843" s="10" t="s">
        <v>21</v>
      </c>
      <c r="I843" s="10" t="s">
        <v>88</v>
      </c>
      <c r="J843" s="10" t="str">
        <f>""</f>
        <v/>
      </c>
      <c r="K843" s="10" t="str">
        <f>"PFES1162560958_0001"</f>
        <v>PFES1162560958_0001</v>
      </c>
      <c r="L843" s="10">
        <v>1</v>
      </c>
      <c r="M843" s="10">
        <v>1</v>
      </c>
    </row>
    <row r="844" spans="1:13">
      <c r="A844" s="8">
        <v>42922</v>
      </c>
      <c r="B844" s="9">
        <v>0.63680555555555551</v>
      </c>
      <c r="C844" s="10" t="str">
        <f>"FES1162560816"</f>
        <v>FES1162560816</v>
      </c>
      <c r="D844" s="10" t="s">
        <v>19</v>
      </c>
      <c r="E844" s="10" t="s">
        <v>175</v>
      </c>
      <c r="F844" s="10" t="str">
        <f>"2170577598 "</f>
        <v xml:space="preserve">2170577598 </v>
      </c>
      <c r="G844" s="10" t="str">
        <f>"DBC"</f>
        <v>DBC</v>
      </c>
      <c r="H844" s="10" t="s">
        <v>21</v>
      </c>
      <c r="I844" s="10" t="s">
        <v>168</v>
      </c>
      <c r="J844" s="10" t="str">
        <f>""</f>
        <v/>
      </c>
      <c r="K844" s="10" t="str">
        <f>"PFES1162560816_0001"</f>
        <v>PFES1162560816_0001</v>
      </c>
      <c r="L844" s="10">
        <v>1</v>
      </c>
      <c r="M844" s="10">
        <v>23</v>
      </c>
    </row>
    <row r="845" spans="1:13">
      <c r="A845" s="8">
        <v>42922</v>
      </c>
      <c r="B845" s="9">
        <v>0.63541666666666663</v>
      </c>
      <c r="C845" s="10" t="str">
        <f>"FES1162560954"</f>
        <v>FES1162560954</v>
      </c>
      <c r="D845" s="10" t="s">
        <v>19</v>
      </c>
      <c r="E845" s="10" t="s">
        <v>610</v>
      </c>
      <c r="F845" s="10" t="str">
        <f>"2170577743 "</f>
        <v xml:space="preserve">2170577743 </v>
      </c>
      <c r="G845" s="10" t="str">
        <f>"ON1"</f>
        <v>ON1</v>
      </c>
      <c r="H845" s="10" t="s">
        <v>21</v>
      </c>
      <c r="I845" s="10" t="s">
        <v>196</v>
      </c>
      <c r="J845" s="10" t="str">
        <f>"DELIVER BEFORE 10H30"</f>
        <v>DELIVER BEFORE 10H30</v>
      </c>
      <c r="K845" s="10" t="str">
        <f>"PFES1162560954_0001"</f>
        <v>PFES1162560954_0001</v>
      </c>
      <c r="L845" s="10">
        <v>1</v>
      </c>
      <c r="M845" s="10">
        <v>3</v>
      </c>
    </row>
    <row r="846" spans="1:13">
      <c r="A846" s="8">
        <v>42922</v>
      </c>
      <c r="B846" s="9">
        <v>0.63263888888888886</v>
      </c>
      <c r="C846" s="10" t="str">
        <f>"FES1162560943"</f>
        <v>FES1162560943</v>
      </c>
      <c r="D846" s="10" t="s">
        <v>19</v>
      </c>
      <c r="E846" s="10" t="s">
        <v>611</v>
      </c>
      <c r="F846" s="10" t="str">
        <f>"2170577732 "</f>
        <v xml:space="preserve">2170577732 </v>
      </c>
      <c r="G846" s="10" t="str">
        <f>"ON1"</f>
        <v>ON1</v>
      </c>
      <c r="H846" s="10" t="s">
        <v>21</v>
      </c>
      <c r="I846" s="10" t="s">
        <v>48</v>
      </c>
      <c r="J846" s="10" t="str">
        <f>""</f>
        <v/>
      </c>
      <c r="K846" s="10" t="str">
        <f>"PFES1162560943_0001"</f>
        <v>PFES1162560943_0001</v>
      </c>
      <c r="L846" s="10">
        <v>1</v>
      </c>
      <c r="M846" s="10">
        <v>1</v>
      </c>
    </row>
    <row r="847" spans="1:13">
      <c r="A847" s="8">
        <v>42922</v>
      </c>
      <c r="B847" s="9">
        <v>0.60277777777777775</v>
      </c>
      <c r="C847" s="10" t="str">
        <f>"FES1162560808"</f>
        <v>FES1162560808</v>
      </c>
      <c r="D847" s="10" t="s">
        <v>19</v>
      </c>
      <c r="E847" s="10" t="s">
        <v>361</v>
      </c>
      <c r="F847" s="10" t="str">
        <f>"2170577590 "</f>
        <v xml:space="preserve">2170577590 </v>
      </c>
      <c r="G847" s="10" t="str">
        <f>"DBC"</f>
        <v>DBC</v>
      </c>
      <c r="H847" s="10" t="s">
        <v>21</v>
      </c>
      <c r="I847" s="10" t="s">
        <v>106</v>
      </c>
      <c r="J847" s="10" t="str">
        <f>""</f>
        <v/>
      </c>
      <c r="K847" s="10" t="str">
        <f>"PFES1162560808_0001"</f>
        <v>PFES1162560808_0001</v>
      </c>
      <c r="L847" s="10">
        <v>1</v>
      </c>
      <c r="M847" s="10">
        <v>19</v>
      </c>
    </row>
    <row r="848" spans="1:13">
      <c r="A848" s="8">
        <v>42923</v>
      </c>
      <c r="B848" s="9">
        <v>0.59375</v>
      </c>
      <c r="C848" s="10" t="str">
        <f t="shared" ref="C848:C858" si="33">"FES1162561213"</f>
        <v>FES1162561213</v>
      </c>
      <c r="D848" s="10" t="s">
        <v>19</v>
      </c>
      <c r="E848" s="10" t="s">
        <v>336</v>
      </c>
      <c r="F848" s="10" t="str">
        <f>"2170577964 "</f>
        <v xml:space="preserve">2170577964 </v>
      </c>
      <c r="G848" s="10" t="str">
        <f>"DBC"</f>
        <v>DBC</v>
      </c>
      <c r="H848" s="10" t="s">
        <v>21</v>
      </c>
      <c r="I848" s="10" t="s">
        <v>337</v>
      </c>
      <c r="J848" s="10" t="str">
        <f>"delivery buy Tony"</f>
        <v>delivery buy Tony</v>
      </c>
      <c r="K848" s="10" t="str">
        <f>"PFES1162561213_0001"</f>
        <v>PFES1162561213_0001</v>
      </c>
      <c r="L848" s="10">
        <v>11</v>
      </c>
      <c r="M848" s="10">
        <v>186</v>
      </c>
    </row>
    <row r="849" spans="1:13">
      <c r="A849" s="8">
        <v>42923</v>
      </c>
      <c r="B849" s="9">
        <v>0.59375</v>
      </c>
      <c r="C849" s="10" t="str">
        <f t="shared" si="33"/>
        <v>FES1162561213</v>
      </c>
      <c r="D849" s="10" t="s">
        <v>19</v>
      </c>
      <c r="E849" s="10" t="s">
        <v>336</v>
      </c>
      <c r="F849" s="10" t="str">
        <f>"2170577964 "</f>
        <v xml:space="preserve">2170577964 </v>
      </c>
      <c r="G849" s="10" t="str">
        <f>"DBC"</f>
        <v>DBC</v>
      </c>
      <c r="H849" s="10" t="s">
        <v>21</v>
      </c>
      <c r="I849" s="10" t="s">
        <v>337</v>
      </c>
      <c r="J849" s="10" t="str">
        <f>"delivery buy Tony"</f>
        <v>delivery buy Tony</v>
      </c>
      <c r="K849" s="10" t="str">
        <f>"PFES1162561213_0002"</f>
        <v>PFES1162561213_0002</v>
      </c>
      <c r="L849" s="10">
        <v>11</v>
      </c>
      <c r="M849" s="10">
        <v>186</v>
      </c>
    </row>
    <row r="850" spans="1:13">
      <c r="A850" s="8">
        <v>42923</v>
      </c>
      <c r="B850" s="9">
        <v>0.59375</v>
      </c>
      <c r="C850" s="10" t="str">
        <f t="shared" si="33"/>
        <v>FES1162561213</v>
      </c>
      <c r="D850" s="10" t="s">
        <v>19</v>
      </c>
      <c r="E850" s="10" t="s">
        <v>336</v>
      </c>
      <c r="F850" s="10" t="str">
        <f t="shared" ref="F850:F858" si="34">"2170577964 "</f>
        <v xml:space="preserve">2170577964 </v>
      </c>
      <c r="G850" s="10" t="str">
        <f t="shared" ref="G850:G858" si="35">"DBC"</f>
        <v>DBC</v>
      </c>
      <c r="H850" s="10" t="s">
        <v>21</v>
      </c>
      <c r="I850" s="10" t="s">
        <v>337</v>
      </c>
      <c r="J850" s="10" t="str">
        <f t="shared" ref="J850:J858" si="36">"delivery buy Tony"</f>
        <v>delivery buy Tony</v>
      </c>
      <c r="K850" s="10" t="str">
        <f>"PFES1162561213_0003"</f>
        <v>PFES1162561213_0003</v>
      </c>
      <c r="L850" s="10">
        <v>11</v>
      </c>
      <c r="M850" s="10">
        <v>186</v>
      </c>
    </row>
    <row r="851" spans="1:13">
      <c r="A851" s="8">
        <v>42923</v>
      </c>
      <c r="B851" s="9">
        <v>0.59375</v>
      </c>
      <c r="C851" s="10" t="str">
        <f t="shared" si="33"/>
        <v>FES1162561213</v>
      </c>
      <c r="D851" s="10" t="s">
        <v>19</v>
      </c>
      <c r="E851" s="10" t="s">
        <v>336</v>
      </c>
      <c r="F851" s="10" t="str">
        <f t="shared" si="34"/>
        <v xml:space="preserve">2170577964 </v>
      </c>
      <c r="G851" s="10" t="str">
        <f t="shared" si="35"/>
        <v>DBC</v>
      </c>
      <c r="H851" s="10" t="s">
        <v>21</v>
      </c>
      <c r="I851" s="10" t="s">
        <v>337</v>
      </c>
      <c r="J851" s="10" t="str">
        <f t="shared" si="36"/>
        <v>delivery buy Tony</v>
      </c>
      <c r="K851" s="10" t="str">
        <f>"PFES1162561213_0004"</f>
        <v>PFES1162561213_0004</v>
      </c>
      <c r="L851" s="10">
        <v>11</v>
      </c>
      <c r="M851" s="10">
        <v>186</v>
      </c>
    </row>
    <row r="852" spans="1:13">
      <c r="A852" s="8">
        <v>42923</v>
      </c>
      <c r="B852" s="9">
        <v>0.59375</v>
      </c>
      <c r="C852" s="10" t="str">
        <f t="shared" si="33"/>
        <v>FES1162561213</v>
      </c>
      <c r="D852" s="10" t="s">
        <v>19</v>
      </c>
      <c r="E852" s="10" t="s">
        <v>336</v>
      </c>
      <c r="F852" s="10" t="str">
        <f t="shared" si="34"/>
        <v xml:space="preserve">2170577964 </v>
      </c>
      <c r="G852" s="10" t="str">
        <f t="shared" si="35"/>
        <v>DBC</v>
      </c>
      <c r="H852" s="10" t="s">
        <v>21</v>
      </c>
      <c r="I852" s="10" t="s">
        <v>337</v>
      </c>
      <c r="J852" s="10" t="str">
        <f t="shared" si="36"/>
        <v>delivery buy Tony</v>
      </c>
      <c r="K852" s="10" t="str">
        <f>"PFES1162561213_0005"</f>
        <v>PFES1162561213_0005</v>
      </c>
      <c r="L852" s="10">
        <v>11</v>
      </c>
      <c r="M852" s="10">
        <v>186</v>
      </c>
    </row>
    <row r="853" spans="1:13">
      <c r="A853" s="8">
        <v>42923</v>
      </c>
      <c r="B853" s="9">
        <v>0.59375</v>
      </c>
      <c r="C853" s="10" t="str">
        <f t="shared" si="33"/>
        <v>FES1162561213</v>
      </c>
      <c r="D853" s="10" t="s">
        <v>19</v>
      </c>
      <c r="E853" s="10" t="s">
        <v>336</v>
      </c>
      <c r="F853" s="10" t="str">
        <f t="shared" si="34"/>
        <v xml:space="preserve">2170577964 </v>
      </c>
      <c r="G853" s="10" t="str">
        <f t="shared" si="35"/>
        <v>DBC</v>
      </c>
      <c r="H853" s="10" t="s">
        <v>21</v>
      </c>
      <c r="I853" s="10" t="s">
        <v>337</v>
      </c>
      <c r="J853" s="10" t="str">
        <f t="shared" si="36"/>
        <v>delivery buy Tony</v>
      </c>
      <c r="K853" s="10" t="str">
        <f>"PFES1162561213_0006"</f>
        <v>PFES1162561213_0006</v>
      </c>
      <c r="L853" s="10">
        <v>11</v>
      </c>
      <c r="M853" s="10">
        <v>186</v>
      </c>
    </row>
    <row r="854" spans="1:13">
      <c r="A854" s="8">
        <v>42923</v>
      </c>
      <c r="B854" s="9">
        <v>0.59375</v>
      </c>
      <c r="C854" s="10" t="str">
        <f t="shared" si="33"/>
        <v>FES1162561213</v>
      </c>
      <c r="D854" s="10" t="s">
        <v>19</v>
      </c>
      <c r="E854" s="10" t="s">
        <v>336</v>
      </c>
      <c r="F854" s="10" t="str">
        <f t="shared" si="34"/>
        <v xml:space="preserve">2170577964 </v>
      </c>
      <c r="G854" s="10" t="str">
        <f t="shared" si="35"/>
        <v>DBC</v>
      </c>
      <c r="H854" s="10" t="s">
        <v>21</v>
      </c>
      <c r="I854" s="10" t="s">
        <v>337</v>
      </c>
      <c r="J854" s="10" t="str">
        <f t="shared" si="36"/>
        <v>delivery buy Tony</v>
      </c>
      <c r="K854" s="10" t="str">
        <f>"PFES1162561213_0007"</f>
        <v>PFES1162561213_0007</v>
      </c>
      <c r="L854" s="10">
        <v>11</v>
      </c>
      <c r="M854" s="10">
        <v>186</v>
      </c>
    </row>
    <row r="855" spans="1:13">
      <c r="A855" s="8">
        <v>42923</v>
      </c>
      <c r="B855" s="9">
        <v>0.59375</v>
      </c>
      <c r="C855" s="10" t="str">
        <f t="shared" si="33"/>
        <v>FES1162561213</v>
      </c>
      <c r="D855" s="10" t="s">
        <v>19</v>
      </c>
      <c r="E855" s="10" t="s">
        <v>336</v>
      </c>
      <c r="F855" s="10" t="str">
        <f t="shared" si="34"/>
        <v xml:space="preserve">2170577964 </v>
      </c>
      <c r="G855" s="10" t="str">
        <f t="shared" si="35"/>
        <v>DBC</v>
      </c>
      <c r="H855" s="10" t="s">
        <v>21</v>
      </c>
      <c r="I855" s="10" t="s">
        <v>337</v>
      </c>
      <c r="J855" s="10" t="str">
        <f t="shared" si="36"/>
        <v>delivery buy Tony</v>
      </c>
      <c r="K855" s="10" t="str">
        <f>"PFES1162561213_0008"</f>
        <v>PFES1162561213_0008</v>
      </c>
      <c r="L855" s="10">
        <v>11</v>
      </c>
      <c r="M855" s="10">
        <v>186</v>
      </c>
    </row>
    <row r="856" spans="1:13">
      <c r="A856" s="8">
        <v>42923</v>
      </c>
      <c r="B856" s="9">
        <v>0.59375</v>
      </c>
      <c r="C856" s="10" t="str">
        <f t="shared" si="33"/>
        <v>FES1162561213</v>
      </c>
      <c r="D856" s="10" t="s">
        <v>19</v>
      </c>
      <c r="E856" s="10" t="s">
        <v>336</v>
      </c>
      <c r="F856" s="10" t="str">
        <f t="shared" si="34"/>
        <v xml:space="preserve">2170577964 </v>
      </c>
      <c r="G856" s="10" t="str">
        <f t="shared" si="35"/>
        <v>DBC</v>
      </c>
      <c r="H856" s="10" t="s">
        <v>21</v>
      </c>
      <c r="I856" s="10" t="s">
        <v>337</v>
      </c>
      <c r="J856" s="10" t="str">
        <f t="shared" si="36"/>
        <v>delivery buy Tony</v>
      </c>
      <c r="K856" s="10" t="str">
        <f>"PFES1162561213_0009"</f>
        <v>PFES1162561213_0009</v>
      </c>
      <c r="L856" s="10">
        <v>11</v>
      </c>
      <c r="M856" s="10">
        <v>186</v>
      </c>
    </row>
    <row r="857" spans="1:13">
      <c r="A857" s="8">
        <v>42923</v>
      </c>
      <c r="B857" s="9">
        <v>0.59375</v>
      </c>
      <c r="C857" s="10" t="str">
        <f t="shared" si="33"/>
        <v>FES1162561213</v>
      </c>
      <c r="D857" s="10" t="s">
        <v>19</v>
      </c>
      <c r="E857" s="10" t="s">
        <v>336</v>
      </c>
      <c r="F857" s="10" t="str">
        <f t="shared" si="34"/>
        <v xml:space="preserve">2170577964 </v>
      </c>
      <c r="G857" s="10" t="str">
        <f t="shared" si="35"/>
        <v>DBC</v>
      </c>
      <c r="H857" s="10" t="s">
        <v>21</v>
      </c>
      <c r="I857" s="10" t="s">
        <v>337</v>
      </c>
      <c r="J857" s="10" t="str">
        <f t="shared" si="36"/>
        <v>delivery buy Tony</v>
      </c>
      <c r="K857" s="10" t="str">
        <f>"PFES1162561213_0010"</f>
        <v>PFES1162561213_0010</v>
      </c>
      <c r="L857" s="10">
        <v>11</v>
      </c>
      <c r="M857" s="10">
        <v>186</v>
      </c>
    </row>
    <row r="858" spans="1:13">
      <c r="A858" s="8">
        <v>42923</v>
      </c>
      <c r="B858" s="9">
        <v>0.59375</v>
      </c>
      <c r="C858" s="10" t="str">
        <f t="shared" si="33"/>
        <v>FES1162561213</v>
      </c>
      <c r="D858" s="10" t="s">
        <v>19</v>
      </c>
      <c r="E858" s="10" t="s">
        <v>336</v>
      </c>
      <c r="F858" s="10" t="str">
        <f t="shared" si="34"/>
        <v xml:space="preserve">2170577964 </v>
      </c>
      <c r="G858" s="10" t="str">
        <f t="shared" si="35"/>
        <v>DBC</v>
      </c>
      <c r="H858" s="10" t="s">
        <v>21</v>
      </c>
      <c r="I858" s="10" t="s">
        <v>337</v>
      </c>
      <c r="J858" s="10" t="str">
        <f t="shared" si="36"/>
        <v>delivery buy Tony</v>
      </c>
      <c r="K858" s="10" t="str">
        <f>"PFES1162561213_0011"</f>
        <v>PFES1162561213_0011</v>
      </c>
      <c r="L858" s="10">
        <v>11</v>
      </c>
      <c r="M858" s="10">
        <v>186</v>
      </c>
    </row>
    <row r="859" spans="1:13">
      <c r="A859" s="8">
        <v>42923</v>
      </c>
      <c r="B859" s="9">
        <v>0.58819444444444446</v>
      </c>
      <c r="C859" s="10" t="str">
        <f>"FES1162561086"</f>
        <v>FES1162561086</v>
      </c>
      <c r="D859" s="10" t="s">
        <v>19</v>
      </c>
      <c r="E859" s="10" t="s">
        <v>324</v>
      </c>
      <c r="F859" s="10" t="str">
        <f>"2170577004 "</f>
        <v xml:space="preserve">2170577004 </v>
      </c>
      <c r="G859" s="10" t="str">
        <f t="shared" ref="G859:G906" si="37">"ON1"</f>
        <v>ON1</v>
      </c>
      <c r="H859" s="10" t="s">
        <v>21</v>
      </c>
      <c r="I859" s="10" t="s">
        <v>325</v>
      </c>
      <c r="J859" s="10" t="str">
        <f>""</f>
        <v/>
      </c>
      <c r="K859" s="10" t="str">
        <f>"PFES1162561086_0001"</f>
        <v>PFES1162561086_0001</v>
      </c>
      <c r="L859" s="10">
        <v>1</v>
      </c>
      <c r="M859" s="10">
        <v>2</v>
      </c>
    </row>
    <row r="860" spans="1:13">
      <c r="A860" s="8">
        <v>42923</v>
      </c>
      <c r="B860" s="9">
        <v>0.58750000000000002</v>
      </c>
      <c r="C860" s="10" t="str">
        <f>"FES1162561203"</f>
        <v>FES1162561203</v>
      </c>
      <c r="D860" s="10" t="s">
        <v>19</v>
      </c>
      <c r="E860" s="10" t="s">
        <v>612</v>
      </c>
      <c r="F860" s="10" t="str">
        <f>"2170577948 "</f>
        <v xml:space="preserve">2170577948 </v>
      </c>
      <c r="G860" s="10" t="str">
        <f t="shared" si="37"/>
        <v>ON1</v>
      </c>
      <c r="H860" s="10" t="s">
        <v>21</v>
      </c>
      <c r="I860" s="10" t="s">
        <v>613</v>
      </c>
      <c r="J860" s="10" t="str">
        <f>""</f>
        <v/>
      </c>
      <c r="K860" s="10" t="str">
        <f>"PFES1162561203_0001"</f>
        <v>PFES1162561203_0001</v>
      </c>
      <c r="L860" s="10">
        <v>1</v>
      </c>
      <c r="M860" s="10">
        <v>1</v>
      </c>
    </row>
    <row r="861" spans="1:13">
      <c r="A861" s="8">
        <v>42923</v>
      </c>
      <c r="B861" s="9">
        <v>0.58750000000000002</v>
      </c>
      <c r="C861" s="10" t="str">
        <f>"FES1162561088"</f>
        <v>FES1162561088</v>
      </c>
      <c r="D861" s="10" t="s">
        <v>19</v>
      </c>
      <c r="E861" s="10" t="s">
        <v>295</v>
      </c>
      <c r="F861" s="10" t="str">
        <f>"2170577080 "</f>
        <v xml:space="preserve">2170577080 </v>
      </c>
      <c r="G861" s="10" t="str">
        <f t="shared" si="37"/>
        <v>ON1</v>
      </c>
      <c r="H861" s="10" t="s">
        <v>21</v>
      </c>
      <c r="I861" s="10" t="s">
        <v>179</v>
      </c>
      <c r="J861" s="10" t="str">
        <f>""</f>
        <v/>
      </c>
      <c r="K861" s="10" t="str">
        <f>"PFES1162561088_0001"</f>
        <v>PFES1162561088_0001</v>
      </c>
      <c r="L861" s="10">
        <v>1</v>
      </c>
      <c r="M861" s="10">
        <v>6</v>
      </c>
    </row>
    <row r="862" spans="1:13">
      <c r="A862" s="8">
        <v>42923</v>
      </c>
      <c r="B862" s="9">
        <v>0.58680555555555558</v>
      </c>
      <c r="C862" s="10" t="str">
        <f>"FES1162561092"</f>
        <v>FES1162561092</v>
      </c>
      <c r="D862" s="10" t="s">
        <v>19</v>
      </c>
      <c r="E862" s="10" t="s">
        <v>255</v>
      </c>
      <c r="F862" s="10" t="str">
        <f>"2170577850 "</f>
        <v xml:space="preserve">2170577850 </v>
      </c>
      <c r="G862" s="10" t="str">
        <f t="shared" si="37"/>
        <v>ON1</v>
      </c>
      <c r="H862" s="10" t="s">
        <v>21</v>
      </c>
      <c r="I862" s="10" t="s">
        <v>256</v>
      </c>
      <c r="J862" s="10" t="str">
        <f>""</f>
        <v/>
      </c>
      <c r="K862" s="10" t="str">
        <f>"PFES1162561092_0001"</f>
        <v>PFES1162561092_0001</v>
      </c>
      <c r="L862" s="10">
        <v>1</v>
      </c>
      <c r="M862" s="10">
        <v>17</v>
      </c>
    </row>
    <row r="863" spans="1:13">
      <c r="A863" s="8">
        <v>42923</v>
      </c>
      <c r="B863" s="9">
        <v>0.58680555555555558</v>
      </c>
      <c r="C863" s="10" t="str">
        <f>"FES1162561078"</f>
        <v>FES1162561078</v>
      </c>
      <c r="D863" s="10" t="s">
        <v>19</v>
      </c>
      <c r="E863" s="10" t="s">
        <v>255</v>
      </c>
      <c r="F863" s="10" t="str">
        <f>"2170577846 "</f>
        <v xml:space="preserve">2170577846 </v>
      </c>
      <c r="G863" s="10" t="str">
        <f t="shared" si="37"/>
        <v>ON1</v>
      </c>
      <c r="H863" s="10" t="s">
        <v>21</v>
      </c>
      <c r="I863" s="10" t="s">
        <v>256</v>
      </c>
      <c r="J863" s="10" t="str">
        <f>""</f>
        <v/>
      </c>
      <c r="K863" s="10" t="str">
        <f>"PFES1162561078_0001"</f>
        <v>PFES1162561078_0001</v>
      </c>
      <c r="L863" s="10">
        <v>1</v>
      </c>
      <c r="M863" s="10">
        <v>15</v>
      </c>
    </row>
    <row r="864" spans="1:13">
      <c r="A864" s="8">
        <v>42923</v>
      </c>
      <c r="B864" s="9">
        <v>0.58680555555555558</v>
      </c>
      <c r="C864" s="10" t="str">
        <f>"FES1162561127"</f>
        <v>FES1162561127</v>
      </c>
      <c r="D864" s="10" t="s">
        <v>19</v>
      </c>
      <c r="E864" s="10" t="s">
        <v>175</v>
      </c>
      <c r="F864" s="10" t="str">
        <f>"2170577870 "</f>
        <v xml:space="preserve">2170577870 </v>
      </c>
      <c r="G864" s="10" t="str">
        <f t="shared" si="37"/>
        <v>ON1</v>
      </c>
      <c r="H864" s="10" t="s">
        <v>21</v>
      </c>
      <c r="I864" s="10" t="s">
        <v>168</v>
      </c>
      <c r="J864" s="10" t="str">
        <f>""</f>
        <v/>
      </c>
      <c r="K864" s="10" t="str">
        <f>"PFES1162561127_0001"</f>
        <v>PFES1162561127_0001</v>
      </c>
      <c r="L864" s="10">
        <v>1</v>
      </c>
      <c r="M864" s="10">
        <v>6</v>
      </c>
    </row>
    <row r="865" spans="1:13">
      <c r="A865" s="8">
        <v>42923</v>
      </c>
      <c r="B865" s="9">
        <v>0.5854166666666667</v>
      </c>
      <c r="C865" s="10" t="str">
        <f>"FES1162561204"</f>
        <v>FES1162561204</v>
      </c>
      <c r="D865" s="10" t="s">
        <v>19</v>
      </c>
      <c r="E865" s="10" t="s">
        <v>143</v>
      </c>
      <c r="F865" s="10" t="str">
        <f>"2170577949 "</f>
        <v xml:space="preserve">2170577949 </v>
      </c>
      <c r="G865" s="10" t="str">
        <f t="shared" si="37"/>
        <v>ON1</v>
      </c>
      <c r="H865" s="10" t="s">
        <v>21</v>
      </c>
      <c r="I865" s="10" t="s">
        <v>121</v>
      </c>
      <c r="J865" s="10" t="str">
        <f>""</f>
        <v/>
      </c>
      <c r="K865" s="10" t="str">
        <f>"PFES1162561204_0001"</f>
        <v>PFES1162561204_0001</v>
      </c>
      <c r="L865" s="10">
        <v>1</v>
      </c>
      <c r="M865" s="10">
        <v>1</v>
      </c>
    </row>
    <row r="866" spans="1:13">
      <c r="A866" s="8">
        <v>42923</v>
      </c>
      <c r="B866" s="9">
        <v>0.58333333333333337</v>
      </c>
      <c r="C866" s="10" t="str">
        <f>"FES1162561212"</f>
        <v>FES1162561212</v>
      </c>
      <c r="D866" s="10" t="s">
        <v>19</v>
      </c>
      <c r="E866" s="10" t="s">
        <v>110</v>
      </c>
      <c r="F866" s="10" t="str">
        <f>"2170577959 "</f>
        <v xml:space="preserve">2170577959 </v>
      </c>
      <c r="G866" s="10" t="str">
        <f t="shared" si="37"/>
        <v>ON1</v>
      </c>
      <c r="H866" s="10" t="s">
        <v>21</v>
      </c>
      <c r="I866" s="10" t="s">
        <v>111</v>
      </c>
      <c r="J866" s="10" t="str">
        <f>""</f>
        <v/>
      </c>
      <c r="K866" s="10" t="str">
        <f>"PFES1162561212_0001"</f>
        <v>PFES1162561212_0001</v>
      </c>
      <c r="L866" s="10">
        <v>1</v>
      </c>
      <c r="M866" s="10">
        <v>1</v>
      </c>
    </row>
    <row r="867" spans="1:13">
      <c r="A867" s="8">
        <v>42923</v>
      </c>
      <c r="B867" s="9">
        <v>0.57638888888888895</v>
      </c>
      <c r="C867" s="10" t="str">
        <f>"FES1162561192"</f>
        <v>FES1162561192</v>
      </c>
      <c r="D867" s="10" t="s">
        <v>19</v>
      </c>
      <c r="E867" s="10" t="s">
        <v>164</v>
      </c>
      <c r="F867" s="10" t="str">
        <f>"2170577933 "</f>
        <v xml:space="preserve">2170577933 </v>
      </c>
      <c r="G867" s="10" t="str">
        <f t="shared" si="37"/>
        <v>ON1</v>
      </c>
      <c r="H867" s="10" t="s">
        <v>21</v>
      </c>
      <c r="I867" s="10" t="s">
        <v>147</v>
      </c>
      <c r="J867" s="10" t="str">
        <f>""</f>
        <v/>
      </c>
      <c r="K867" s="10" t="str">
        <f>"PFES1162561192_0001"</f>
        <v>PFES1162561192_0001</v>
      </c>
      <c r="L867" s="10">
        <v>1</v>
      </c>
      <c r="M867" s="10">
        <v>1</v>
      </c>
    </row>
    <row r="868" spans="1:13">
      <c r="A868" s="8">
        <v>42923</v>
      </c>
      <c r="B868" s="9">
        <v>0.5756944444444444</v>
      </c>
      <c r="C868" s="10" t="str">
        <f>"FES1162561194"</f>
        <v>FES1162561194</v>
      </c>
      <c r="D868" s="10" t="s">
        <v>19</v>
      </c>
      <c r="E868" s="10" t="s">
        <v>146</v>
      </c>
      <c r="F868" s="10" t="str">
        <f>"2170577940 "</f>
        <v xml:space="preserve">2170577940 </v>
      </c>
      <c r="G868" s="10" t="str">
        <f t="shared" si="37"/>
        <v>ON1</v>
      </c>
      <c r="H868" s="10" t="s">
        <v>21</v>
      </c>
      <c r="I868" s="10" t="s">
        <v>147</v>
      </c>
      <c r="J868" s="10" t="str">
        <f>""</f>
        <v/>
      </c>
      <c r="K868" s="10" t="str">
        <f>"PFES1162561194_0001"</f>
        <v>PFES1162561194_0001</v>
      </c>
      <c r="L868" s="10">
        <v>1</v>
      </c>
      <c r="M868" s="10">
        <v>10</v>
      </c>
    </row>
    <row r="869" spans="1:13">
      <c r="A869" s="8">
        <v>42923</v>
      </c>
      <c r="B869" s="9">
        <v>0.56527777777777777</v>
      </c>
      <c r="C869" s="10" t="str">
        <f>"FES1162561205"</f>
        <v>FES1162561205</v>
      </c>
      <c r="D869" s="10" t="s">
        <v>19</v>
      </c>
      <c r="E869" s="10" t="s">
        <v>62</v>
      </c>
      <c r="F869" s="10" t="str">
        <f>"2170567951 "</f>
        <v xml:space="preserve">2170567951 </v>
      </c>
      <c r="G869" s="10" t="str">
        <f t="shared" si="37"/>
        <v>ON1</v>
      </c>
      <c r="H869" s="10" t="s">
        <v>21</v>
      </c>
      <c r="I869" s="10" t="s">
        <v>40</v>
      </c>
      <c r="J869" s="10" t="str">
        <f>""</f>
        <v/>
      </c>
      <c r="K869" s="10" t="str">
        <f>"PFES1162561205_0001"</f>
        <v>PFES1162561205_0001</v>
      </c>
      <c r="L869" s="10">
        <v>1</v>
      </c>
      <c r="M869" s="10">
        <v>4</v>
      </c>
    </row>
    <row r="870" spans="1:13">
      <c r="A870" s="8">
        <v>42923</v>
      </c>
      <c r="B870" s="9">
        <v>0.56180555555555556</v>
      </c>
      <c r="C870" s="10" t="str">
        <f>"FES1162561209"</f>
        <v>FES1162561209</v>
      </c>
      <c r="D870" s="10" t="s">
        <v>19</v>
      </c>
      <c r="E870" s="10" t="s">
        <v>265</v>
      </c>
      <c r="F870" s="10" t="str">
        <f>"2170577936 "</f>
        <v xml:space="preserve">2170577936 </v>
      </c>
      <c r="G870" s="10" t="str">
        <f t="shared" si="37"/>
        <v>ON1</v>
      </c>
      <c r="H870" s="10" t="s">
        <v>21</v>
      </c>
      <c r="I870" s="10" t="s">
        <v>230</v>
      </c>
      <c r="J870" s="10" t="str">
        <f>""</f>
        <v/>
      </c>
      <c r="K870" s="10" t="str">
        <f>"PFES1162561209_0001"</f>
        <v>PFES1162561209_0001</v>
      </c>
      <c r="L870" s="10">
        <v>1</v>
      </c>
      <c r="M870" s="10">
        <v>4</v>
      </c>
    </row>
    <row r="871" spans="1:13">
      <c r="A871" s="8">
        <v>42923</v>
      </c>
      <c r="B871" s="9">
        <v>0.56111111111111112</v>
      </c>
      <c r="C871" s="10" t="str">
        <f>"FES1162561208"</f>
        <v>FES1162561208</v>
      </c>
      <c r="D871" s="10" t="s">
        <v>19</v>
      </c>
      <c r="E871" s="10" t="s">
        <v>614</v>
      </c>
      <c r="F871" s="10" t="str">
        <f>"2170577526 "</f>
        <v xml:space="preserve">2170577526 </v>
      </c>
      <c r="G871" s="10" t="str">
        <f t="shared" si="37"/>
        <v>ON1</v>
      </c>
      <c r="H871" s="10" t="s">
        <v>21</v>
      </c>
      <c r="I871" s="10" t="s">
        <v>26</v>
      </c>
      <c r="J871" s="10" t="str">
        <f>""</f>
        <v/>
      </c>
      <c r="K871" s="10" t="str">
        <f>"PFES1162561208_0001"</f>
        <v>PFES1162561208_0001</v>
      </c>
      <c r="L871" s="10">
        <v>1</v>
      </c>
      <c r="M871" s="10">
        <v>1</v>
      </c>
    </row>
    <row r="872" spans="1:13">
      <c r="A872" s="8">
        <v>42923</v>
      </c>
      <c r="B872" s="9">
        <v>0.56041666666666667</v>
      </c>
      <c r="C872" s="10" t="str">
        <f>"FES1162561210"</f>
        <v>FES1162561210</v>
      </c>
      <c r="D872" s="10" t="s">
        <v>19</v>
      </c>
      <c r="E872" s="10" t="s">
        <v>89</v>
      </c>
      <c r="F872" s="10" t="str">
        <f>"2170577953 "</f>
        <v xml:space="preserve">2170577953 </v>
      </c>
      <c r="G872" s="10" t="str">
        <f t="shared" si="37"/>
        <v>ON1</v>
      </c>
      <c r="H872" s="10" t="s">
        <v>21</v>
      </c>
      <c r="I872" s="10" t="s">
        <v>90</v>
      </c>
      <c r="J872" s="10" t="str">
        <f>""</f>
        <v/>
      </c>
      <c r="K872" s="10" t="str">
        <f>"PFES1162561210_0001"</f>
        <v>PFES1162561210_0001</v>
      </c>
      <c r="L872" s="10">
        <v>1</v>
      </c>
      <c r="M872" s="10">
        <v>1</v>
      </c>
    </row>
    <row r="873" spans="1:13">
      <c r="A873" s="8">
        <v>42923</v>
      </c>
      <c r="B873" s="9">
        <v>0.55972222222222223</v>
      </c>
      <c r="C873" s="10" t="str">
        <f>"FES1162561114"</f>
        <v>FES1162561114</v>
      </c>
      <c r="D873" s="10" t="s">
        <v>19</v>
      </c>
      <c r="E873" s="10" t="s">
        <v>180</v>
      </c>
      <c r="F873" s="10" t="str">
        <f>"2170577867 "</f>
        <v xml:space="preserve">2170577867 </v>
      </c>
      <c r="G873" s="10" t="str">
        <f t="shared" si="37"/>
        <v>ON1</v>
      </c>
      <c r="H873" s="10" t="s">
        <v>21</v>
      </c>
      <c r="I873" s="10" t="s">
        <v>168</v>
      </c>
      <c r="J873" s="10" t="str">
        <f>""</f>
        <v/>
      </c>
      <c r="K873" s="10" t="str">
        <f>"PFES1162561114_0001"</f>
        <v>PFES1162561114_0001</v>
      </c>
      <c r="L873" s="10">
        <v>1</v>
      </c>
      <c r="M873" s="10">
        <v>2</v>
      </c>
    </row>
    <row r="874" spans="1:13">
      <c r="A874" s="8">
        <v>42923</v>
      </c>
      <c r="B874" s="9">
        <v>0.55902777777777779</v>
      </c>
      <c r="C874" s="10" t="str">
        <f>"FES1162561054"</f>
        <v>FES1162561054</v>
      </c>
      <c r="D874" s="10" t="s">
        <v>19</v>
      </c>
      <c r="E874" s="10" t="s">
        <v>460</v>
      </c>
      <c r="F874" s="10" t="str">
        <f>"2170577822 "</f>
        <v xml:space="preserve">2170577822 </v>
      </c>
      <c r="G874" s="10" t="str">
        <f t="shared" si="37"/>
        <v>ON1</v>
      </c>
      <c r="H874" s="10" t="s">
        <v>21</v>
      </c>
      <c r="I874" s="10" t="s">
        <v>461</v>
      </c>
      <c r="J874" s="10" t="str">
        <f>""</f>
        <v/>
      </c>
      <c r="K874" s="10" t="str">
        <f>"PFES1162561054_0001"</f>
        <v>PFES1162561054_0001</v>
      </c>
      <c r="L874" s="10">
        <v>1</v>
      </c>
      <c r="M874" s="10">
        <v>6</v>
      </c>
    </row>
    <row r="875" spans="1:13">
      <c r="A875" s="8">
        <v>42923</v>
      </c>
      <c r="B875" s="9">
        <v>0.54722222222222217</v>
      </c>
      <c r="C875" s="10" t="str">
        <f>"FES1162561186"</f>
        <v>FES1162561186</v>
      </c>
      <c r="D875" s="10" t="s">
        <v>19</v>
      </c>
      <c r="E875" s="10" t="s">
        <v>615</v>
      </c>
      <c r="F875" s="10" t="str">
        <f>"2170577929 "</f>
        <v xml:space="preserve">2170577929 </v>
      </c>
      <c r="G875" s="10" t="str">
        <f t="shared" si="37"/>
        <v>ON1</v>
      </c>
      <c r="H875" s="10" t="s">
        <v>21</v>
      </c>
      <c r="I875" s="10" t="s">
        <v>342</v>
      </c>
      <c r="J875" s="10" t="str">
        <f>""</f>
        <v/>
      </c>
      <c r="K875" s="10" t="str">
        <f>"PFES1162561186_0001"</f>
        <v>PFES1162561186_0001</v>
      </c>
      <c r="L875" s="10">
        <v>1</v>
      </c>
      <c r="M875" s="10">
        <v>1</v>
      </c>
    </row>
    <row r="876" spans="1:13">
      <c r="A876" s="8">
        <v>42923</v>
      </c>
      <c r="B876" s="9">
        <v>0.54652777777777783</v>
      </c>
      <c r="C876" s="10" t="str">
        <f>"FES1162561144"</f>
        <v>FES1162561144</v>
      </c>
      <c r="D876" s="10" t="s">
        <v>19</v>
      </c>
      <c r="E876" s="10" t="s">
        <v>288</v>
      </c>
      <c r="F876" s="10" t="str">
        <f>"2170575667 "</f>
        <v xml:space="preserve">2170575667 </v>
      </c>
      <c r="G876" s="10" t="str">
        <f t="shared" si="37"/>
        <v>ON1</v>
      </c>
      <c r="H876" s="10" t="s">
        <v>21</v>
      </c>
      <c r="I876" s="10" t="s">
        <v>177</v>
      </c>
      <c r="J876" s="10" t="str">
        <f>""</f>
        <v/>
      </c>
      <c r="K876" s="10" t="str">
        <f>"PFES1162561144_0001"</f>
        <v>PFES1162561144_0001</v>
      </c>
      <c r="L876" s="10">
        <v>1</v>
      </c>
      <c r="M876" s="10">
        <v>2</v>
      </c>
    </row>
    <row r="877" spans="1:13">
      <c r="A877" s="8">
        <v>42923</v>
      </c>
      <c r="B877" s="9">
        <v>0.54513888888888895</v>
      </c>
      <c r="C877" s="10" t="str">
        <f>"FES1162561189"</f>
        <v>FES1162561189</v>
      </c>
      <c r="D877" s="10" t="s">
        <v>19</v>
      </c>
      <c r="E877" s="10" t="s">
        <v>249</v>
      </c>
      <c r="F877" s="10" t="str">
        <f>"2170574772 "</f>
        <v xml:space="preserve">2170574772 </v>
      </c>
      <c r="G877" s="10" t="str">
        <f t="shared" si="37"/>
        <v>ON1</v>
      </c>
      <c r="H877" s="10" t="s">
        <v>21</v>
      </c>
      <c r="I877" s="10" t="s">
        <v>166</v>
      </c>
      <c r="J877" s="10" t="str">
        <f>""</f>
        <v/>
      </c>
      <c r="K877" s="10" t="str">
        <f>"PFES1162561189_0001"</f>
        <v>PFES1162561189_0001</v>
      </c>
      <c r="L877" s="10">
        <v>1</v>
      </c>
      <c r="M877" s="10">
        <v>1</v>
      </c>
    </row>
    <row r="878" spans="1:13">
      <c r="A878" s="8">
        <v>42923</v>
      </c>
      <c r="B878" s="9">
        <v>0.54513888888888895</v>
      </c>
      <c r="C878" s="10" t="str">
        <f>"FES1162561089"</f>
        <v>FES1162561089</v>
      </c>
      <c r="D878" s="10" t="s">
        <v>19</v>
      </c>
      <c r="E878" s="10" t="s">
        <v>286</v>
      </c>
      <c r="F878" s="10" t="str">
        <f>"2170577145 "</f>
        <v xml:space="preserve">2170577145 </v>
      </c>
      <c r="G878" s="10" t="str">
        <f t="shared" si="37"/>
        <v>ON1</v>
      </c>
      <c r="H878" s="10" t="s">
        <v>21</v>
      </c>
      <c r="I878" s="10" t="s">
        <v>177</v>
      </c>
      <c r="J878" s="10" t="str">
        <f>""</f>
        <v/>
      </c>
      <c r="K878" s="10" t="str">
        <f>"PFES1162561089_0001"</f>
        <v>PFES1162561089_0001</v>
      </c>
      <c r="L878" s="10">
        <v>1</v>
      </c>
      <c r="M878" s="10">
        <v>1</v>
      </c>
    </row>
    <row r="879" spans="1:13">
      <c r="A879" s="8">
        <v>42923</v>
      </c>
      <c r="B879" s="9">
        <v>0.5444444444444444</v>
      </c>
      <c r="C879" s="10" t="str">
        <f>"FES1162561182"</f>
        <v>FES1162561182</v>
      </c>
      <c r="D879" s="10" t="s">
        <v>19</v>
      </c>
      <c r="E879" s="10" t="s">
        <v>616</v>
      </c>
      <c r="F879" s="10" t="str">
        <f>"2170577924 "</f>
        <v xml:space="preserve">2170577924 </v>
      </c>
      <c r="G879" s="10" t="str">
        <f t="shared" si="37"/>
        <v>ON1</v>
      </c>
      <c r="H879" s="10" t="s">
        <v>21</v>
      </c>
      <c r="I879" s="10" t="s">
        <v>32</v>
      </c>
      <c r="J879" s="10" t="str">
        <f>""</f>
        <v/>
      </c>
      <c r="K879" s="10" t="str">
        <f>"PFES1162561182_0001"</f>
        <v>PFES1162561182_0001</v>
      </c>
      <c r="L879" s="10">
        <v>1</v>
      </c>
      <c r="M879" s="10">
        <v>2</v>
      </c>
    </row>
    <row r="880" spans="1:13">
      <c r="A880" s="8">
        <v>42923</v>
      </c>
      <c r="B880" s="9">
        <v>0.54375000000000007</v>
      </c>
      <c r="C880" s="10" t="str">
        <f>"FES1162561137"</f>
        <v>FES1162561137</v>
      </c>
      <c r="D880" s="10" t="s">
        <v>19</v>
      </c>
      <c r="E880" s="10" t="s">
        <v>562</v>
      </c>
      <c r="F880" s="10" t="str">
        <f>"2170577884 "</f>
        <v xml:space="preserve">2170577884 </v>
      </c>
      <c r="G880" s="10" t="str">
        <f t="shared" si="37"/>
        <v>ON1</v>
      </c>
      <c r="H880" s="10" t="s">
        <v>21</v>
      </c>
      <c r="I880" s="10" t="s">
        <v>563</v>
      </c>
      <c r="J880" s="10" t="str">
        <f>""</f>
        <v/>
      </c>
      <c r="K880" s="10" t="str">
        <f>"PFES1162561137_0001"</f>
        <v>PFES1162561137_0001</v>
      </c>
      <c r="L880" s="10">
        <v>1</v>
      </c>
      <c r="M880" s="10">
        <v>1</v>
      </c>
    </row>
    <row r="881" spans="1:13">
      <c r="A881" s="8">
        <v>42923</v>
      </c>
      <c r="B881" s="9">
        <v>0.54097222222222219</v>
      </c>
      <c r="C881" s="10" t="str">
        <f>"FES1162561199"</f>
        <v>FES1162561199</v>
      </c>
      <c r="D881" s="10" t="s">
        <v>19</v>
      </c>
      <c r="E881" s="10" t="s">
        <v>288</v>
      </c>
      <c r="F881" s="10" t="str">
        <f>"2170577945 "</f>
        <v xml:space="preserve">2170577945 </v>
      </c>
      <c r="G881" s="10" t="str">
        <f t="shared" si="37"/>
        <v>ON1</v>
      </c>
      <c r="H881" s="10" t="s">
        <v>21</v>
      </c>
      <c r="I881" s="10" t="s">
        <v>252</v>
      </c>
      <c r="J881" s="10" t="str">
        <f>""</f>
        <v/>
      </c>
      <c r="K881" s="10" t="str">
        <f>"PFES1162561199_0001"</f>
        <v>PFES1162561199_0001</v>
      </c>
      <c r="L881" s="10">
        <v>1</v>
      </c>
      <c r="M881" s="10">
        <v>1</v>
      </c>
    </row>
    <row r="882" spans="1:13">
      <c r="A882" s="8">
        <v>42923</v>
      </c>
      <c r="B882" s="9">
        <v>0.53125</v>
      </c>
      <c r="C882" s="10" t="str">
        <f>"FES1162561146"</f>
        <v>FES1162561146</v>
      </c>
      <c r="D882" s="10" t="s">
        <v>19</v>
      </c>
      <c r="E882" s="10" t="s">
        <v>282</v>
      </c>
      <c r="F882" s="10" t="str">
        <f>"2170577887 "</f>
        <v xml:space="preserve">2170577887 </v>
      </c>
      <c r="G882" s="10" t="str">
        <f t="shared" si="37"/>
        <v>ON1</v>
      </c>
      <c r="H882" s="10" t="s">
        <v>21</v>
      </c>
      <c r="I882" s="10" t="s">
        <v>252</v>
      </c>
      <c r="J882" s="10" t="str">
        <f>""</f>
        <v/>
      </c>
      <c r="K882" s="10" t="str">
        <f>"PFES1162561146_0001"</f>
        <v>PFES1162561146_0001</v>
      </c>
      <c r="L882" s="10">
        <v>1</v>
      </c>
      <c r="M882" s="10">
        <v>2</v>
      </c>
    </row>
    <row r="883" spans="1:13">
      <c r="A883" s="8">
        <v>42923</v>
      </c>
      <c r="B883" s="9">
        <v>0.52986111111111112</v>
      </c>
      <c r="C883" s="10" t="str">
        <f>"FES1162561018"</f>
        <v>FES1162561018</v>
      </c>
      <c r="D883" s="10" t="s">
        <v>19</v>
      </c>
      <c r="E883" s="10" t="s">
        <v>326</v>
      </c>
      <c r="F883" s="10" t="str">
        <f>"2170577812 "</f>
        <v xml:space="preserve">2170577812 </v>
      </c>
      <c r="G883" s="10" t="str">
        <f t="shared" si="37"/>
        <v>ON1</v>
      </c>
      <c r="H883" s="10" t="s">
        <v>21</v>
      </c>
      <c r="I883" s="10" t="s">
        <v>327</v>
      </c>
      <c r="J883" s="10" t="str">
        <f>""</f>
        <v/>
      </c>
      <c r="K883" s="10" t="str">
        <f>"PFES1162561018_0001"</f>
        <v>PFES1162561018_0001</v>
      </c>
      <c r="L883" s="10">
        <v>1</v>
      </c>
      <c r="M883" s="10">
        <v>1</v>
      </c>
    </row>
    <row r="884" spans="1:13">
      <c r="A884" s="8">
        <v>42923</v>
      </c>
      <c r="B884" s="9">
        <v>0.52847222222222223</v>
      </c>
      <c r="C884" s="10" t="str">
        <f>"FES1162561069"</f>
        <v>FES1162561069</v>
      </c>
      <c r="D884" s="10" t="s">
        <v>19</v>
      </c>
      <c r="E884" s="10" t="s">
        <v>304</v>
      </c>
      <c r="F884" s="10" t="str">
        <f>"2170577837 "</f>
        <v xml:space="preserve">2170577837 </v>
      </c>
      <c r="G884" s="10" t="str">
        <f t="shared" si="37"/>
        <v>ON1</v>
      </c>
      <c r="H884" s="10" t="s">
        <v>21</v>
      </c>
      <c r="I884" s="10" t="s">
        <v>56</v>
      </c>
      <c r="J884" s="10" t="str">
        <f>""</f>
        <v/>
      </c>
      <c r="K884" s="10" t="str">
        <f>"PFES1162561069_0001"</f>
        <v>PFES1162561069_0001</v>
      </c>
      <c r="L884" s="10">
        <v>1</v>
      </c>
      <c r="M884" s="10">
        <v>1</v>
      </c>
    </row>
    <row r="885" spans="1:13">
      <c r="A885" s="8">
        <v>42923</v>
      </c>
      <c r="B885" s="9">
        <v>0.52638888888888891</v>
      </c>
      <c r="C885" s="10" t="str">
        <f>"FES1162561177"</f>
        <v>FES1162561177</v>
      </c>
      <c r="D885" s="10" t="s">
        <v>19</v>
      </c>
      <c r="E885" s="10" t="s">
        <v>245</v>
      </c>
      <c r="F885" s="10" t="str">
        <f>"2170577921 "</f>
        <v xml:space="preserve">2170577921 </v>
      </c>
      <c r="G885" s="10" t="str">
        <f t="shared" si="37"/>
        <v>ON1</v>
      </c>
      <c r="H885" s="10" t="s">
        <v>21</v>
      </c>
      <c r="I885" s="10" t="s">
        <v>246</v>
      </c>
      <c r="J885" s="10" t="str">
        <f>""</f>
        <v/>
      </c>
      <c r="K885" s="10" t="str">
        <f>"PFES1162561177_0001"</f>
        <v>PFES1162561177_0001</v>
      </c>
      <c r="L885" s="10">
        <v>1</v>
      </c>
      <c r="M885" s="10">
        <v>1</v>
      </c>
    </row>
    <row r="886" spans="1:13">
      <c r="A886" s="8">
        <v>42923</v>
      </c>
      <c r="B886" s="9">
        <v>0.52500000000000002</v>
      </c>
      <c r="C886" s="10" t="str">
        <f>"FES1162561178"</f>
        <v>FES1162561178</v>
      </c>
      <c r="D886" s="10" t="s">
        <v>19</v>
      </c>
      <c r="E886" s="10" t="s">
        <v>617</v>
      </c>
      <c r="F886" s="10" t="str">
        <f>"2170577923 "</f>
        <v xml:space="preserve">2170577923 </v>
      </c>
      <c r="G886" s="10" t="str">
        <f t="shared" si="37"/>
        <v>ON1</v>
      </c>
      <c r="H886" s="10" t="s">
        <v>21</v>
      </c>
      <c r="I886" s="10" t="s">
        <v>618</v>
      </c>
      <c r="J886" s="10" t="str">
        <f>""</f>
        <v/>
      </c>
      <c r="K886" s="10" t="str">
        <f>"PFES1162561178_0001"</f>
        <v>PFES1162561178_0001</v>
      </c>
      <c r="L886" s="10">
        <v>1</v>
      </c>
      <c r="M886" s="10">
        <v>1</v>
      </c>
    </row>
    <row r="887" spans="1:13">
      <c r="A887" s="8">
        <v>42923</v>
      </c>
      <c r="B887" s="9">
        <v>0.52430555555555558</v>
      </c>
      <c r="C887" s="10" t="str">
        <f>"FES1162561155"</f>
        <v>FES1162561155</v>
      </c>
      <c r="D887" s="10" t="s">
        <v>19</v>
      </c>
      <c r="E887" s="10" t="s">
        <v>320</v>
      </c>
      <c r="F887" s="10" t="str">
        <f>"2170577896 "</f>
        <v xml:space="preserve">2170577896 </v>
      </c>
      <c r="G887" s="10" t="str">
        <f t="shared" si="37"/>
        <v>ON1</v>
      </c>
      <c r="H887" s="10" t="s">
        <v>21</v>
      </c>
      <c r="I887" s="10" t="s">
        <v>32</v>
      </c>
      <c r="J887" s="10" t="str">
        <f>""</f>
        <v/>
      </c>
      <c r="K887" s="10" t="str">
        <f>"PFES1162561155_0001"</f>
        <v>PFES1162561155_0001</v>
      </c>
      <c r="L887" s="10">
        <v>1</v>
      </c>
      <c r="M887" s="10">
        <v>1</v>
      </c>
    </row>
    <row r="888" spans="1:13">
      <c r="A888" s="8">
        <v>42923</v>
      </c>
      <c r="B888" s="9">
        <v>0.52430555555555558</v>
      </c>
      <c r="C888" s="10" t="str">
        <f>"FES1162561046"</f>
        <v>FES1162561046</v>
      </c>
      <c r="D888" s="10" t="s">
        <v>19</v>
      </c>
      <c r="E888" s="10" t="s">
        <v>396</v>
      </c>
      <c r="F888" s="10" t="str">
        <f>"21705776461 "</f>
        <v xml:space="preserve">21705776461 </v>
      </c>
      <c r="G888" s="10" t="str">
        <f t="shared" si="37"/>
        <v>ON1</v>
      </c>
      <c r="H888" s="10" t="s">
        <v>21</v>
      </c>
      <c r="I888" s="10" t="s">
        <v>340</v>
      </c>
      <c r="J888" s="10" t="str">
        <f>""</f>
        <v/>
      </c>
      <c r="K888" s="10" t="str">
        <f>"PFES1162561046_0001"</f>
        <v>PFES1162561046_0001</v>
      </c>
      <c r="L888" s="10">
        <v>1</v>
      </c>
      <c r="M888" s="10">
        <v>11</v>
      </c>
    </row>
    <row r="889" spans="1:13">
      <c r="A889" s="8">
        <v>42923</v>
      </c>
      <c r="B889" s="9">
        <v>0.52430555555555558</v>
      </c>
      <c r="C889" s="10" t="str">
        <f>"FES1162561049"</f>
        <v>FES1162561049</v>
      </c>
      <c r="D889" s="10" t="s">
        <v>19</v>
      </c>
      <c r="E889" s="10" t="s">
        <v>492</v>
      </c>
      <c r="F889" s="10" t="str">
        <f>"2170577626 "</f>
        <v xml:space="preserve">2170577626 </v>
      </c>
      <c r="G889" s="10" t="str">
        <f t="shared" si="37"/>
        <v>ON1</v>
      </c>
      <c r="H889" s="10" t="s">
        <v>21</v>
      </c>
      <c r="I889" s="10" t="s">
        <v>168</v>
      </c>
      <c r="J889" s="10" t="str">
        <f>""</f>
        <v/>
      </c>
      <c r="K889" s="10" t="str">
        <f>"PFES1162561049_0001"</f>
        <v>PFES1162561049_0001</v>
      </c>
      <c r="L889" s="10">
        <v>1</v>
      </c>
      <c r="M889" s="10">
        <v>6</v>
      </c>
    </row>
    <row r="890" spans="1:13">
      <c r="A890" s="8">
        <v>42923</v>
      </c>
      <c r="B890" s="9">
        <v>0.52430555555555558</v>
      </c>
      <c r="C890" s="10" t="str">
        <f>"FES1162561147"</f>
        <v>FES1162561147</v>
      </c>
      <c r="D890" s="10" t="s">
        <v>19</v>
      </c>
      <c r="E890" s="10" t="s">
        <v>99</v>
      </c>
      <c r="F890" s="10" t="str">
        <f>"2170577888 "</f>
        <v xml:space="preserve">2170577888 </v>
      </c>
      <c r="G890" s="10" t="str">
        <f t="shared" si="37"/>
        <v>ON1</v>
      </c>
      <c r="H890" s="10" t="s">
        <v>21</v>
      </c>
      <c r="I890" s="10" t="s">
        <v>100</v>
      </c>
      <c r="J890" s="10" t="str">
        <f>""</f>
        <v/>
      </c>
      <c r="K890" s="10" t="str">
        <f>"PFES1162561147_0001"</f>
        <v>PFES1162561147_0001</v>
      </c>
      <c r="L890" s="10">
        <v>1</v>
      </c>
      <c r="M890" s="10">
        <v>1</v>
      </c>
    </row>
    <row r="891" spans="1:13">
      <c r="A891" s="8">
        <v>42923</v>
      </c>
      <c r="B891" s="9">
        <v>0.52361111111111114</v>
      </c>
      <c r="C891" s="10" t="str">
        <f>"FES1162561171"</f>
        <v>FES1162561171</v>
      </c>
      <c r="D891" s="10" t="s">
        <v>19</v>
      </c>
      <c r="E891" s="10" t="s">
        <v>619</v>
      </c>
      <c r="F891" s="10" t="str">
        <f>"2170577915 "</f>
        <v xml:space="preserve">2170577915 </v>
      </c>
      <c r="G891" s="10" t="str">
        <f t="shared" si="37"/>
        <v>ON1</v>
      </c>
      <c r="H891" s="10" t="s">
        <v>21</v>
      </c>
      <c r="I891" s="10" t="s">
        <v>620</v>
      </c>
      <c r="J891" s="10" t="str">
        <f>""</f>
        <v/>
      </c>
      <c r="K891" s="10" t="str">
        <f>"PFES1162561171_0001"</f>
        <v>PFES1162561171_0001</v>
      </c>
      <c r="L891" s="10">
        <v>1</v>
      </c>
      <c r="M891" s="10">
        <v>4</v>
      </c>
    </row>
    <row r="892" spans="1:13">
      <c r="A892" s="8">
        <v>42923</v>
      </c>
      <c r="B892" s="9">
        <v>0.52361111111111114</v>
      </c>
      <c r="C892" s="10" t="str">
        <f>"FES1162561073"</f>
        <v>FES1162561073</v>
      </c>
      <c r="D892" s="10" t="s">
        <v>19</v>
      </c>
      <c r="E892" s="10" t="s">
        <v>621</v>
      </c>
      <c r="F892" s="10" t="str">
        <f>"2170577841 "</f>
        <v xml:space="preserve">2170577841 </v>
      </c>
      <c r="G892" s="10" t="str">
        <f t="shared" si="37"/>
        <v>ON1</v>
      </c>
      <c r="H892" s="10" t="s">
        <v>21</v>
      </c>
      <c r="I892" s="10" t="s">
        <v>607</v>
      </c>
      <c r="J892" s="10" t="str">
        <f>""</f>
        <v/>
      </c>
      <c r="K892" s="10" t="str">
        <f>"PFES1162561073_0001"</f>
        <v>PFES1162561073_0001</v>
      </c>
      <c r="L892" s="10">
        <v>1</v>
      </c>
      <c r="M892" s="10">
        <v>4</v>
      </c>
    </row>
    <row r="893" spans="1:13">
      <c r="A893" s="8">
        <v>42923</v>
      </c>
      <c r="B893" s="9">
        <v>0.5229166666666667</v>
      </c>
      <c r="C893" s="10" t="str">
        <f>"FES1162561161"</f>
        <v>FES1162561161</v>
      </c>
      <c r="D893" s="10" t="s">
        <v>19</v>
      </c>
      <c r="E893" s="10" t="s">
        <v>99</v>
      </c>
      <c r="F893" s="10" t="str">
        <f>"2170577903 "</f>
        <v xml:space="preserve">2170577903 </v>
      </c>
      <c r="G893" s="10" t="str">
        <f t="shared" si="37"/>
        <v>ON1</v>
      </c>
      <c r="H893" s="10" t="s">
        <v>21</v>
      </c>
      <c r="I893" s="10" t="s">
        <v>100</v>
      </c>
      <c r="J893" s="10" t="str">
        <f>""</f>
        <v/>
      </c>
      <c r="K893" s="10" t="str">
        <f>"PFES1162561161_0001"</f>
        <v>PFES1162561161_0001</v>
      </c>
      <c r="L893" s="10">
        <v>1</v>
      </c>
      <c r="M893" s="10">
        <v>1</v>
      </c>
    </row>
    <row r="894" spans="1:13">
      <c r="A894" s="8">
        <v>42923</v>
      </c>
      <c r="B894" s="9">
        <v>0.5229166666666667</v>
      </c>
      <c r="C894" s="10" t="str">
        <f>"FES1162561123"</f>
        <v>FES1162561123</v>
      </c>
      <c r="D894" s="10" t="s">
        <v>19</v>
      </c>
      <c r="E894" s="10" t="s">
        <v>33</v>
      </c>
      <c r="F894" s="10" t="str">
        <f>"2170577712 "</f>
        <v xml:space="preserve">2170577712 </v>
      </c>
      <c r="G894" s="10" t="str">
        <f t="shared" si="37"/>
        <v>ON1</v>
      </c>
      <c r="H894" s="10" t="s">
        <v>21</v>
      </c>
      <c r="I894" s="10" t="s">
        <v>34</v>
      </c>
      <c r="J894" s="10" t="str">
        <f>""</f>
        <v/>
      </c>
      <c r="K894" s="10" t="str">
        <f>"PFES1162561123_0001"</f>
        <v>PFES1162561123_0001</v>
      </c>
      <c r="L894" s="10">
        <v>1</v>
      </c>
      <c r="M894" s="10">
        <v>7</v>
      </c>
    </row>
    <row r="895" spans="1:13">
      <c r="A895" s="8">
        <v>42923</v>
      </c>
      <c r="B895" s="9">
        <v>0.52222222222222225</v>
      </c>
      <c r="C895" s="10" t="str">
        <f>"FES1162561141"</f>
        <v>FES1162561141</v>
      </c>
      <c r="D895" s="10" t="s">
        <v>19</v>
      </c>
      <c r="E895" s="10" t="s">
        <v>622</v>
      </c>
      <c r="F895" s="10" t="str">
        <f>"21705757571 "</f>
        <v xml:space="preserve">21705757571 </v>
      </c>
      <c r="G895" s="10" t="str">
        <f t="shared" si="37"/>
        <v>ON1</v>
      </c>
      <c r="H895" s="10" t="s">
        <v>21</v>
      </c>
      <c r="I895" s="10" t="s">
        <v>202</v>
      </c>
      <c r="J895" s="10" t="str">
        <f>""</f>
        <v/>
      </c>
      <c r="K895" s="10" t="str">
        <f>"PFES1162561141_0001"</f>
        <v>PFES1162561141_0001</v>
      </c>
      <c r="L895" s="10">
        <v>1</v>
      </c>
      <c r="M895" s="10">
        <v>2</v>
      </c>
    </row>
    <row r="896" spans="1:13">
      <c r="A896" s="8">
        <v>42923</v>
      </c>
      <c r="B896" s="9">
        <v>0.52222222222222225</v>
      </c>
      <c r="C896" s="10" t="str">
        <f>"FES162561117"</f>
        <v>FES162561117</v>
      </c>
      <c r="D896" s="10" t="s">
        <v>19</v>
      </c>
      <c r="E896" s="10" t="s">
        <v>623</v>
      </c>
      <c r="F896" s="10" t="str">
        <f>"2150757879 "</f>
        <v xml:space="preserve">2150757879 </v>
      </c>
      <c r="G896" s="10" t="str">
        <f t="shared" si="37"/>
        <v>ON1</v>
      </c>
      <c r="H896" s="10" t="s">
        <v>21</v>
      </c>
      <c r="I896" s="10" t="s">
        <v>38</v>
      </c>
      <c r="J896" s="10" t="str">
        <f>""</f>
        <v/>
      </c>
      <c r="K896" s="10" t="str">
        <f>"PFES162561117_0001"</f>
        <v>PFES162561117_0001</v>
      </c>
      <c r="L896" s="10">
        <v>1</v>
      </c>
      <c r="M896" s="10">
        <v>1</v>
      </c>
    </row>
    <row r="897" spans="1:13">
      <c r="A897" s="8">
        <v>42923</v>
      </c>
      <c r="B897" s="9">
        <v>0.52222222222222225</v>
      </c>
      <c r="C897" s="10" t="str">
        <f>"FES1162561167"</f>
        <v>FES1162561167</v>
      </c>
      <c r="D897" s="10" t="s">
        <v>19</v>
      </c>
      <c r="E897" s="10" t="s">
        <v>624</v>
      </c>
      <c r="F897" s="10" t="str">
        <f>"2170577908 "</f>
        <v xml:space="preserve">2170577908 </v>
      </c>
      <c r="G897" s="10" t="str">
        <f t="shared" si="37"/>
        <v>ON1</v>
      </c>
      <c r="H897" s="10" t="s">
        <v>21</v>
      </c>
      <c r="I897" s="10" t="s">
        <v>267</v>
      </c>
      <c r="J897" s="10" t="str">
        <f>""</f>
        <v/>
      </c>
      <c r="K897" s="10" t="str">
        <f>"PFES1162561167_0001"</f>
        <v>PFES1162561167_0001</v>
      </c>
      <c r="L897" s="10">
        <v>1</v>
      </c>
      <c r="M897" s="10">
        <v>1</v>
      </c>
    </row>
    <row r="898" spans="1:13">
      <c r="A898" s="8">
        <v>42923</v>
      </c>
      <c r="B898" s="9">
        <v>0.52152777777777781</v>
      </c>
      <c r="C898" s="10" t="str">
        <f>"FES1162561172"</f>
        <v>FES1162561172</v>
      </c>
      <c r="D898" s="10" t="s">
        <v>19</v>
      </c>
      <c r="E898" s="10" t="s">
        <v>33</v>
      </c>
      <c r="F898" s="10" t="str">
        <f>"21705774146 "</f>
        <v xml:space="preserve">21705774146 </v>
      </c>
      <c r="G898" s="10" t="str">
        <f t="shared" si="37"/>
        <v>ON1</v>
      </c>
      <c r="H898" s="10" t="s">
        <v>21</v>
      </c>
      <c r="I898" s="10" t="s">
        <v>34</v>
      </c>
      <c r="J898" s="10" t="str">
        <f>""</f>
        <v/>
      </c>
      <c r="K898" s="10" t="str">
        <f>"PFES1162561172_0001"</f>
        <v>PFES1162561172_0001</v>
      </c>
      <c r="L898" s="10">
        <v>1</v>
      </c>
      <c r="M898" s="10">
        <v>1</v>
      </c>
    </row>
    <row r="899" spans="1:13">
      <c r="A899" s="8">
        <v>42923</v>
      </c>
      <c r="B899" s="9">
        <v>0.52083333333333337</v>
      </c>
      <c r="C899" s="10" t="str">
        <f>"FES1162561041"</f>
        <v>FES1162561041</v>
      </c>
      <c r="D899" s="10" t="s">
        <v>19</v>
      </c>
      <c r="E899" s="10" t="s">
        <v>329</v>
      </c>
      <c r="F899" s="10" t="str">
        <f>"2170575907 "</f>
        <v xml:space="preserve">2170575907 </v>
      </c>
      <c r="G899" s="10" t="str">
        <f t="shared" si="37"/>
        <v>ON1</v>
      </c>
      <c r="H899" s="10" t="s">
        <v>21</v>
      </c>
      <c r="I899" s="10" t="s">
        <v>330</v>
      </c>
      <c r="J899" s="10" t="str">
        <f>""</f>
        <v/>
      </c>
      <c r="K899" s="10" t="str">
        <f>"PFES1162561041_0001"</f>
        <v>PFES1162561041_0001</v>
      </c>
      <c r="L899" s="10">
        <v>1</v>
      </c>
      <c r="M899" s="10">
        <v>1</v>
      </c>
    </row>
    <row r="900" spans="1:13">
      <c r="A900" s="8">
        <v>42923</v>
      </c>
      <c r="B900" s="9">
        <v>0.52013888888888882</v>
      </c>
      <c r="C900" s="10" t="str">
        <f>"FES1162561135"</f>
        <v>FES1162561135</v>
      </c>
      <c r="D900" s="10" t="s">
        <v>19</v>
      </c>
      <c r="E900" s="10" t="s">
        <v>288</v>
      </c>
      <c r="F900" s="10" t="str">
        <f>"2170577881 "</f>
        <v xml:space="preserve">2170577881 </v>
      </c>
      <c r="G900" s="10" t="str">
        <f t="shared" si="37"/>
        <v>ON1</v>
      </c>
      <c r="H900" s="10" t="s">
        <v>21</v>
      </c>
      <c r="I900" s="10" t="s">
        <v>300</v>
      </c>
      <c r="J900" s="10" t="str">
        <f>""</f>
        <v/>
      </c>
      <c r="K900" s="10" t="str">
        <f>"PFES1162561135_0001"</f>
        <v>PFES1162561135_0001</v>
      </c>
      <c r="L900" s="10">
        <v>1</v>
      </c>
      <c r="M900" s="10">
        <v>1</v>
      </c>
    </row>
    <row r="901" spans="1:13">
      <c r="A901" s="8">
        <v>42923</v>
      </c>
      <c r="B901" s="9">
        <v>0.51944444444444449</v>
      </c>
      <c r="C901" s="10" t="str">
        <f>"FES1162561115"</f>
        <v>FES1162561115</v>
      </c>
      <c r="D901" s="10" t="s">
        <v>19</v>
      </c>
      <c r="E901" s="10" t="s">
        <v>625</v>
      </c>
      <c r="F901" s="10" t="str">
        <f>"2170577868 "</f>
        <v xml:space="preserve">2170577868 </v>
      </c>
      <c r="G901" s="10" t="str">
        <f t="shared" si="37"/>
        <v>ON1</v>
      </c>
      <c r="H901" s="10" t="s">
        <v>21</v>
      </c>
      <c r="I901" s="10" t="s">
        <v>330</v>
      </c>
      <c r="J901" s="10" t="str">
        <f>""</f>
        <v/>
      </c>
      <c r="K901" s="10" t="str">
        <f>"PFES1162561115_0001"</f>
        <v>PFES1162561115_0001</v>
      </c>
      <c r="L901" s="10">
        <v>1</v>
      </c>
      <c r="M901" s="10">
        <v>1</v>
      </c>
    </row>
    <row r="902" spans="1:13">
      <c r="A902" s="8">
        <v>42923</v>
      </c>
      <c r="B902" s="9">
        <v>0.5180555555555556</v>
      </c>
      <c r="C902" s="10" t="str">
        <f>"FES1162561072"</f>
        <v>FES1162561072</v>
      </c>
      <c r="D902" s="10" t="s">
        <v>19</v>
      </c>
      <c r="E902" s="10" t="s">
        <v>396</v>
      </c>
      <c r="F902" s="10" t="str">
        <f>"2170577840 "</f>
        <v xml:space="preserve">2170577840 </v>
      </c>
      <c r="G902" s="10" t="str">
        <f t="shared" si="37"/>
        <v>ON1</v>
      </c>
      <c r="H902" s="10" t="s">
        <v>21</v>
      </c>
      <c r="I902" s="10" t="s">
        <v>340</v>
      </c>
      <c r="J902" s="10" t="str">
        <f>""</f>
        <v/>
      </c>
      <c r="K902" s="10" t="str">
        <f>"PFES1162561072_0001"</f>
        <v>PFES1162561072_0001</v>
      </c>
      <c r="L902" s="10">
        <v>1</v>
      </c>
      <c r="M902" s="10">
        <v>1</v>
      </c>
    </row>
    <row r="903" spans="1:13">
      <c r="A903" s="8">
        <v>42923</v>
      </c>
      <c r="B903" s="9">
        <v>0.51736111111111105</v>
      </c>
      <c r="C903" s="10" t="str">
        <f>"FES1162561104"</f>
        <v>FES1162561104</v>
      </c>
      <c r="D903" s="10" t="s">
        <v>19</v>
      </c>
      <c r="E903" s="10" t="s">
        <v>626</v>
      </c>
      <c r="F903" s="10" t="str">
        <f>"2170577858 "</f>
        <v xml:space="preserve">2170577858 </v>
      </c>
      <c r="G903" s="10" t="str">
        <f t="shared" si="37"/>
        <v>ON1</v>
      </c>
      <c r="H903" s="10" t="s">
        <v>21</v>
      </c>
      <c r="I903" s="10" t="s">
        <v>627</v>
      </c>
      <c r="J903" s="10" t="str">
        <f>""</f>
        <v/>
      </c>
      <c r="K903" s="10" t="str">
        <f>"PFES1162561104_0001"</f>
        <v>PFES1162561104_0001</v>
      </c>
      <c r="L903" s="10">
        <v>1</v>
      </c>
      <c r="M903" s="10">
        <v>1</v>
      </c>
    </row>
    <row r="904" spans="1:13">
      <c r="A904" s="8">
        <v>42923</v>
      </c>
      <c r="B904" s="9">
        <v>0.51666666666666672</v>
      </c>
      <c r="C904" s="10" t="str">
        <f>"FES1162561059"</f>
        <v>FES1162561059</v>
      </c>
      <c r="D904" s="10" t="s">
        <v>19</v>
      </c>
      <c r="E904" s="10" t="s">
        <v>326</v>
      </c>
      <c r="F904" s="10" t="str">
        <f>"2170577827 "</f>
        <v xml:space="preserve">2170577827 </v>
      </c>
      <c r="G904" s="10" t="str">
        <f t="shared" si="37"/>
        <v>ON1</v>
      </c>
      <c r="H904" s="10" t="s">
        <v>21</v>
      </c>
      <c r="I904" s="10" t="s">
        <v>327</v>
      </c>
      <c r="J904" s="10" t="str">
        <f>""</f>
        <v/>
      </c>
      <c r="K904" s="10" t="str">
        <f>"PFES1162561059_0001"</f>
        <v>PFES1162561059_0001</v>
      </c>
      <c r="L904" s="10">
        <v>1</v>
      </c>
      <c r="M904" s="10">
        <v>1</v>
      </c>
    </row>
    <row r="905" spans="1:13">
      <c r="A905" s="8">
        <v>42923</v>
      </c>
      <c r="B905" s="9">
        <v>0.51458333333333328</v>
      </c>
      <c r="C905" s="10" t="str">
        <f>"FES1162561185"</f>
        <v>FES1162561185</v>
      </c>
      <c r="D905" s="10" t="s">
        <v>19</v>
      </c>
      <c r="E905" s="10" t="s">
        <v>245</v>
      </c>
      <c r="F905" s="10" t="str">
        <f>"2170577928 "</f>
        <v xml:space="preserve">2170577928 </v>
      </c>
      <c r="G905" s="10" t="str">
        <f t="shared" si="37"/>
        <v>ON1</v>
      </c>
      <c r="H905" s="10" t="s">
        <v>21</v>
      </c>
      <c r="I905" s="10" t="s">
        <v>246</v>
      </c>
      <c r="J905" s="10" t="str">
        <f>""</f>
        <v/>
      </c>
      <c r="K905" s="10" t="str">
        <f>"PFES1162561185_0001"</f>
        <v>PFES1162561185_0001</v>
      </c>
      <c r="L905" s="10">
        <v>1</v>
      </c>
      <c r="M905" s="10">
        <v>1</v>
      </c>
    </row>
    <row r="906" spans="1:13">
      <c r="A906" s="8">
        <v>42923</v>
      </c>
      <c r="B906" s="9">
        <v>0.51458333333333328</v>
      </c>
      <c r="C906" s="10" t="str">
        <f>"FES1162561188"</f>
        <v>FES1162561188</v>
      </c>
      <c r="D906" s="10" t="s">
        <v>19</v>
      </c>
      <c r="E906" s="10" t="s">
        <v>549</v>
      </c>
      <c r="F906" s="10" t="str">
        <f>"2170577935 "</f>
        <v xml:space="preserve">2170577935 </v>
      </c>
      <c r="G906" s="10" t="str">
        <f t="shared" si="37"/>
        <v>ON1</v>
      </c>
      <c r="H906" s="10" t="s">
        <v>21</v>
      </c>
      <c r="I906" s="10" t="s">
        <v>224</v>
      </c>
      <c r="J906" s="10" t="str">
        <f>""</f>
        <v/>
      </c>
      <c r="K906" s="10" t="str">
        <f>"PFES1162561188_0001"</f>
        <v>PFES1162561188_0001</v>
      </c>
      <c r="L906" s="10">
        <v>1</v>
      </c>
      <c r="M906" s="10">
        <v>1</v>
      </c>
    </row>
    <row r="907" spans="1:13">
      <c r="A907" s="8">
        <v>42923</v>
      </c>
      <c r="B907" s="9">
        <v>0.51388888888888895</v>
      </c>
      <c r="C907" s="10" t="str">
        <f>"FES1162561121"</f>
        <v>FES1162561121</v>
      </c>
      <c r="D907" s="10" t="s">
        <v>19</v>
      </c>
      <c r="E907" s="10" t="s">
        <v>498</v>
      </c>
      <c r="F907" s="10" t="str">
        <f>"2170577562 "</f>
        <v xml:space="preserve">2170577562 </v>
      </c>
      <c r="G907" s="10" t="str">
        <f>"ON2"</f>
        <v>ON2</v>
      </c>
      <c r="H907" s="10" t="s">
        <v>21</v>
      </c>
      <c r="I907" s="10" t="s">
        <v>84</v>
      </c>
      <c r="J907" s="10" t="str">
        <f>""</f>
        <v/>
      </c>
      <c r="K907" s="10" t="str">
        <f>"PFES1162561121_0001"</f>
        <v>PFES1162561121_0001</v>
      </c>
      <c r="L907" s="10">
        <v>2</v>
      </c>
      <c r="M907" s="10">
        <v>18</v>
      </c>
    </row>
    <row r="908" spans="1:13">
      <c r="A908" s="8">
        <v>42923</v>
      </c>
      <c r="B908" s="9">
        <v>0.51388888888888895</v>
      </c>
      <c r="C908" s="10" t="str">
        <f>"FES1162561121"</f>
        <v>FES1162561121</v>
      </c>
      <c r="D908" s="10" t="s">
        <v>19</v>
      </c>
      <c r="E908" s="10" t="s">
        <v>498</v>
      </c>
      <c r="F908" s="10" t="str">
        <f>"2170577562 "</f>
        <v xml:space="preserve">2170577562 </v>
      </c>
      <c r="G908" s="10" t="str">
        <f>"ON2"</f>
        <v>ON2</v>
      </c>
      <c r="H908" s="10" t="s">
        <v>21</v>
      </c>
      <c r="I908" s="10" t="s">
        <v>84</v>
      </c>
      <c r="J908" s="10"/>
      <c r="K908" s="10" t="str">
        <f>"PFES1162561121_0002"</f>
        <v>PFES1162561121_0002</v>
      </c>
      <c r="L908" s="10">
        <v>2</v>
      </c>
      <c r="M908" s="10">
        <v>18</v>
      </c>
    </row>
    <row r="909" spans="1:13">
      <c r="A909" s="8">
        <v>42923</v>
      </c>
      <c r="B909" s="9">
        <v>0.51250000000000007</v>
      </c>
      <c r="C909" s="10" t="str">
        <f>"FES1162561048"</f>
        <v>FES1162561048</v>
      </c>
      <c r="D909" s="10" t="s">
        <v>19</v>
      </c>
      <c r="E909" s="10" t="s">
        <v>277</v>
      </c>
      <c r="F909" s="10" t="str">
        <f>"21705777232 "</f>
        <v xml:space="preserve">21705777232 </v>
      </c>
      <c r="G909" s="10" t="str">
        <f t="shared" ref="G909:G915" si="38">"ON1"</f>
        <v>ON1</v>
      </c>
      <c r="H909" s="10" t="s">
        <v>21</v>
      </c>
      <c r="I909" s="10" t="s">
        <v>628</v>
      </c>
      <c r="J909" s="10" t="str">
        <f>""</f>
        <v/>
      </c>
      <c r="K909" s="10" t="str">
        <f>"PFES1162561048_0001"</f>
        <v>PFES1162561048_0001</v>
      </c>
      <c r="L909" s="10">
        <v>1</v>
      </c>
      <c r="M909" s="10">
        <v>9</v>
      </c>
    </row>
    <row r="910" spans="1:13">
      <c r="A910" s="8">
        <v>42923</v>
      </c>
      <c r="B910" s="9">
        <v>0.51250000000000007</v>
      </c>
      <c r="C910" s="10" t="str">
        <f>"FES1162561133"</f>
        <v>FES1162561133</v>
      </c>
      <c r="D910" s="10" t="s">
        <v>19</v>
      </c>
      <c r="E910" s="10" t="s">
        <v>255</v>
      </c>
      <c r="F910" s="10" t="str">
        <f>"21705777877 "</f>
        <v xml:space="preserve">21705777877 </v>
      </c>
      <c r="G910" s="10" t="str">
        <f t="shared" si="38"/>
        <v>ON1</v>
      </c>
      <c r="H910" s="10" t="s">
        <v>21</v>
      </c>
      <c r="I910" s="10" t="s">
        <v>256</v>
      </c>
      <c r="J910" s="10" t="str">
        <f>""</f>
        <v/>
      </c>
      <c r="K910" s="10" t="str">
        <f>"PFES1162561133_0001"</f>
        <v>PFES1162561133_0001</v>
      </c>
      <c r="L910" s="10">
        <v>1</v>
      </c>
      <c r="M910" s="10">
        <v>9</v>
      </c>
    </row>
    <row r="911" spans="1:13">
      <c r="A911" s="8">
        <v>42923</v>
      </c>
      <c r="B911" s="9">
        <v>0.51180555555555551</v>
      </c>
      <c r="C911" s="10" t="str">
        <f>"FES1162561103"</f>
        <v>FES1162561103</v>
      </c>
      <c r="D911" s="10" t="s">
        <v>19</v>
      </c>
      <c r="E911" s="10" t="s">
        <v>629</v>
      </c>
      <c r="F911" s="10" t="str">
        <f>"2170577791 "</f>
        <v xml:space="preserve">2170577791 </v>
      </c>
      <c r="G911" s="10" t="str">
        <f t="shared" si="38"/>
        <v>ON1</v>
      </c>
      <c r="H911" s="10" t="s">
        <v>21</v>
      </c>
      <c r="I911" s="10" t="s">
        <v>630</v>
      </c>
      <c r="J911" s="10" t="str">
        <f>""</f>
        <v/>
      </c>
      <c r="K911" s="10" t="str">
        <f>"PFES1162561103_0001"</f>
        <v>PFES1162561103_0001</v>
      </c>
      <c r="L911" s="10">
        <v>1</v>
      </c>
      <c r="M911" s="10">
        <v>2</v>
      </c>
    </row>
    <row r="912" spans="1:13">
      <c r="A912" s="8">
        <v>42923</v>
      </c>
      <c r="B912" s="9">
        <v>0.51180555555555551</v>
      </c>
      <c r="C912" s="10" t="str">
        <f>"FES1162561066"</f>
        <v>FES1162561066</v>
      </c>
      <c r="D912" s="10" t="s">
        <v>19</v>
      </c>
      <c r="E912" s="10" t="s">
        <v>211</v>
      </c>
      <c r="F912" s="10" t="str">
        <f>"2170577834 "</f>
        <v xml:space="preserve">2170577834 </v>
      </c>
      <c r="G912" s="10" t="str">
        <f t="shared" si="38"/>
        <v>ON1</v>
      </c>
      <c r="H912" s="10" t="s">
        <v>21</v>
      </c>
      <c r="I912" s="10" t="s">
        <v>56</v>
      </c>
      <c r="J912" s="10" t="str">
        <f>""</f>
        <v/>
      </c>
      <c r="K912" s="10" t="str">
        <f>"PFES1162561066_0001"</f>
        <v>PFES1162561066_0001</v>
      </c>
      <c r="L912" s="10">
        <v>1</v>
      </c>
      <c r="M912" s="10">
        <v>1</v>
      </c>
    </row>
    <row r="913" spans="1:13">
      <c r="A913" s="8">
        <v>42923</v>
      </c>
      <c r="B913" s="9">
        <v>0.51111111111111118</v>
      </c>
      <c r="C913" s="10" t="str">
        <f>"FES1162561019"</f>
        <v>FES1162561019</v>
      </c>
      <c r="D913" s="10" t="s">
        <v>19</v>
      </c>
      <c r="E913" s="10" t="s">
        <v>456</v>
      </c>
      <c r="F913" s="10" t="str">
        <f>"2170577813 "</f>
        <v xml:space="preserve">2170577813 </v>
      </c>
      <c r="G913" s="10" t="str">
        <f t="shared" si="38"/>
        <v>ON1</v>
      </c>
      <c r="H913" s="10" t="s">
        <v>21</v>
      </c>
      <c r="I913" s="10" t="s">
        <v>36</v>
      </c>
      <c r="J913" s="10" t="str">
        <f>""</f>
        <v/>
      </c>
      <c r="K913" s="10" t="str">
        <f>"PFES1162561019_0001"</f>
        <v>PFES1162561019_0001</v>
      </c>
      <c r="L913" s="10">
        <v>1</v>
      </c>
      <c r="M913" s="10">
        <v>6</v>
      </c>
    </row>
    <row r="914" spans="1:13">
      <c r="A914" s="8">
        <v>42923</v>
      </c>
      <c r="B914" s="9">
        <v>0.50972222222222219</v>
      </c>
      <c r="C914" s="10" t="str">
        <f>"FES1162561093"</f>
        <v>FES1162561093</v>
      </c>
      <c r="D914" s="10" t="s">
        <v>19</v>
      </c>
      <c r="E914" s="10" t="s">
        <v>631</v>
      </c>
      <c r="F914" s="10" t="str">
        <f>"2170577851 "</f>
        <v xml:space="preserve">2170577851 </v>
      </c>
      <c r="G914" s="10" t="str">
        <f t="shared" si="38"/>
        <v>ON1</v>
      </c>
      <c r="H914" s="10" t="s">
        <v>21</v>
      </c>
      <c r="I914" s="10" t="s">
        <v>90</v>
      </c>
      <c r="J914" s="10" t="str">
        <f>""</f>
        <v/>
      </c>
      <c r="K914" s="10" t="str">
        <f>"PFES1162561093_0001"</f>
        <v>PFES1162561093_0001</v>
      </c>
      <c r="L914" s="10">
        <v>1</v>
      </c>
      <c r="M914" s="10">
        <v>1</v>
      </c>
    </row>
    <row r="915" spans="1:13">
      <c r="A915" s="8">
        <v>42923</v>
      </c>
      <c r="B915" s="9">
        <v>0.50902777777777775</v>
      </c>
      <c r="C915" s="10" t="str">
        <f>"FES1162561126"</f>
        <v>FES1162561126</v>
      </c>
      <c r="D915" s="10" t="s">
        <v>19</v>
      </c>
      <c r="E915" s="10" t="s">
        <v>632</v>
      </c>
      <c r="F915" s="10" t="str">
        <f>"2170577803 "</f>
        <v xml:space="preserve">2170577803 </v>
      </c>
      <c r="G915" s="10" t="str">
        <f t="shared" si="38"/>
        <v>ON1</v>
      </c>
      <c r="H915" s="10" t="s">
        <v>21</v>
      </c>
      <c r="I915" s="10" t="s">
        <v>166</v>
      </c>
      <c r="J915" s="10" t="str">
        <f>""</f>
        <v/>
      </c>
      <c r="K915" s="10" t="str">
        <f>"PFES1162561126_0001"</f>
        <v>PFES1162561126_0001</v>
      </c>
      <c r="L915" s="10">
        <v>1</v>
      </c>
      <c r="M915" s="10">
        <v>1</v>
      </c>
    </row>
    <row r="916" spans="1:13">
      <c r="A916" s="8">
        <v>42923</v>
      </c>
      <c r="B916" s="9">
        <v>0.50902777777777775</v>
      </c>
      <c r="C916" s="10" t="str">
        <f>"FES1162561017"</f>
        <v>FES1162561017</v>
      </c>
      <c r="D916" s="10" t="s">
        <v>19</v>
      </c>
      <c r="E916" s="10" t="s">
        <v>255</v>
      </c>
      <c r="F916" s="10" t="str">
        <f>"2170577811 "</f>
        <v xml:space="preserve">2170577811 </v>
      </c>
      <c r="G916" s="10" t="str">
        <f>"DBC"</f>
        <v>DBC</v>
      </c>
      <c r="H916" s="10" t="s">
        <v>21</v>
      </c>
      <c r="I916" s="10" t="s">
        <v>256</v>
      </c>
      <c r="J916" s="10" t="str">
        <f>""</f>
        <v/>
      </c>
      <c r="K916" s="10" t="str">
        <f>"PFES1162561017_0001"</f>
        <v>PFES1162561017_0001</v>
      </c>
      <c r="L916" s="10">
        <v>1</v>
      </c>
      <c r="M916" s="10">
        <v>20</v>
      </c>
    </row>
    <row r="917" spans="1:13">
      <c r="A917" s="8">
        <v>42923</v>
      </c>
      <c r="B917" s="9">
        <v>0.49722222222222223</v>
      </c>
      <c r="C917" s="10" t="str">
        <f>"FES1162561176"</f>
        <v>FES1162561176</v>
      </c>
      <c r="D917" s="10" t="s">
        <v>19</v>
      </c>
      <c r="E917" s="10" t="s">
        <v>39</v>
      </c>
      <c r="F917" s="10" t="str">
        <f>"2170577918 "</f>
        <v xml:space="preserve">2170577918 </v>
      </c>
      <c r="G917" s="10" t="str">
        <f t="shared" ref="G917:G977" si="39">"ON1"</f>
        <v>ON1</v>
      </c>
      <c r="H917" s="10" t="s">
        <v>21</v>
      </c>
      <c r="I917" s="10" t="s">
        <v>40</v>
      </c>
      <c r="J917" s="10" t="str">
        <f>""</f>
        <v/>
      </c>
      <c r="K917" s="10" t="str">
        <f>"PFES1162561176_0001"</f>
        <v>PFES1162561176_0001</v>
      </c>
      <c r="L917" s="10">
        <v>1</v>
      </c>
      <c r="M917" s="10">
        <v>2</v>
      </c>
    </row>
    <row r="918" spans="1:13">
      <c r="A918" s="8">
        <v>42923</v>
      </c>
      <c r="B918" s="9">
        <v>0.49652777777777773</v>
      </c>
      <c r="C918" s="10" t="str">
        <f>"FES1162561128"</f>
        <v>FES1162561128</v>
      </c>
      <c r="D918" s="10" t="s">
        <v>19</v>
      </c>
      <c r="E918" s="10" t="s">
        <v>255</v>
      </c>
      <c r="F918" s="10" t="str">
        <f>"2170577871 "</f>
        <v xml:space="preserve">2170577871 </v>
      </c>
      <c r="G918" s="10" t="str">
        <f t="shared" si="39"/>
        <v>ON1</v>
      </c>
      <c r="H918" s="10" t="s">
        <v>21</v>
      </c>
      <c r="I918" s="10" t="s">
        <v>256</v>
      </c>
      <c r="J918" s="10" t="str">
        <f>""</f>
        <v/>
      </c>
      <c r="K918" s="10" t="str">
        <f>"PFES1162561128_0001"</f>
        <v>PFES1162561128_0001</v>
      </c>
      <c r="L918" s="10">
        <v>1</v>
      </c>
      <c r="M918" s="10">
        <v>9</v>
      </c>
    </row>
    <row r="919" spans="1:13">
      <c r="A919" s="8">
        <v>42923</v>
      </c>
      <c r="B919" s="9">
        <v>0.49583333333333335</v>
      </c>
      <c r="C919" s="10" t="str">
        <f>"FES1162561116"</f>
        <v>FES1162561116</v>
      </c>
      <c r="D919" s="10" t="s">
        <v>19</v>
      </c>
      <c r="E919" s="10" t="s">
        <v>633</v>
      </c>
      <c r="F919" s="10" t="str">
        <f>"2170577869 "</f>
        <v xml:space="preserve">2170577869 </v>
      </c>
      <c r="G919" s="10" t="str">
        <f t="shared" si="39"/>
        <v>ON1</v>
      </c>
      <c r="H919" s="10" t="s">
        <v>21</v>
      </c>
      <c r="I919" s="10" t="s">
        <v>634</v>
      </c>
      <c r="J919" s="10" t="str">
        <f>""</f>
        <v/>
      </c>
      <c r="K919" s="10" t="str">
        <f>"PFES1162561116_0001"</f>
        <v>PFES1162561116_0001</v>
      </c>
      <c r="L919" s="10">
        <v>1</v>
      </c>
      <c r="M919" s="10">
        <v>1</v>
      </c>
    </row>
    <row r="920" spans="1:13">
      <c r="A920" s="8">
        <v>42923</v>
      </c>
      <c r="B920" s="9">
        <v>0.49583333333333335</v>
      </c>
      <c r="C920" s="10" t="str">
        <f>"FES1162561175"</f>
        <v>FES1162561175</v>
      </c>
      <c r="D920" s="10" t="s">
        <v>19</v>
      </c>
      <c r="E920" s="10" t="s">
        <v>184</v>
      </c>
      <c r="F920" s="10" t="str">
        <f>"2170577917 "</f>
        <v xml:space="preserve">2170577917 </v>
      </c>
      <c r="G920" s="10" t="str">
        <f t="shared" si="39"/>
        <v>ON1</v>
      </c>
      <c r="H920" s="10" t="s">
        <v>21</v>
      </c>
      <c r="I920" s="10" t="s">
        <v>185</v>
      </c>
      <c r="J920" s="10" t="str">
        <f>""</f>
        <v/>
      </c>
      <c r="K920" s="10" t="str">
        <f>"PFES1162561175_0001"</f>
        <v>PFES1162561175_0001</v>
      </c>
      <c r="L920" s="10">
        <v>1</v>
      </c>
      <c r="M920" s="10">
        <v>1</v>
      </c>
    </row>
    <row r="921" spans="1:13">
      <c r="A921" s="8">
        <v>42923</v>
      </c>
      <c r="B921" s="9">
        <v>0.49513888888888885</v>
      </c>
      <c r="C921" s="10" t="str">
        <f>"FES1162561113"</f>
        <v>FES1162561113</v>
      </c>
      <c r="D921" s="10" t="s">
        <v>19</v>
      </c>
      <c r="E921" s="10" t="s">
        <v>146</v>
      </c>
      <c r="F921" s="10" t="str">
        <f>"2170577866 "</f>
        <v xml:space="preserve">2170577866 </v>
      </c>
      <c r="G921" s="10" t="str">
        <f t="shared" si="39"/>
        <v>ON1</v>
      </c>
      <c r="H921" s="10" t="s">
        <v>21</v>
      </c>
      <c r="I921" s="10" t="s">
        <v>147</v>
      </c>
      <c r="J921" s="10" t="str">
        <f>""</f>
        <v/>
      </c>
      <c r="K921" s="10" t="str">
        <f>"PFES1162561113_0001"</f>
        <v>PFES1162561113_0001</v>
      </c>
      <c r="L921" s="10">
        <v>1</v>
      </c>
      <c r="M921" s="10">
        <v>1</v>
      </c>
    </row>
    <row r="922" spans="1:13">
      <c r="A922" s="8">
        <v>42923</v>
      </c>
      <c r="B922" s="9">
        <v>0.49444444444444446</v>
      </c>
      <c r="C922" s="10" t="str">
        <f>"FES1162561107"</f>
        <v>FES1162561107</v>
      </c>
      <c r="D922" s="10" t="s">
        <v>19</v>
      </c>
      <c r="E922" s="10" t="s">
        <v>635</v>
      </c>
      <c r="F922" s="10" t="str">
        <f>"2170577864 "</f>
        <v xml:space="preserve">2170577864 </v>
      </c>
      <c r="G922" s="10" t="str">
        <f t="shared" si="39"/>
        <v>ON1</v>
      </c>
      <c r="H922" s="10" t="s">
        <v>21</v>
      </c>
      <c r="I922" s="10" t="s">
        <v>567</v>
      </c>
      <c r="J922" s="10" t="str">
        <f>""</f>
        <v/>
      </c>
      <c r="K922" s="10" t="str">
        <f>"PFES1162561107_0001"</f>
        <v>PFES1162561107_0001</v>
      </c>
      <c r="L922" s="10">
        <v>1</v>
      </c>
      <c r="M922" s="10">
        <v>1</v>
      </c>
    </row>
    <row r="923" spans="1:13">
      <c r="A923" s="8">
        <v>42923</v>
      </c>
      <c r="B923" s="9">
        <v>0.49374999999999997</v>
      </c>
      <c r="C923" s="10" t="str">
        <f>"FES1162561051"</f>
        <v>FES1162561051</v>
      </c>
      <c r="D923" s="10" t="s">
        <v>19</v>
      </c>
      <c r="E923" s="10" t="s">
        <v>305</v>
      </c>
      <c r="F923" s="10" t="str">
        <f>"2170577787 "</f>
        <v xml:space="preserve">2170577787 </v>
      </c>
      <c r="G923" s="10" t="str">
        <f t="shared" si="39"/>
        <v>ON1</v>
      </c>
      <c r="H923" s="10" t="s">
        <v>21</v>
      </c>
      <c r="I923" s="10" t="s">
        <v>202</v>
      </c>
      <c r="J923" s="10" t="str">
        <f>""</f>
        <v/>
      </c>
      <c r="K923" s="10" t="str">
        <f>"PFES1162561051_0001"</f>
        <v>PFES1162561051_0001</v>
      </c>
      <c r="L923" s="10">
        <v>1</v>
      </c>
      <c r="M923" s="10">
        <v>1</v>
      </c>
    </row>
    <row r="924" spans="1:13">
      <c r="A924" s="8">
        <v>42923</v>
      </c>
      <c r="B924" s="9">
        <v>0.49305555555555558</v>
      </c>
      <c r="C924" s="10" t="str">
        <f>"FES1162561043"</f>
        <v>FES1162561043</v>
      </c>
      <c r="D924" s="10" t="s">
        <v>19</v>
      </c>
      <c r="E924" s="10" t="s">
        <v>33</v>
      </c>
      <c r="F924" s="10" t="str">
        <f>"2170575958 "</f>
        <v xml:space="preserve">2170575958 </v>
      </c>
      <c r="G924" s="10" t="str">
        <f t="shared" si="39"/>
        <v>ON1</v>
      </c>
      <c r="H924" s="10" t="s">
        <v>21</v>
      </c>
      <c r="I924" s="10" t="s">
        <v>34</v>
      </c>
      <c r="J924" s="10" t="str">
        <f>""</f>
        <v/>
      </c>
      <c r="K924" s="10" t="str">
        <f>"PFES1162561043_0001"</f>
        <v>PFES1162561043_0001</v>
      </c>
      <c r="L924" s="10">
        <v>1</v>
      </c>
      <c r="M924" s="10">
        <v>1</v>
      </c>
    </row>
    <row r="925" spans="1:13">
      <c r="A925" s="8">
        <v>42923</v>
      </c>
      <c r="B925" s="9">
        <v>0.4909722222222222</v>
      </c>
      <c r="C925" s="10" t="str">
        <f>"FES1162561029"</f>
        <v>FES1162561029</v>
      </c>
      <c r="D925" s="10" t="s">
        <v>19</v>
      </c>
      <c r="E925" s="10" t="s">
        <v>548</v>
      </c>
      <c r="F925" s="10" t="str">
        <f>"2170575503 "</f>
        <v xml:space="preserve">2170575503 </v>
      </c>
      <c r="G925" s="10" t="str">
        <f t="shared" si="39"/>
        <v>ON1</v>
      </c>
      <c r="H925" s="10" t="s">
        <v>21</v>
      </c>
      <c r="I925" s="10" t="s">
        <v>90</v>
      </c>
      <c r="J925" s="10" t="str">
        <f>""</f>
        <v/>
      </c>
      <c r="K925" s="10" t="str">
        <f>"PFES1162561029_0001"</f>
        <v>PFES1162561029_0001</v>
      </c>
      <c r="L925" s="10">
        <v>1</v>
      </c>
      <c r="M925" s="10">
        <v>1</v>
      </c>
    </row>
    <row r="926" spans="1:13">
      <c r="A926" s="8">
        <v>42923</v>
      </c>
      <c r="B926" s="9">
        <v>0.49027777777777781</v>
      </c>
      <c r="C926" s="10" t="str">
        <f>"FES1162561055"</f>
        <v>FES1162561055</v>
      </c>
      <c r="D926" s="10" t="s">
        <v>19</v>
      </c>
      <c r="E926" s="10" t="s">
        <v>636</v>
      </c>
      <c r="F926" s="10" t="str">
        <f>"2170577823 "</f>
        <v xml:space="preserve">2170577823 </v>
      </c>
      <c r="G926" s="10" t="str">
        <f t="shared" si="39"/>
        <v>ON1</v>
      </c>
      <c r="H926" s="10" t="s">
        <v>21</v>
      </c>
      <c r="I926" s="10" t="s">
        <v>637</v>
      </c>
      <c r="J926" s="10" t="str">
        <f>""</f>
        <v/>
      </c>
      <c r="K926" s="10" t="str">
        <f>"PFES1162561055_0001"</f>
        <v>PFES1162561055_0001</v>
      </c>
      <c r="L926" s="10">
        <v>1</v>
      </c>
      <c r="M926" s="10">
        <v>1</v>
      </c>
    </row>
    <row r="927" spans="1:13">
      <c r="A927" s="8">
        <v>42923</v>
      </c>
      <c r="B927" s="9">
        <v>0.49027777777777781</v>
      </c>
      <c r="C927" s="10" t="str">
        <f>"FES1162561024"</f>
        <v>FES1162561024</v>
      </c>
      <c r="D927" s="10" t="s">
        <v>19</v>
      </c>
      <c r="E927" s="10" t="s">
        <v>638</v>
      </c>
      <c r="F927" s="10" t="str">
        <f>"2170561152 "</f>
        <v xml:space="preserve">2170561152 </v>
      </c>
      <c r="G927" s="10" t="str">
        <f t="shared" si="39"/>
        <v>ON1</v>
      </c>
      <c r="H927" s="10" t="s">
        <v>21</v>
      </c>
      <c r="I927" s="10" t="s">
        <v>639</v>
      </c>
      <c r="J927" s="10" t="str">
        <f>""</f>
        <v/>
      </c>
      <c r="K927" s="10" t="str">
        <f>"PFES1162561024_0001"</f>
        <v>PFES1162561024_0001</v>
      </c>
      <c r="L927" s="10">
        <v>1</v>
      </c>
      <c r="M927" s="10">
        <v>1</v>
      </c>
    </row>
    <row r="928" spans="1:13">
      <c r="A928" s="8">
        <v>42923</v>
      </c>
      <c r="B928" s="9">
        <v>0.49027777777777781</v>
      </c>
      <c r="C928" s="10" t="str">
        <f>"FES1162561149"</f>
        <v>FES1162561149</v>
      </c>
      <c r="D928" s="10" t="s">
        <v>19</v>
      </c>
      <c r="E928" s="10" t="s">
        <v>49</v>
      </c>
      <c r="F928" s="10" t="str">
        <f>"21705769938 "</f>
        <v xml:space="preserve">21705769938 </v>
      </c>
      <c r="G928" s="10" t="str">
        <f t="shared" si="39"/>
        <v>ON1</v>
      </c>
      <c r="H928" s="10" t="s">
        <v>21</v>
      </c>
      <c r="I928" s="10" t="s">
        <v>50</v>
      </c>
      <c r="J928" s="10" t="str">
        <f>""</f>
        <v/>
      </c>
      <c r="K928" s="10" t="str">
        <f>"PFES1162561149_0001"</f>
        <v>PFES1162561149_0001</v>
      </c>
      <c r="L928" s="10">
        <v>1</v>
      </c>
      <c r="M928" s="10">
        <v>1</v>
      </c>
    </row>
    <row r="929" spans="1:13">
      <c r="A929" s="8">
        <v>42923</v>
      </c>
      <c r="B929" s="9">
        <v>0.48958333333333331</v>
      </c>
      <c r="C929" s="10" t="str">
        <f>"FES1162561056"</f>
        <v>FES1162561056</v>
      </c>
      <c r="D929" s="10" t="s">
        <v>19</v>
      </c>
      <c r="E929" s="10" t="s">
        <v>640</v>
      </c>
      <c r="F929" s="10" t="str">
        <f>"2170578244 "</f>
        <v xml:space="preserve">2170578244 </v>
      </c>
      <c r="G929" s="10" t="str">
        <f t="shared" si="39"/>
        <v>ON1</v>
      </c>
      <c r="H929" s="10" t="s">
        <v>21</v>
      </c>
      <c r="I929" s="10" t="s">
        <v>22</v>
      </c>
      <c r="J929" s="10" t="str">
        <f>""</f>
        <v/>
      </c>
      <c r="K929" s="10" t="str">
        <f>"PFES1162561056_0001"</f>
        <v>PFES1162561056_0001</v>
      </c>
      <c r="L929" s="10">
        <v>1</v>
      </c>
      <c r="M929" s="10">
        <v>1</v>
      </c>
    </row>
    <row r="930" spans="1:13">
      <c r="A930" s="8">
        <v>42923</v>
      </c>
      <c r="B930" s="9">
        <v>0.48958333333333331</v>
      </c>
      <c r="C930" s="10" t="str">
        <f>"FES1162561020"</f>
        <v>FES1162561020</v>
      </c>
      <c r="D930" s="10" t="s">
        <v>19</v>
      </c>
      <c r="E930" s="10" t="s">
        <v>265</v>
      </c>
      <c r="F930" s="10" t="str">
        <f>"2170577679 "</f>
        <v xml:space="preserve">2170577679 </v>
      </c>
      <c r="G930" s="10" t="str">
        <f t="shared" si="39"/>
        <v>ON1</v>
      </c>
      <c r="H930" s="10" t="s">
        <v>21</v>
      </c>
      <c r="I930" s="10" t="s">
        <v>230</v>
      </c>
      <c r="J930" s="10" t="str">
        <f>""</f>
        <v/>
      </c>
      <c r="K930" s="10" t="str">
        <f>"PFES1162561020_0001"</f>
        <v>PFES1162561020_0001</v>
      </c>
      <c r="L930" s="10">
        <v>1</v>
      </c>
      <c r="M930" s="10">
        <v>1</v>
      </c>
    </row>
    <row r="931" spans="1:13">
      <c r="A931" s="8">
        <v>42923</v>
      </c>
      <c r="B931" s="9">
        <v>0.48958333333333331</v>
      </c>
      <c r="C931" s="10" t="str">
        <f>"FES1162561063"</f>
        <v>FES1162561063</v>
      </c>
      <c r="D931" s="10" t="s">
        <v>19</v>
      </c>
      <c r="E931" s="10" t="s">
        <v>641</v>
      </c>
      <c r="F931" s="10" t="str">
        <f>"2170577797 "</f>
        <v xml:space="preserve">2170577797 </v>
      </c>
      <c r="G931" s="10" t="str">
        <f t="shared" si="39"/>
        <v>ON1</v>
      </c>
      <c r="H931" s="10" t="s">
        <v>21</v>
      </c>
      <c r="I931" s="10" t="s">
        <v>22</v>
      </c>
      <c r="J931" s="10" t="str">
        <f>""</f>
        <v/>
      </c>
      <c r="K931" s="10" t="str">
        <f>"PFES1162561063_0001"</f>
        <v>PFES1162561063_0001</v>
      </c>
      <c r="L931" s="10">
        <v>1</v>
      </c>
      <c r="M931" s="10">
        <v>1</v>
      </c>
    </row>
    <row r="932" spans="1:13">
      <c r="A932" s="8">
        <v>42923</v>
      </c>
      <c r="B932" s="9">
        <v>0.48888888888888887</v>
      </c>
      <c r="C932" s="10" t="str">
        <f>"FES1162561050"</f>
        <v>FES1162561050</v>
      </c>
      <c r="D932" s="10" t="s">
        <v>19</v>
      </c>
      <c r="E932" s="10" t="s">
        <v>154</v>
      </c>
      <c r="F932" s="10" t="str">
        <f>"2170577670 "</f>
        <v xml:space="preserve">2170577670 </v>
      </c>
      <c r="G932" s="10" t="str">
        <f t="shared" si="39"/>
        <v>ON1</v>
      </c>
      <c r="H932" s="10" t="s">
        <v>21</v>
      </c>
      <c r="I932" s="10" t="s">
        <v>130</v>
      </c>
      <c r="J932" s="10" t="str">
        <f>""</f>
        <v/>
      </c>
      <c r="K932" s="10" t="str">
        <f>"PFES1162561050_0001"</f>
        <v>PFES1162561050_0001</v>
      </c>
      <c r="L932" s="10">
        <v>1</v>
      </c>
      <c r="M932" s="10">
        <v>1</v>
      </c>
    </row>
    <row r="933" spans="1:13">
      <c r="A933" s="8">
        <v>42923</v>
      </c>
      <c r="B933" s="9">
        <v>0.48888888888888887</v>
      </c>
      <c r="C933" s="10" t="str">
        <f>"FES1162561145"</f>
        <v>FES1162561145</v>
      </c>
      <c r="D933" s="10" t="s">
        <v>19</v>
      </c>
      <c r="E933" s="10" t="s">
        <v>118</v>
      </c>
      <c r="F933" s="10" t="str">
        <f>"2170577876 "</f>
        <v xml:space="preserve">2170577876 </v>
      </c>
      <c r="G933" s="10" t="str">
        <f t="shared" si="39"/>
        <v>ON1</v>
      </c>
      <c r="H933" s="10" t="s">
        <v>21</v>
      </c>
      <c r="I933" s="10" t="s">
        <v>119</v>
      </c>
      <c r="J933" s="10" t="str">
        <f>""</f>
        <v/>
      </c>
      <c r="K933" s="10" t="str">
        <f>"PFES1162561145_0001"</f>
        <v>PFES1162561145_0001</v>
      </c>
      <c r="L933" s="10">
        <v>1</v>
      </c>
      <c r="M933" s="10">
        <v>1</v>
      </c>
    </row>
    <row r="934" spans="1:13">
      <c r="A934" s="8">
        <v>42923</v>
      </c>
      <c r="B934" s="9">
        <v>0.48888888888888887</v>
      </c>
      <c r="C934" s="10" t="str">
        <f>"FES1162561138"</f>
        <v>FES1162561138</v>
      </c>
      <c r="D934" s="10" t="s">
        <v>19</v>
      </c>
      <c r="E934" s="10" t="s">
        <v>355</v>
      </c>
      <c r="F934" s="10" t="str">
        <f>"2170577885 "</f>
        <v xml:space="preserve">2170577885 </v>
      </c>
      <c r="G934" s="10" t="str">
        <f t="shared" si="39"/>
        <v>ON1</v>
      </c>
      <c r="H934" s="10" t="s">
        <v>21</v>
      </c>
      <c r="I934" s="10" t="s">
        <v>330</v>
      </c>
      <c r="J934" s="10" t="str">
        <f>""</f>
        <v/>
      </c>
      <c r="K934" s="10" t="str">
        <f>"PFES1162561138_0001"</f>
        <v>PFES1162561138_0001</v>
      </c>
      <c r="L934" s="10">
        <v>1</v>
      </c>
      <c r="M934" s="10">
        <v>1</v>
      </c>
    </row>
    <row r="935" spans="1:13">
      <c r="A935" s="8">
        <v>42923</v>
      </c>
      <c r="B935" s="9">
        <v>0.48819444444444443</v>
      </c>
      <c r="C935" s="10" t="str">
        <f>"FES1162561079"</f>
        <v>FES1162561079</v>
      </c>
      <c r="D935" s="10" t="s">
        <v>19</v>
      </c>
      <c r="E935" s="10" t="s">
        <v>110</v>
      </c>
      <c r="F935" s="10" t="str">
        <f>"2170577847 "</f>
        <v xml:space="preserve">2170577847 </v>
      </c>
      <c r="G935" s="10" t="str">
        <f t="shared" si="39"/>
        <v>ON1</v>
      </c>
      <c r="H935" s="10" t="s">
        <v>21</v>
      </c>
      <c r="I935" s="10" t="s">
        <v>111</v>
      </c>
      <c r="J935" s="10" t="str">
        <f>""</f>
        <v/>
      </c>
      <c r="K935" s="10" t="str">
        <f>"PFES1162561079_0001"</f>
        <v>PFES1162561079_0001</v>
      </c>
      <c r="L935" s="10">
        <v>1</v>
      </c>
      <c r="M935" s="10">
        <v>1</v>
      </c>
    </row>
    <row r="936" spans="1:13">
      <c r="A936" s="8">
        <v>42923</v>
      </c>
      <c r="B936" s="9">
        <v>0.48819444444444443</v>
      </c>
      <c r="C936" s="10" t="str">
        <f>"FES1162561028"</f>
        <v>FES1162561028</v>
      </c>
      <c r="D936" s="10" t="s">
        <v>19</v>
      </c>
      <c r="E936" s="10" t="s">
        <v>642</v>
      </c>
      <c r="F936" s="10" t="str">
        <f>"2170573163 "</f>
        <v xml:space="preserve">2170573163 </v>
      </c>
      <c r="G936" s="10" t="str">
        <f t="shared" si="39"/>
        <v>ON1</v>
      </c>
      <c r="H936" s="10" t="s">
        <v>21</v>
      </c>
      <c r="I936" s="10" t="s">
        <v>424</v>
      </c>
      <c r="J936" s="10" t="str">
        <f>""</f>
        <v/>
      </c>
      <c r="K936" s="10" t="str">
        <f>"PFES1162561028_0001"</f>
        <v>PFES1162561028_0001</v>
      </c>
      <c r="L936" s="10">
        <v>1</v>
      </c>
      <c r="M936" s="10">
        <v>1</v>
      </c>
    </row>
    <row r="937" spans="1:13">
      <c r="A937" s="8">
        <v>42923</v>
      </c>
      <c r="B937" s="9">
        <v>0.48749999999999999</v>
      </c>
      <c r="C937" s="10" t="str">
        <f>"FES1162561095"</f>
        <v>FES1162561095</v>
      </c>
      <c r="D937" s="10" t="s">
        <v>19</v>
      </c>
      <c r="E937" s="10" t="s">
        <v>62</v>
      </c>
      <c r="F937" s="10" t="str">
        <f>"2170577855 "</f>
        <v xml:space="preserve">2170577855 </v>
      </c>
      <c r="G937" s="10" t="str">
        <f t="shared" si="39"/>
        <v>ON1</v>
      </c>
      <c r="H937" s="10" t="s">
        <v>21</v>
      </c>
      <c r="I937" s="10" t="s">
        <v>40</v>
      </c>
      <c r="J937" s="10" t="str">
        <f>""</f>
        <v/>
      </c>
      <c r="K937" s="10" t="str">
        <f>"PFES1162561095_0001"</f>
        <v>PFES1162561095_0001</v>
      </c>
      <c r="L937" s="10">
        <v>1</v>
      </c>
      <c r="M937" s="10">
        <v>1</v>
      </c>
    </row>
    <row r="938" spans="1:13">
      <c r="A938" s="8">
        <v>42923</v>
      </c>
      <c r="B938" s="9">
        <v>0.48680555555555555</v>
      </c>
      <c r="C938" s="10" t="str">
        <f>"FES1162561150"</f>
        <v>FES1162561150</v>
      </c>
      <c r="D938" s="10" t="s">
        <v>19</v>
      </c>
      <c r="E938" s="10" t="s">
        <v>336</v>
      </c>
      <c r="F938" s="10" t="str">
        <f>"2170577897 "</f>
        <v xml:space="preserve">2170577897 </v>
      </c>
      <c r="G938" s="10" t="str">
        <f t="shared" si="39"/>
        <v>ON1</v>
      </c>
      <c r="H938" s="10" t="s">
        <v>21</v>
      </c>
      <c r="I938" s="10" t="s">
        <v>337</v>
      </c>
      <c r="J938" s="10" t="str">
        <f>""</f>
        <v/>
      </c>
      <c r="K938" s="10" t="str">
        <f>"PFES1162561150_0001"</f>
        <v>PFES1162561150_0001</v>
      </c>
      <c r="L938" s="10">
        <v>1</v>
      </c>
      <c r="M938" s="10">
        <v>2</v>
      </c>
    </row>
    <row r="939" spans="1:13">
      <c r="A939" s="8">
        <v>42923</v>
      </c>
      <c r="B939" s="9">
        <v>0.48680555555555555</v>
      </c>
      <c r="C939" s="10" t="str">
        <f>"FES1162561071"</f>
        <v>FES1162561071</v>
      </c>
      <c r="D939" s="10" t="s">
        <v>19</v>
      </c>
      <c r="E939" s="10" t="s">
        <v>643</v>
      </c>
      <c r="F939" s="10" t="str">
        <f>"2170577839 "</f>
        <v xml:space="preserve">2170577839 </v>
      </c>
      <c r="G939" s="10" t="str">
        <f t="shared" si="39"/>
        <v>ON1</v>
      </c>
      <c r="H939" s="10" t="s">
        <v>21</v>
      </c>
      <c r="I939" s="10" t="s">
        <v>185</v>
      </c>
      <c r="J939" s="10" t="str">
        <f>""</f>
        <v/>
      </c>
      <c r="K939" s="10" t="str">
        <f>"PFES1162561071_0001"</f>
        <v>PFES1162561071_0001</v>
      </c>
      <c r="L939" s="10">
        <v>1</v>
      </c>
      <c r="M939" s="10">
        <v>3</v>
      </c>
    </row>
    <row r="940" spans="1:13">
      <c r="A940" s="8">
        <v>42923</v>
      </c>
      <c r="B940" s="9">
        <v>0.4861111111111111</v>
      </c>
      <c r="C940" s="10" t="str">
        <f>"FES1162561039"</f>
        <v>FES1162561039</v>
      </c>
      <c r="D940" s="10" t="s">
        <v>19</v>
      </c>
      <c r="E940" s="10" t="s">
        <v>62</v>
      </c>
      <c r="F940" s="10" t="str">
        <f>"2170575900 "</f>
        <v xml:space="preserve">2170575900 </v>
      </c>
      <c r="G940" s="10" t="str">
        <f t="shared" si="39"/>
        <v>ON1</v>
      </c>
      <c r="H940" s="10" t="s">
        <v>21</v>
      </c>
      <c r="I940" s="10" t="s">
        <v>40</v>
      </c>
      <c r="J940" s="10" t="str">
        <f>""</f>
        <v/>
      </c>
      <c r="K940" s="10" t="str">
        <f>"PFES1162561039_0001"</f>
        <v>PFES1162561039_0001</v>
      </c>
      <c r="L940" s="10">
        <v>1</v>
      </c>
      <c r="M940" s="10">
        <v>1</v>
      </c>
    </row>
    <row r="941" spans="1:13">
      <c r="A941" s="8">
        <v>42923</v>
      </c>
      <c r="B941" s="9">
        <v>0.4861111111111111</v>
      </c>
      <c r="C941" s="10" t="str">
        <f>"FES1162561067"</f>
        <v>FES1162561067</v>
      </c>
      <c r="D941" s="10" t="s">
        <v>19</v>
      </c>
      <c r="E941" s="10" t="s">
        <v>255</v>
      </c>
      <c r="F941" s="10" t="str">
        <f>"2170577835 "</f>
        <v xml:space="preserve">2170577835 </v>
      </c>
      <c r="G941" s="10" t="str">
        <f t="shared" si="39"/>
        <v>ON1</v>
      </c>
      <c r="H941" s="10" t="s">
        <v>21</v>
      </c>
      <c r="I941" s="10" t="s">
        <v>256</v>
      </c>
      <c r="J941" s="10" t="str">
        <f>""</f>
        <v/>
      </c>
      <c r="K941" s="10" t="str">
        <f>"PFES1162561067_0001"</f>
        <v>PFES1162561067_0001</v>
      </c>
      <c r="L941" s="10">
        <v>1</v>
      </c>
      <c r="M941" s="10">
        <v>3</v>
      </c>
    </row>
    <row r="942" spans="1:13">
      <c r="A942" s="8">
        <v>42923</v>
      </c>
      <c r="B942" s="9">
        <v>0.4861111111111111</v>
      </c>
      <c r="C942" s="10" t="str">
        <f>"FES1162561166"</f>
        <v>FES1162561166</v>
      </c>
      <c r="D942" s="10" t="s">
        <v>19</v>
      </c>
      <c r="E942" s="10" t="s">
        <v>154</v>
      </c>
      <c r="F942" s="10" t="str">
        <f>"2170577906 "</f>
        <v xml:space="preserve">2170577906 </v>
      </c>
      <c r="G942" s="10" t="str">
        <f t="shared" si="39"/>
        <v>ON1</v>
      </c>
      <c r="H942" s="10" t="s">
        <v>21</v>
      </c>
      <c r="I942" s="10" t="s">
        <v>130</v>
      </c>
      <c r="J942" s="10" t="str">
        <f>""</f>
        <v/>
      </c>
      <c r="K942" s="10" t="str">
        <f>"PFES1162561166_0001"</f>
        <v>PFES1162561166_0001</v>
      </c>
      <c r="L942" s="10">
        <v>1</v>
      </c>
      <c r="M942" s="10">
        <v>1</v>
      </c>
    </row>
    <row r="943" spans="1:13">
      <c r="A943" s="8">
        <v>42923</v>
      </c>
      <c r="B943" s="9">
        <v>0.48541666666666666</v>
      </c>
      <c r="C943" s="10" t="str">
        <f>"FES1162561154"</f>
        <v>FES1162561154</v>
      </c>
      <c r="D943" s="10" t="s">
        <v>19</v>
      </c>
      <c r="E943" s="10" t="s">
        <v>522</v>
      </c>
      <c r="F943" s="10" t="str">
        <f>"2170577895 "</f>
        <v xml:space="preserve">2170577895 </v>
      </c>
      <c r="G943" s="10" t="str">
        <f t="shared" si="39"/>
        <v>ON1</v>
      </c>
      <c r="H943" s="10" t="s">
        <v>21</v>
      </c>
      <c r="I943" s="10" t="s">
        <v>106</v>
      </c>
      <c r="J943" s="10" t="str">
        <f>""</f>
        <v/>
      </c>
      <c r="K943" s="10" t="str">
        <f>"PFES1162561154_0001"</f>
        <v>PFES1162561154_0001</v>
      </c>
      <c r="L943" s="10">
        <v>1</v>
      </c>
      <c r="M943" s="10">
        <v>1</v>
      </c>
    </row>
    <row r="944" spans="1:13">
      <c r="A944" s="8">
        <v>42923</v>
      </c>
      <c r="B944" s="9">
        <v>0.48541666666666666</v>
      </c>
      <c r="C944" s="10" t="str">
        <f>"FES1162561129"</f>
        <v>FES1162561129</v>
      </c>
      <c r="D944" s="10" t="s">
        <v>19</v>
      </c>
      <c r="E944" s="10" t="s">
        <v>644</v>
      </c>
      <c r="F944" s="10" t="str">
        <f>"21705779872 "</f>
        <v xml:space="preserve">21705779872 </v>
      </c>
      <c r="G944" s="10" t="str">
        <f t="shared" si="39"/>
        <v>ON1</v>
      </c>
      <c r="H944" s="10" t="s">
        <v>21</v>
      </c>
      <c r="I944" s="10" t="s">
        <v>645</v>
      </c>
      <c r="J944" s="10" t="str">
        <f>""</f>
        <v/>
      </c>
      <c r="K944" s="10" t="str">
        <f>"PFES1162561129_0001"</f>
        <v>PFES1162561129_0001</v>
      </c>
      <c r="L944" s="10">
        <v>1</v>
      </c>
      <c r="M944" s="10">
        <v>1</v>
      </c>
    </row>
    <row r="945" spans="1:13">
      <c r="A945" s="8">
        <v>42923</v>
      </c>
      <c r="B945" s="9">
        <v>0.48472222222222222</v>
      </c>
      <c r="C945" s="10" t="str">
        <f>"FES1162561169"</f>
        <v>FES1162561169</v>
      </c>
      <c r="D945" s="10" t="s">
        <v>19</v>
      </c>
      <c r="E945" s="10" t="s">
        <v>62</v>
      </c>
      <c r="F945" s="10" t="str">
        <f>"21705779123 "</f>
        <v xml:space="preserve">21705779123 </v>
      </c>
      <c r="G945" s="10" t="str">
        <f t="shared" si="39"/>
        <v>ON1</v>
      </c>
      <c r="H945" s="10" t="s">
        <v>21</v>
      </c>
      <c r="I945" s="10" t="s">
        <v>40</v>
      </c>
      <c r="J945" s="10" t="str">
        <f>""</f>
        <v/>
      </c>
      <c r="K945" s="10" t="str">
        <f>"PFES1162561169_0001"</f>
        <v>PFES1162561169_0001</v>
      </c>
      <c r="L945" s="10">
        <v>1</v>
      </c>
      <c r="M945" s="10">
        <v>1</v>
      </c>
    </row>
    <row r="946" spans="1:13">
      <c r="A946" s="8">
        <v>42923</v>
      </c>
      <c r="B946" s="9">
        <v>0.48472222222222222</v>
      </c>
      <c r="C946" s="10" t="str">
        <f>"FES1162561052"</f>
        <v>FES1162561052</v>
      </c>
      <c r="D946" s="10" t="s">
        <v>19</v>
      </c>
      <c r="E946" s="10" t="s">
        <v>154</v>
      </c>
      <c r="F946" s="10" t="str">
        <f>"2170577818 "</f>
        <v xml:space="preserve">2170577818 </v>
      </c>
      <c r="G946" s="10" t="str">
        <f t="shared" si="39"/>
        <v>ON1</v>
      </c>
      <c r="H946" s="10" t="s">
        <v>21</v>
      </c>
      <c r="I946" s="10" t="s">
        <v>130</v>
      </c>
      <c r="J946" s="10" t="str">
        <f>""</f>
        <v/>
      </c>
      <c r="K946" s="10" t="str">
        <f>"PFES1162561052_0001"</f>
        <v>PFES1162561052_0001</v>
      </c>
      <c r="L946" s="10">
        <v>1</v>
      </c>
      <c r="M946" s="10">
        <v>1</v>
      </c>
    </row>
    <row r="947" spans="1:13">
      <c r="A947" s="8">
        <v>42923</v>
      </c>
      <c r="B947" s="9">
        <v>0.48472222222222222</v>
      </c>
      <c r="C947" s="10" t="str">
        <f>"FES1162561065"</f>
        <v>FES1162561065</v>
      </c>
      <c r="D947" s="10" t="s">
        <v>19</v>
      </c>
      <c r="E947" s="10" t="s">
        <v>255</v>
      </c>
      <c r="F947" s="10" t="str">
        <f>"2170577833 "</f>
        <v xml:space="preserve">2170577833 </v>
      </c>
      <c r="G947" s="10" t="str">
        <f t="shared" si="39"/>
        <v>ON1</v>
      </c>
      <c r="H947" s="10" t="s">
        <v>21</v>
      </c>
      <c r="I947" s="10" t="s">
        <v>256</v>
      </c>
      <c r="J947" s="10" t="str">
        <f>""</f>
        <v/>
      </c>
      <c r="K947" s="10" t="str">
        <f>"PFES1162561065_0001"</f>
        <v>PFES1162561065_0001</v>
      </c>
      <c r="L947" s="10">
        <v>1</v>
      </c>
      <c r="M947" s="10">
        <v>1</v>
      </c>
    </row>
    <row r="948" spans="1:13">
      <c r="A948" s="8">
        <v>42923</v>
      </c>
      <c r="B948" s="9">
        <v>0.48402777777777778</v>
      </c>
      <c r="C948" s="10" t="str">
        <f>"FES1162561070"</f>
        <v>FES1162561070</v>
      </c>
      <c r="D948" s="10" t="s">
        <v>19</v>
      </c>
      <c r="E948" s="10" t="s">
        <v>184</v>
      </c>
      <c r="F948" s="10" t="str">
        <f>"2170577838 "</f>
        <v xml:space="preserve">2170577838 </v>
      </c>
      <c r="G948" s="10" t="str">
        <f t="shared" si="39"/>
        <v>ON1</v>
      </c>
      <c r="H948" s="10" t="s">
        <v>21</v>
      </c>
      <c r="I948" s="10" t="s">
        <v>185</v>
      </c>
      <c r="J948" s="10" t="str">
        <f>""</f>
        <v/>
      </c>
      <c r="K948" s="10" t="str">
        <f>"PFES1162561070_0001"</f>
        <v>PFES1162561070_0001</v>
      </c>
      <c r="L948" s="10">
        <v>1</v>
      </c>
      <c r="M948" s="10">
        <v>1</v>
      </c>
    </row>
    <row r="949" spans="1:13">
      <c r="A949" s="8">
        <v>42923</v>
      </c>
      <c r="B949" s="9">
        <v>0.48402777777777778</v>
      </c>
      <c r="C949" s="10" t="str">
        <f>"FES1162561142"</f>
        <v>FES1162561142</v>
      </c>
      <c r="D949" s="10" t="s">
        <v>19</v>
      </c>
      <c r="E949" s="10" t="s">
        <v>131</v>
      </c>
      <c r="F949" s="10" t="str">
        <f>"2170575581 "</f>
        <v xml:space="preserve">2170575581 </v>
      </c>
      <c r="G949" s="10" t="str">
        <f t="shared" si="39"/>
        <v>ON1</v>
      </c>
      <c r="H949" s="10" t="s">
        <v>21</v>
      </c>
      <c r="I949" s="10" t="s">
        <v>132</v>
      </c>
      <c r="J949" s="10" t="str">
        <f>""</f>
        <v/>
      </c>
      <c r="K949" s="10" t="str">
        <f>"PFES1162561142_0001"</f>
        <v>PFES1162561142_0001</v>
      </c>
      <c r="L949" s="10">
        <v>1</v>
      </c>
      <c r="M949" s="10">
        <v>1</v>
      </c>
    </row>
    <row r="950" spans="1:13">
      <c r="A950" s="8">
        <v>42923</v>
      </c>
      <c r="B950" s="9">
        <v>0.48333333333333334</v>
      </c>
      <c r="C950" s="10" t="str">
        <f>"FES1162561160"</f>
        <v>FES1162561160</v>
      </c>
      <c r="D950" s="10" t="s">
        <v>19</v>
      </c>
      <c r="E950" s="10" t="s">
        <v>646</v>
      </c>
      <c r="F950" s="10" t="str">
        <f>"2170577902 "</f>
        <v xml:space="preserve">2170577902 </v>
      </c>
      <c r="G950" s="10" t="str">
        <f t="shared" si="39"/>
        <v>ON1</v>
      </c>
      <c r="H950" s="10" t="s">
        <v>21</v>
      </c>
      <c r="I950" s="10" t="s">
        <v>113</v>
      </c>
      <c r="J950" s="10" t="str">
        <f>""</f>
        <v/>
      </c>
      <c r="K950" s="10" t="str">
        <f>"PFES1162561160_0001"</f>
        <v>PFES1162561160_0001</v>
      </c>
      <c r="L950" s="10">
        <v>1</v>
      </c>
      <c r="M950" s="10">
        <v>7</v>
      </c>
    </row>
    <row r="951" spans="1:13">
      <c r="A951" s="8">
        <v>42923</v>
      </c>
      <c r="B951" s="9">
        <v>0.4826388888888889</v>
      </c>
      <c r="C951" s="10" t="str">
        <f>"FES1162561037"</f>
        <v>FES1162561037</v>
      </c>
      <c r="D951" s="10" t="s">
        <v>19</v>
      </c>
      <c r="E951" s="10" t="s">
        <v>184</v>
      </c>
      <c r="F951" s="10" t="str">
        <f>"2170575872 "</f>
        <v xml:space="preserve">2170575872 </v>
      </c>
      <c r="G951" s="10" t="str">
        <f t="shared" si="39"/>
        <v>ON1</v>
      </c>
      <c r="H951" s="10" t="s">
        <v>21</v>
      </c>
      <c r="I951" s="10" t="s">
        <v>185</v>
      </c>
      <c r="J951" s="10" t="str">
        <f>""</f>
        <v/>
      </c>
      <c r="K951" s="10" t="str">
        <f>"PFES1162561037_0001"</f>
        <v>PFES1162561037_0001</v>
      </c>
      <c r="L951" s="10">
        <v>1</v>
      </c>
      <c r="M951" s="10">
        <v>2</v>
      </c>
    </row>
    <row r="952" spans="1:13">
      <c r="A952" s="8">
        <v>42923</v>
      </c>
      <c r="B952" s="9">
        <v>0.48194444444444445</v>
      </c>
      <c r="C952" s="10" t="str">
        <f>"FES1162561047"</f>
        <v>FES1162561047</v>
      </c>
      <c r="D952" s="10" t="s">
        <v>19</v>
      </c>
      <c r="E952" s="10" t="s">
        <v>536</v>
      </c>
      <c r="F952" s="10" t="str">
        <f>"2170577046 "</f>
        <v xml:space="preserve">2170577046 </v>
      </c>
      <c r="G952" s="10" t="str">
        <f t="shared" si="39"/>
        <v>ON1</v>
      </c>
      <c r="H952" s="10" t="s">
        <v>21</v>
      </c>
      <c r="I952" s="10" t="s">
        <v>26</v>
      </c>
      <c r="J952" s="10" t="str">
        <f>""</f>
        <v/>
      </c>
      <c r="K952" s="10" t="str">
        <f>"PFES1162561047_0001"</f>
        <v>PFES1162561047_0001</v>
      </c>
      <c r="L952" s="10">
        <v>1</v>
      </c>
      <c r="M952" s="10">
        <v>2</v>
      </c>
    </row>
    <row r="953" spans="1:13">
      <c r="A953" s="8">
        <v>42923</v>
      </c>
      <c r="B953" s="9">
        <v>0.48194444444444445</v>
      </c>
      <c r="C953" s="10" t="str">
        <f>"FES1162561053"</f>
        <v>FES1162561053</v>
      </c>
      <c r="D953" s="10" t="s">
        <v>19</v>
      </c>
      <c r="E953" s="10" t="s">
        <v>647</v>
      </c>
      <c r="F953" s="10" t="str">
        <f>"2170577821 "</f>
        <v xml:space="preserve">2170577821 </v>
      </c>
      <c r="G953" s="10" t="str">
        <f t="shared" si="39"/>
        <v>ON1</v>
      </c>
      <c r="H953" s="10" t="s">
        <v>21</v>
      </c>
      <c r="I953" s="10" t="s">
        <v>410</v>
      </c>
      <c r="J953" s="10" t="str">
        <f>""</f>
        <v/>
      </c>
      <c r="K953" s="10" t="str">
        <f>"PFES1162561053_0001"</f>
        <v>PFES1162561053_0001</v>
      </c>
      <c r="L953" s="10">
        <v>1</v>
      </c>
      <c r="M953" s="10">
        <v>1</v>
      </c>
    </row>
    <row r="954" spans="1:13">
      <c r="A954" s="8">
        <v>42923</v>
      </c>
      <c r="B954" s="9">
        <v>0.48194444444444445</v>
      </c>
      <c r="C954" s="10" t="str">
        <f>"FES1162561062"</f>
        <v>FES1162561062</v>
      </c>
      <c r="D954" s="10" t="s">
        <v>19</v>
      </c>
      <c r="E954" s="10" t="s">
        <v>255</v>
      </c>
      <c r="F954" s="10" t="str">
        <f>"2170577357 "</f>
        <v xml:space="preserve">2170577357 </v>
      </c>
      <c r="G954" s="10" t="str">
        <f t="shared" si="39"/>
        <v>ON1</v>
      </c>
      <c r="H954" s="10" t="s">
        <v>21</v>
      </c>
      <c r="I954" s="10" t="s">
        <v>256</v>
      </c>
      <c r="J954" s="10" t="str">
        <f>""</f>
        <v/>
      </c>
      <c r="K954" s="10" t="str">
        <f>"PFES1162561062_0001"</f>
        <v>PFES1162561062_0001</v>
      </c>
      <c r="L954" s="10">
        <v>1</v>
      </c>
      <c r="M954" s="10">
        <v>1</v>
      </c>
    </row>
    <row r="955" spans="1:13">
      <c r="A955" s="8">
        <v>42923</v>
      </c>
      <c r="B955" s="9">
        <v>0.48125000000000001</v>
      </c>
      <c r="C955" s="10" t="str">
        <f>"FES1162561058"</f>
        <v>FES1162561058</v>
      </c>
      <c r="D955" s="10" t="s">
        <v>19</v>
      </c>
      <c r="E955" s="10" t="s">
        <v>648</v>
      </c>
      <c r="F955" s="10" t="str">
        <f>"2170577826 "</f>
        <v xml:space="preserve">2170577826 </v>
      </c>
      <c r="G955" s="10" t="str">
        <f t="shared" si="39"/>
        <v>ON1</v>
      </c>
      <c r="H955" s="10" t="s">
        <v>21</v>
      </c>
      <c r="I955" s="10" t="s">
        <v>285</v>
      </c>
      <c r="J955" s="10" t="str">
        <f>""</f>
        <v/>
      </c>
      <c r="K955" s="10" t="str">
        <f>"PFES1162561058_0001"</f>
        <v>PFES1162561058_0001</v>
      </c>
      <c r="L955" s="10">
        <v>1</v>
      </c>
      <c r="M955" s="10">
        <v>1</v>
      </c>
    </row>
    <row r="956" spans="1:13">
      <c r="A956" s="8">
        <v>42923</v>
      </c>
      <c r="B956" s="9">
        <v>0.48055555555555557</v>
      </c>
      <c r="C956" s="10" t="str">
        <f>"FES1162561022"</f>
        <v>FES1162561022</v>
      </c>
      <c r="D956" s="10" t="s">
        <v>19</v>
      </c>
      <c r="E956" s="10" t="s">
        <v>644</v>
      </c>
      <c r="F956" s="10" t="str">
        <f>"2170577816 "</f>
        <v xml:space="preserve">2170577816 </v>
      </c>
      <c r="G956" s="10" t="str">
        <f t="shared" si="39"/>
        <v>ON1</v>
      </c>
      <c r="H956" s="10" t="s">
        <v>21</v>
      </c>
      <c r="I956" s="10" t="s">
        <v>645</v>
      </c>
      <c r="J956" s="10" t="str">
        <f>""</f>
        <v/>
      </c>
      <c r="K956" s="10" t="str">
        <f>"PFES1162561022_0001"</f>
        <v>PFES1162561022_0001</v>
      </c>
      <c r="L956" s="10">
        <v>1</v>
      </c>
      <c r="M956" s="10">
        <v>1</v>
      </c>
    </row>
    <row r="957" spans="1:13">
      <c r="A957" s="8">
        <v>42923</v>
      </c>
      <c r="B957" s="9">
        <v>0.47986111111111113</v>
      </c>
      <c r="C957" s="10" t="str">
        <f>"FES1162561045"</f>
        <v>FES1162561045</v>
      </c>
      <c r="D957" s="10" t="s">
        <v>19</v>
      </c>
      <c r="E957" s="10" t="s">
        <v>288</v>
      </c>
      <c r="F957" s="10" t="str">
        <f>"2170576179 "</f>
        <v xml:space="preserve">2170576179 </v>
      </c>
      <c r="G957" s="10" t="str">
        <f t="shared" si="39"/>
        <v>ON1</v>
      </c>
      <c r="H957" s="10" t="s">
        <v>21</v>
      </c>
      <c r="I957" s="10" t="s">
        <v>177</v>
      </c>
      <c r="J957" s="10" t="str">
        <f>""</f>
        <v/>
      </c>
      <c r="K957" s="10" t="str">
        <f>"PFES1162561045_0001"</f>
        <v>PFES1162561045_0001</v>
      </c>
      <c r="L957" s="10">
        <v>1</v>
      </c>
      <c r="M957" s="10">
        <v>1</v>
      </c>
    </row>
    <row r="958" spans="1:13">
      <c r="A958" s="8">
        <v>42923</v>
      </c>
      <c r="B958" s="9">
        <v>0.47847222222222219</v>
      </c>
      <c r="C958" s="10" t="str">
        <f>"FES1162561021"</f>
        <v>FES1162561021</v>
      </c>
      <c r="D958" s="10" t="s">
        <v>19</v>
      </c>
      <c r="E958" s="10" t="s">
        <v>649</v>
      </c>
      <c r="F958" s="10" t="str">
        <f>"2170577808 "</f>
        <v xml:space="preserve">2170577808 </v>
      </c>
      <c r="G958" s="10" t="str">
        <f t="shared" si="39"/>
        <v>ON1</v>
      </c>
      <c r="H958" s="10" t="s">
        <v>21</v>
      </c>
      <c r="I958" s="10" t="s">
        <v>259</v>
      </c>
      <c r="J958" s="10" t="str">
        <f>""</f>
        <v/>
      </c>
      <c r="K958" s="10" t="str">
        <f>"PFES1162561021_0001"</f>
        <v>PFES1162561021_0001</v>
      </c>
      <c r="L958" s="10">
        <v>1</v>
      </c>
      <c r="M958" s="10">
        <v>1</v>
      </c>
    </row>
    <row r="959" spans="1:13">
      <c r="A959" s="8">
        <v>42923</v>
      </c>
      <c r="B959" s="9">
        <v>0.47847222222222219</v>
      </c>
      <c r="C959" s="10" t="str">
        <f>"FES1162561030"</f>
        <v>FES1162561030</v>
      </c>
      <c r="D959" s="10" t="s">
        <v>19</v>
      </c>
      <c r="E959" s="10" t="s">
        <v>190</v>
      </c>
      <c r="F959" s="10" t="str">
        <f>"2170575621 "</f>
        <v xml:space="preserve">2170575621 </v>
      </c>
      <c r="G959" s="10" t="str">
        <f t="shared" si="39"/>
        <v>ON1</v>
      </c>
      <c r="H959" s="10" t="s">
        <v>21</v>
      </c>
      <c r="I959" s="10" t="s">
        <v>52</v>
      </c>
      <c r="J959" s="10" t="str">
        <f>""</f>
        <v/>
      </c>
      <c r="K959" s="10" t="str">
        <f>"PFES1162561030_0001"</f>
        <v>PFES1162561030_0001</v>
      </c>
      <c r="L959" s="10">
        <v>1</v>
      </c>
      <c r="M959" s="10">
        <v>1</v>
      </c>
    </row>
    <row r="960" spans="1:13">
      <c r="A960" s="8">
        <v>42923</v>
      </c>
      <c r="B960" s="9">
        <v>0.4770833333333333</v>
      </c>
      <c r="C960" s="10" t="str">
        <f>"FES1162561015"</f>
        <v>FES1162561015</v>
      </c>
      <c r="D960" s="10" t="s">
        <v>19</v>
      </c>
      <c r="E960" s="10" t="s">
        <v>107</v>
      </c>
      <c r="F960" s="10" t="str">
        <f>"2170576887 "</f>
        <v xml:space="preserve">2170576887 </v>
      </c>
      <c r="G960" s="10" t="str">
        <f t="shared" si="39"/>
        <v>ON1</v>
      </c>
      <c r="H960" s="10" t="s">
        <v>21</v>
      </c>
      <c r="I960" s="10" t="s">
        <v>75</v>
      </c>
      <c r="J960" s="10" t="str">
        <f>""</f>
        <v/>
      </c>
      <c r="K960" s="10" t="str">
        <f>"PFES1162561015_0001"</f>
        <v>PFES1162561015_0001</v>
      </c>
      <c r="L960" s="10">
        <v>1</v>
      </c>
      <c r="M960" s="10">
        <v>5</v>
      </c>
    </row>
    <row r="961" spans="1:13">
      <c r="A961" s="8">
        <v>42923</v>
      </c>
      <c r="B961" s="9">
        <v>0.47638888888888892</v>
      </c>
      <c r="C961" s="10" t="str">
        <f>"FES1162561040"</f>
        <v>FES1162561040</v>
      </c>
      <c r="D961" s="10" t="s">
        <v>19</v>
      </c>
      <c r="E961" s="10" t="s">
        <v>184</v>
      </c>
      <c r="F961" s="10" t="str">
        <f>"2170575901 "</f>
        <v xml:space="preserve">2170575901 </v>
      </c>
      <c r="G961" s="10" t="str">
        <f t="shared" si="39"/>
        <v>ON1</v>
      </c>
      <c r="H961" s="10" t="s">
        <v>21</v>
      </c>
      <c r="I961" s="10" t="s">
        <v>185</v>
      </c>
      <c r="J961" s="10" t="str">
        <f>""</f>
        <v/>
      </c>
      <c r="K961" s="10" t="str">
        <f>"PFES1162561040_0001"</f>
        <v>PFES1162561040_0001</v>
      </c>
      <c r="L961" s="10">
        <v>1</v>
      </c>
      <c r="M961" s="10">
        <v>1</v>
      </c>
    </row>
    <row r="962" spans="1:13">
      <c r="A962" s="8">
        <v>42923</v>
      </c>
      <c r="B962" s="9">
        <v>0.47569444444444442</v>
      </c>
      <c r="C962" s="10" t="str">
        <f>"FES1162561080"</f>
        <v>FES1162561080</v>
      </c>
      <c r="D962" s="10" t="s">
        <v>19</v>
      </c>
      <c r="E962" s="10" t="s">
        <v>650</v>
      </c>
      <c r="F962" s="10" t="str">
        <f>"2170577848 "</f>
        <v xml:space="preserve">2170577848 </v>
      </c>
      <c r="G962" s="10" t="str">
        <f t="shared" si="39"/>
        <v>ON1</v>
      </c>
      <c r="H962" s="10" t="s">
        <v>21</v>
      </c>
      <c r="I962" s="10" t="s">
        <v>567</v>
      </c>
      <c r="J962" s="10" t="str">
        <f>""</f>
        <v/>
      </c>
      <c r="K962" s="10" t="str">
        <f>"PFES1162561080_0001"</f>
        <v>PFES1162561080_0001</v>
      </c>
      <c r="L962" s="10">
        <v>1</v>
      </c>
      <c r="M962" s="10">
        <v>4</v>
      </c>
    </row>
    <row r="963" spans="1:13">
      <c r="A963" s="8">
        <v>42923</v>
      </c>
      <c r="B963" s="9">
        <v>0.47569444444444442</v>
      </c>
      <c r="C963" s="10" t="str">
        <f>"FES1162561060"</f>
        <v>FES1162561060</v>
      </c>
      <c r="D963" s="10" t="s">
        <v>19</v>
      </c>
      <c r="E963" s="10" t="s">
        <v>184</v>
      </c>
      <c r="F963" s="10" t="str">
        <f>"2170577831 "</f>
        <v xml:space="preserve">2170577831 </v>
      </c>
      <c r="G963" s="10" t="str">
        <f t="shared" si="39"/>
        <v>ON1</v>
      </c>
      <c r="H963" s="10" t="s">
        <v>21</v>
      </c>
      <c r="I963" s="10" t="s">
        <v>185</v>
      </c>
      <c r="J963" s="10" t="str">
        <f>""</f>
        <v/>
      </c>
      <c r="K963" s="10" t="str">
        <f>"PFES1162561060_0001"</f>
        <v>PFES1162561060_0001</v>
      </c>
      <c r="L963" s="10">
        <v>1</v>
      </c>
      <c r="M963" s="10">
        <v>1</v>
      </c>
    </row>
    <row r="964" spans="1:13">
      <c r="A964" s="8">
        <v>42923</v>
      </c>
      <c r="B964" s="9">
        <v>0.47500000000000003</v>
      </c>
      <c r="C964" s="10" t="str">
        <f>"FES1162561035"</f>
        <v>FES1162561035</v>
      </c>
      <c r="D964" s="10" t="s">
        <v>19</v>
      </c>
      <c r="E964" s="10" t="s">
        <v>62</v>
      </c>
      <c r="F964" s="10" t="str">
        <f>"2170575855 "</f>
        <v xml:space="preserve">2170575855 </v>
      </c>
      <c r="G964" s="10" t="str">
        <f t="shared" si="39"/>
        <v>ON1</v>
      </c>
      <c r="H964" s="10" t="s">
        <v>21</v>
      </c>
      <c r="I964" s="10" t="s">
        <v>263</v>
      </c>
      <c r="J964" s="10" t="str">
        <f>""</f>
        <v/>
      </c>
      <c r="K964" s="10" t="str">
        <f>"PFES1162561035_0001"</f>
        <v>PFES1162561035_0001</v>
      </c>
      <c r="L964" s="10">
        <v>1</v>
      </c>
      <c r="M964" s="10">
        <v>1</v>
      </c>
    </row>
    <row r="965" spans="1:13">
      <c r="A965" s="8">
        <v>42923</v>
      </c>
      <c r="B965" s="9">
        <v>0.47430555555555554</v>
      </c>
      <c r="C965" s="10" t="str">
        <f>"FES1162561094"</f>
        <v>FES1162561094</v>
      </c>
      <c r="D965" s="10" t="s">
        <v>19</v>
      </c>
      <c r="E965" s="10" t="s">
        <v>651</v>
      </c>
      <c r="F965" s="10" t="str">
        <f>"2170577853 "</f>
        <v xml:space="preserve">2170577853 </v>
      </c>
      <c r="G965" s="10" t="str">
        <f t="shared" si="39"/>
        <v>ON1</v>
      </c>
      <c r="H965" s="10" t="s">
        <v>21</v>
      </c>
      <c r="I965" s="10" t="s">
        <v>652</v>
      </c>
      <c r="J965" s="10" t="str">
        <f>""</f>
        <v/>
      </c>
      <c r="K965" s="10" t="str">
        <f>"PFES1162561094_0001"</f>
        <v>PFES1162561094_0001</v>
      </c>
      <c r="L965" s="10">
        <v>1</v>
      </c>
      <c r="M965" s="10">
        <v>1</v>
      </c>
    </row>
    <row r="966" spans="1:13">
      <c r="A966" s="8">
        <v>42923</v>
      </c>
      <c r="B966" s="9">
        <v>0.47430555555555554</v>
      </c>
      <c r="C966" s="10" t="str">
        <f>"FES1162561025"</f>
        <v>FES1162561025</v>
      </c>
      <c r="D966" s="10" t="s">
        <v>19</v>
      </c>
      <c r="E966" s="10" t="s">
        <v>653</v>
      </c>
      <c r="F966" s="10" t="str">
        <f>"2170569011 "</f>
        <v xml:space="preserve">2170569011 </v>
      </c>
      <c r="G966" s="10" t="str">
        <f t="shared" si="39"/>
        <v>ON1</v>
      </c>
      <c r="H966" s="10" t="s">
        <v>21</v>
      </c>
      <c r="I966" s="10" t="s">
        <v>654</v>
      </c>
      <c r="J966" s="10" t="str">
        <f>""</f>
        <v/>
      </c>
      <c r="K966" s="10" t="str">
        <f>"PFES1162561025_0001"</f>
        <v>PFES1162561025_0001</v>
      </c>
      <c r="L966" s="10">
        <v>1</v>
      </c>
      <c r="M966" s="10">
        <v>1</v>
      </c>
    </row>
    <row r="967" spans="1:13">
      <c r="A967" s="8">
        <v>42923</v>
      </c>
      <c r="B967" s="9">
        <v>0.47430555555555554</v>
      </c>
      <c r="C967" s="10" t="str">
        <f>"FES1162561108"</f>
        <v>FES1162561108</v>
      </c>
      <c r="D967" s="10" t="s">
        <v>19</v>
      </c>
      <c r="E967" s="10" t="s">
        <v>190</v>
      </c>
      <c r="F967" s="10" t="str">
        <f>"2170573022 "</f>
        <v xml:space="preserve">2170573022 </v>
      </c>
      <c r="G967" s="10" t="str">
        <f t="shared" si="39"/>
        <v>ON1</v>
      </c>
      <c r="H967" s="10" t="s">
        <v>21</v>
      </c>
      <c r="I967" s="10" t="s">
        <v>569</v>
      </c>
      <c r="J967" s="10" t="str">
        <f>""</f>
        <v/>
      </c>
      <c r="K967" s="10" t="str">
        <f>"PFES1162561108_0001"</f>
        <v>PFES1162561108_0001</v>
      </c>
      <c r="L967" s="10">
        <v>1</v>
      </c>
      <c r="M967" s="10">
        <v>1</v>
      </c>
    </row>
    <row r="968" spans="1:13">
      <c r="A968" s="8">
        <v>42923</v>
      </c>
      <c r="B968" s="9">
        <v>0.47361111111111115</v>
      </c>
      <c r="C968" s="10" t="str">
        <f>"FES1162561097"</f>
        <v>FES1162561097</v>
      </c>
      <c r="D968" s="10" t="s">
        <v>19</v>
      </c>
      <c r="E968" s="10" t="s">
        <v>655</v>
      </c>
      <c r="F968" s="10" t="str">
        <f>"2170577857 "</f>
        <v xml:space="preserve">2170577857 </v>
      </c>
      <c r="G968" s="10" t="str">
        <f t="shared" si="39"/>
        <v>ON1</v>
      </c>
      <c r="H968" s="10" t="s">
        <v>21</v>
      </c>
      <c r="I968" s="10" t="s">
        <v>656</v>
      </c>
      <c r="J968" s="10" t="str">
        <f>""</f>
        <v/>
      </c>
      <c r="K968" s="10" t="str">
        <f>"PFES1162561097_0001"</f>
        <v>PFES1162561097_0001</v>
      </c>
      <c r="L968" s="10">
        <v>1</v>
      </c>
      <c r="M968" s="10">
        <v>1</v>
      </c>
    </row>
    <row r="969" spans="1:13">
      <c r="A969" s="8">
        <v>42923</v>
      </c>
      <c r="B969" s="9">
        <v>0.47361111111111115</v>
      </c>
      <c r="C969" s="10" t="str">
        <f>"FES1162561042"</f>
        <v>FES1162561042</v>
      </c>
      <c r="D969" s="10" t="s">
        <v>19</v>
      </c>
      <c r="E969" s="10" t="s">
        <v>184</v>
      </c>
      <c r="F969" s="10" t="str">
        <f>"2170575951 "</f>
        <v xml:space="preserve">2170575951 </v>
      </c>
      <c r="G969" s="10" t="str">
        <f t="shared" si="39"/>
        <v>ON1</v>
      </c>
      <c r="H969" s="10" t="s">
        <v>21</v>
      </c>
      <c r="I969" s="10" t="s">
        <v>185</v>
      </c>
      <c r="J969" s="10" t="str">
        <f>""</f>
        <v/>
      </c>
      <c r="K969" s="10" t="str">
        <f>"PFES1162561042_0001"</f>
        <v>PFES1162561042_0001</v>
      </c>
      <c r="L969" s="10">
        <v>1</v>
      </c>
      <c r="M969" s="10">
        <v>1</v>
      </c>
    </row>
    <row r="970" spans="1:13">
      <c r="A970" s="8">
        <v>42923</v>
      </c>
      <c r="B970" s="9">
        <v>0.47361111111111115</v>
      </c>
      <c r="C970" s="10" t="str">
        <f>"FES1162561027"</f>
        <v>FES1162561027</v>
      </c>
      <c r="D970" s="10" t="s">
        <v>19</v>
      </c>
      <c r="E970" s="10" t="s">
        <v>441</v>
      </c>
      <c r="F970" s="10" t="str">
        <f>"2170571938 "</f>
        <v xml:space="preserve">2170571938 </v>
      </c>
      <c r="G970" s="10" t="str">
        <f t="shared" si="39"/>
        <v>ON1</v>
      </c>
      <c r="H970" s="10" t="s">
        <v>21</v>
      </c>
      <c r="I970" s="10" t="s">
        <v>166</v>
      </c>
      <c r="J970" s="10" t="str">
        <f>""</f>
        <v/>
      </c>
      <c r="K970" s="10" t="str">
        <f>"PFES1162561027_0001"</f>
        <v>PFES1162561027_0001</v>
      </c>
      <c r="L970" s="10">
        <v>1</v>
      </c>
      <c r="M970" s="10">
        <v>1</v>
      </c>
    </row>
    <row r="971" spans="1:13">
      <c r="A971" s="8">
        <v>42923</v>
      </c>
      <c r="B971" s="9">
        <v>0.47291666666666665</v>
      </c>
      <c r="C971" s="10" t="str">
        <f>"FES1162561159"</f>
        <v>FES1162561159</v>
      </c>
      <c r="D971" s="10" t="s">
        <v>19</v>
      </c>
      <c r="E971" s="10" t="s">
        <v>62</v>
      </c>
      <c r="F971" s="10" t="str">
        <f>"2170577900 "</f>
        <v xml:space="preserve">2170577900 </v>
      </c>
      <c r="G971" s="10" t="str">
        <f t="shared" si="39"/>
        <v>ON1</v>
      </c>
      <c r="H971" s="10" t="s">
        <v>21</v>
      </c>
      <c r="I971" s="10" t="s">
        <v>263</v>
      </c>
      <c r="J971" s="10" t="str">
        <f>""</f>
        <v/>
      </c>
      <c r="K971" s="10" t="str">
        <f>"PFES1162561159_0001"</f>
        <v>PFES1162561159_0001</v>
      </c>
      <c r="L971" s="10">
        <v>1</v>
      </c>
      <c r="M971" s="10">
        <v>1</v>
      </c>
    </row>
    <row r="972" spans="1:13">
      <c r="A972" s="8">
        <v>42923</v>
      </c>
      <c r="B972" s="9">
        <v>0.47222222222222227</v>
      </c>
      <c r="C972" s="10" t="str">
        <f>"FES1162561033"</f>
        <v>FES1162561033</v>
      </c>
      <c r="D972" s="10" t="s">
        <v>19</v>
      </c>
      <c r="E972" s="10" t="s">
        <v>99</v>
      </c>
      <c r="F972" s="10" t="str">
        <f>"2170575830 "</f>
        <v xml:space="preserve">2170575830 </v>
      </c>
      <c r="G972" s="10" t="str">
        <f t="shared" si="39"/>
        <v>ON1</v>
      </c>
      <c r="H972" s="10" t="s">
        <v>21</v>
      </c>
      <c r="I972" s="10" t="s">
        <v>100</v>
      </c>
      <c r="J972" s="10" t="str">
        <f>""</f>
        <v/>
      </c>
      <c r="K972" s="10" t="str">
        <f>"PFES1162561033_0001"</f>
        <v>PFES1162561033_0001</v>
      </c>
      <c r="L972" s="10">
        <v>1</v>
      </c>
      <c r="M972" s="10">
        <v>1</v>
      </c>
    </row>
    <row r="973" spans="1:13">
      <c r="A973" s="8">
        <v>42923</v>
      </c>
      <c r="B973" s="9">
        <v>0.47152777777777777</v>
      </c>
      <c r="C973" s="10" t="str">
        <f>"FES1162561139"</f>
        <v>FES1162561139</v>
      </c>
      <c r="D973" s="10" t="s">
        <v>19</v>
      </c>
      <c r="E973" s="10" t="s">
        <v>382</v>
      </c>
      <c r="F973" s="10" t="str">
        <f>"2170577886 "</f>
        <v xml:space="preserve">2170577886 </v>
      </c>
      <c r="G973" s="10" t="str">
        <f t="shared" si="39"/>
        <v>ON1</v>
      </c>
      <c r="H973" s="10" t="s">
        <v>21</v>
      </c>
      <c r="I973" s="10" t="s">
        <v>383</v>
      </c>
      <c r="J973" s="10" t="str">
        <f>""</f>
        <v/>
      </c>
      <c r="K973" s="10" t="str">
        <f>"PFES1162561139_0001"</f>
        <v>PFES1162561139_0001</v>
      </c>
      <c r="L973" s="10">
        <v>1</v>
      </c>
      <c r="M973" s="10">
        <v>1</v>
      </c>
    </row>
    <row r="974" spans="1:13">
      <c r="A974" s="8">
        <v>42923</v>
      </c>
      <c r="B974" s="9">
        <v>0.47013888888888888</v>
      </c>
      <c r="C974" s="10" t="str">
        <f>"FES1162561122"</f>
        <v>FES1162561122</v>
      </c>
      <c r="D974" s="10" t="s">
        <v>19</v>
      </c>
      <c r="E974" s="10" t="s">
        <v>112</v>
      </c>
      <c r="F974" s="10" t="str">
        <f>"2170577630 "</f>
        <v xml:space="preserve">2170577630 </v>
      </c>
      <c r="G974" s="10" t="str">
        <f t="shared" si="39"/>
        <v>ON1</v>
      </c>
      <c r="H974" s="10" t="s">
        <v>21</v>
      </c>
      <c r="I974" s="10" t="s">
        <v>113</v>
      </c>
      <c r="J974" s="10" t="str">
        <f>""</f>
        <v/>
      </c>
      <c r="K974" s="10" t="str">
        <f>"PFES1162561122_0001"</f>
        <v>PFES1162561122_0001</v>
      </c>
      <c r="L974" s="10">
        <v>1</v>
      </c>
      <c r="M974" s="10">
        <v>1</v>
      </c>
    </row>
    <row r="975" spans="1:13">
      <c r="A975" s="8">
        <v>42923</v>
      </c>
      <c r="B975" s="9">
        <v>0.46875</v>
      </c>
      <c r="C975" s="10" t="str">
        <f>"FES1162561153"</f>
        <v>FES1162561153</v>
      </c>
      <c r="D975" s="10" t="s">
        <v>19</v>
      </c>
      <c r="E975" s="10" t="s">
        <v>39</v>
      </c>
      <c r="F975" s="10" t="str">
        <f>"2170577893 "</f>
        <v xml:space="preserve">2170577893 </v>
      </c>
      <c r="G975" s="10" t="str">
        <f t="shared" si="39"/>
        <v>ON1</v>
      </c>
      <c r="H975" s="10" t="s">
        <v>21</v>
      </c>
      <c r="I975" s="10" t="s">
        <v>40</v>
      </c>
      <c r="J975" s="10" t="str">
        <f>""</f>
        <v/>
      </c>
      <c r="K975" s="10" t="str">
        <f>"PFES1162561153_0001"</f>
        <v>PFES1162561153_0001</v>
      </c>
      <c r="L975" s="10">
        <v>1</v>
      </c>
      <c r="M975" s="10">
        <v>1</v>
      </c>
    </row>
    <row r="976" spans="1:13">
      <c r="A976" s="8">
        <v>42923</v>
      </c>
      <c r="B976" s="9">
        <v>0.4680555555555555</v>
      </c>
      <c r="C976" s="10" t="str">
        <f>"FES1162561152"</f>
        <v>FES1162561152</v>
      </c>
      <c r="D976" s="10" t="s">
        <v>19</v>
      </c>
      <c r="E976" s="10" t="s">
        <v>143</v>
      </c>
      <c r="F976" s="10" t="str">
        <f>"2170577892 "</f>
        <v xml:space="preserve">2170577892 </v>
      </c>
      <c r="G976" s="10" t="str">
        <f t="shared" si="39"/>
        <v>ON1</v>
      </c>
      <c r="H976" s="10" t="s">
        <v>21</v>
      </c>
      <c r="I976" s="10" t="s">
        <v>121</v>
      </c>
      <c r="J976" s="10" t="str">
        <f>""</f>
        <v/>
      </c>
      <c r="K976" s="10" t="str">
        <f>"PFES1162561152_0001"</f>
        <v>PFES1162561152_0001</v>
      </c>
      <c r="L976" s="10">
        <v>1</v>
      </c>
      <c r="M976" s="10">
        <v>1</v>
      </c>
    </row>
    <row r="977" spans="1:13">
      <c r="A977" s="8">
        <v>42923</v>
      </c>
      <c r="B977" s="9">
        <v>0.46527777777777773</v>
      </c>
      <c r="C977" s="10" t="str">
        <f>"FES1162561125"</f>
        <v>FES1162561125</v>
      </c>
      <c r="D977" s="10" t="s">
        <v>19</v>
      </c>
      <c r="E977" s="10" t="s">
        <v>551</v>
      </c>
      <c r="F977" s="10" t="str">
        <f>"21705777790 "</f>
        <v xml:space="preserve">21705777790 </v>
      </c>
      <c r="G977" s="10" t="str">
        <f t="shared" si="39"/>
        <v>ON1</v>
      </c>
      <c r="H977" s="10" t="s">
        <v>21</v>
      </c>
      <c r="I977" s="10" t="s">
        <v>163</v>
      </c>
      <c r="J977" s="10" t="str">
        <f>""</f>
        <v/>
      </c>
      <c r="K977" s="10" t="str">
        <f>"PFES1162561125_0001"</f>
        <v>PFES1162561125_0001</v>
      </c>
      <c r="L977" s="10">
        <v>1</v>
      </c>
      <c r="M977" s="10">
        <v>1</v>
      </c>
    </row>
    <row r="978" spans="1:13">
      <c r="A978" s="8">
        <v>42923</v>
      </c>
      <c r="B978" s="9">
        <v>0.62638888888888888</v>
      </c>
      <c r="C978" s="10" t="str">
        <f>"FES1162561242"</f>
        <v>FES1162561242</v>
      </c>
      <c r="D978" s="10" t="s">
        <v>19</v>
      </c>
      <c r="E978" s="10" t="s">
        <v>487</v>
      </c>
      <c r="F978" s="10" t="str">
        <f>"21707578002 "</f>
        <v xml:space="preserve">21707578002 </v>
      </c>
      <c r="G978" s="10" t="str">
        <f>"ON1"</f>
        <v>ON1</v>
      </c>
      <c r="H978" s="10" t="s">
        <v>21</v>
      </c>
      <c r="I978" s="10" t="s">
        <v>313</v>
      </c>
      <c r="J978" s="10" t="str">
        <f>""</f>
        <v/>
      </c>
      <c r="K978" s="10" t="str">
        <f>"PFES1162561242_0001"</f>
        <v>PFES1162561242_0001</v>
      </c>
      <c r="L978" s="10">
        <v>1</v>
      </c>
      <c r="M978" s="10">
        <v>1</v>
      </c>
    </row>
    <row r="979" spans="1:13">
      <c r="A979" s="8">
        <v>42923</v>
      </c>
      <c r="B979" s="9">
        <v>0.62569444444444444</v>
      </c>
      <c r="C979" s="10" t="str">
        <f>"FES1162561216"</f>
        <v>FES1162561216</v>
      </c>
      <c r="D979" s="10" t="s">
        <v>19</v>
      </c>
      <c r="E979" s="10" t="s">
        <v>375</v>
      </c>
      <c r="F979" s="10" t="str">
        <f>"2170577316 "</f>
        <v xml:space="preserve">2170577316 </v>
      </c>
      <c r="G979" s="10" t="str">
        <f>"ON1"</f>
        <v>ON1</v>
      </c>
      <c r="H979" s="10" t="s">
        <v>21</v>
      </c>
      <c r="I979" s="10" t="s">
        <v>75</v>
      </c>
      <c r="J979" s="10" t="str">
        <f>""</f>
        <v/>
      </c>
      <c r="K979" s="10" t="str">
        <f>"PFES1162561216_0001"</f>
        <v>PFES1162561216_0001</v>
      </c>
      <c r="L979" s="10">
        <v>1</v>
      </c>
      <c r="M979" s="10">
        <v>8</v>
      </c>
    </row>
    <row r="980" spans="1:13">
      <c r="A980" s="8">
        <v>42923</v>
      </c>
      <c r="B980" s="9">
        <v>0.625</v>
      </c>
      <c r="C980" s="10" t="str">
        <f>"FES1162561241"</f>
        <v>FES1162561241</v>
      </c>
      <c r="D980" s="10" t="s">
        <v>19</v>
      </c>
      <c r="E980" s="10" t="s">
        <v>657</v>
      </c>
      <c r="F980" s="10" t="str">
        <f>"2170578001 "</f>
        <v xml:space="preserve">2170578001 </v>
      </c>
      <c r="G980" s="10" t="str">
        <f>"ON1"</f>
        <v>ON1</v>
      </c>
      <c r="H980" s="10" t="s">
        <v>21</v>
      </c>
      <c r="I980" s="10" t="s">
        <v>90</v>
      </c>
      <c r="J980" s="10" t="str">
        <f>""</f>
        <v/>
      </c>
      <c r="K980" s="10" t="str">
        <f>"PFES1162561241_0001"</f>
        <v>PFES1162561241_0001</v>
      </c>
      <c r="L980" s="10">
        <v>1</v>
      </c>
      <c r="M980" s="10">
        <v>1</v>
      </c>
    </row>
    <row r="981" spans="1:13">
      <c r="A981" s="8">
        <v>42923</v>
      </c>
      <c r="B981" s="9">
        <v>0.625</v>
      </c>
      <c r="C981" s="10" t="str">
        <f>"FES1162560914"</f>
        <v>FES1162560914</v>
      </c>
      <c r="D981" s="10" t="s">
        <v>19</v>
      </c>
      <c r="E981" s="10" t="s">
        <v>584</v>
      </c>
      <c r="F981" s="10" t="str">
        <f>"2170564510 "</f>
        <v xml:space="preserve">2170564510 </v>
      </c>
      <c r="G981" s="10" t="str">
        <f>"ON1"</f>
        <v>ON1</v>
      </c>
      <c r="H981" s="10" t="s">
        <v>21</v>
      </c>
      <c r="I981" s="10" t="s">
        <v>75</v>
      </c>
      <c r="J981" s="10" t="str">
        <f>""</f>
        <v/>
      </c>
      <c r="K981" s="10" t="str">
        <f>"PFES1162560914_0001"</f>
        <v>PFES1162560914_0001</v>
      </c>
      <c r="L981" s="10">
        <v>2</v>
      </c>
      <c r="M981" s="10">
        <v>8</v>
      </c>
    </row>
    <row r="982" spans="1:13">
      <c r="A982" s="8">
        <v>42923</v>
      </c>
      <c r="B982" s="9">
        <v>0.625</v>
      </c>
      <c r="C982" s="10" t="str">
        <f>"FES1162560914"</f>
        <v>FES1162560914</v>
      </c>
      <c r="D982" s="10" t="s">
        <v>19</v>
      </c>
      <c r="E982" s="10" t="s">
        <v>584</v>
      </c>
      <c r="F982" s="10" t="str">
        <f>"2170564510 "</f>
        <v xml:space="preserve">2170564510 </v>
      </c>
      <c r="G982" s="10" t="str">
        <f>"ON1"</f>
        <v>ON1</v>
      </c>
      <c r="H982" s="10" t="s">
        <v>21</v>
      </c>
      <c r="I982" s="10" t="s">
        <v>75</v>
      </c>
      <c r="J982" s="10"/>
      <c r="K982" s="10" t="str">
        <f>"PFES1162560914_0002"</f>
        <v>PFES1162560914_0002</v>
      </c>
      <c r="L982" s="10">
        <v>2</v>
      </c>
      <c r="M982" s="10">
        <v>8</v>
      </c>
    </row>
    <row r="983" spans="1:13">
      <c r="A983" s="8">
        <v>42923</v>
      </c>
      <c r="B983" s="9">
        <v>0.61805555555555558</v>
      </c>
      <c r="C983" s="10" t="str">
        <f>"FES1162561238"</f>
        <v>FES1162561238</v>
      </c>
      <c r="D983" s="10" t="s">
        <v>19</v>
      </c>
      <c r="E983" s="10" t="s">
        <v>91</v>
      </c>
      <c r="F983" s="10" t="str">
        <f>"2170577997 "</f>
        <v xml:space="preserve">2170577997 </v>
      </c>
      <c r="G983" s="10" t="str">
        <f t="shared" ref="G983:G1011" si="40">"ON1"</f>
        <v>ON1</v>
      </c>
      <c r="H983" s="10" t="s">
        <v>21</v>
      </c>
      <c r="I983" s="10" t="s">
        <v>92</v>
      </c>
      <c r="J983" s="10" t="str">
        <f>""</f>
        <v/>
      </c>
      <c r="K983" s="10" t="str">
        <f>"PFES1162561238_0001"</f>
        <v>PFES1162561238_0001</v>
      </c>
      <c r="L983" s="10">
        <v>1</v>
      </c>
      <c r="M983" s="10">
        <v>1</v>
      </c>
    </row>
    <row r="984" spans="1:13">
      <c r="A984" s="8">
        <v>42923</v>
      </c>
      <c r="B984" s="9">
        <v>0.61805555555555558</v>
      </c>
      <c r="C984" s="10" t="str">
        <f>"FES1162561239"</f>
        <v>FES1162561239</v>
      </c>
      <c r="D984" s="10" t="s">
        <v>19</v>
      </c>
      <c r="E984" s="10" t="s">
        <v>33</v>
      </c>
      <c r="F984" s="10" t="str">
        <f>"217057163 "</f>
        <v xml:space="preserve">217057163 </v>
      </c>
      <c r="G984" s="10" t="str">
        <f t="shared" si="40"/>
        <v>ON1</v>
      </c>
      <c r="H984" s="10" t="s">
        <v>21</v>
      </c>
      <c r="I984" s="10" t="s">
        <v>34</v>
      </c>
      <c r="J984" s="10" t="str">
        <f>""</f>
        <v/>
      </c>
      <c r="K984" s="10" t="str">
        <f>"PFES1162561239_0001"</f>
        <v>PFES1162561239_0001</v>
      </c>
      <c r="L984" s="10">
        <v>1</v>
      </c>
      <c r="M984" s="10">
        <v>8</v>
      </c>
    </row>
    <row r="985" spans="1:13">
      <c r="A985" s="8">
        <v>42923</v>
      </c>
      <c r="B985" s="9">
        <v>0.61527777777777781</v>
      </c>
      <c r="C985" s="10" t="str">
        <f>"FES1162561227"</f>
        <v>FES1162561227</v>
      </c>
      <c r="D985" s="10" t="s">
        <v>19</v>
      </c>
      <c r="E985" s="10" t="s">
        <v>397</v>
      </c>
      <c r="F985" s="10" t="str">
        <f>"2170577772 "</f>
        <v xml:space="preserve">2170577772 </v>
      </c>
      <c r="G985" s="10" t="str">
        <f t="shared" si="40"/>
        <v>ON1</v>
      </c>
      <c r="H985" s="10" t="s">
        <v>21</v>
      </c>
      <c r="I985" s="10" t="s">
        <v>398</v>
      </c>
      <c r="J985" s="10" t="str">
        <f>""</f>
        <v/>
      </c>
      <c r="K985" s="10" t="str">
        <f>"PFES1162561227_0001"</f>
        <v>PFES1162561227_0001</v>
      </c>
      <c r="L985" s="10">
        <v>1</v>
      </c>
      <c r="M985" s="10">
        <v>7</v>
      </c>
    </row>
    <row r="986" spans="1:13">
      <c r="A986" s="8">
        <v>42923</v>
      </c>
      <c r="B986" s="9">
        <v>0.61388888888888882</v>
      </c>
      <c r="C986" s="10" t="str">
        <f>"FES1162561235"</f>
        <v>FES1162561235</v>
      </c>
      <c r="D986" s="10" t="s">
        <v>19</v>
      </c>
      <c r="E986" s="10" t="s">
        <v>378</v>
      </c>
      <c r="F986" s="10" t="str">
        <f>"2170577992 "</f>
        <v xml:space="preserve">2170577992 </v>
      </c>
      <c r="G986" s="10" t="str">
        <f t="shared" si="40"/>
        <v>ON1</v>
      </c>
      <c r="H986" s="10" t="s">
        <v>21</v>
      </c>
      <c r="I986" s="10" t="s">
        <v>36</v>
      </c>
      <c r="J986" s="10" t="str">
        <f>""</f>
        <v/>
      </c>
      <c r="K986" s="10" t="str">
        <f>"PFES1162561235_0001"</f>
        <v>PFES1162561235_0001</v>
      </c>
      <c r="L986" s="10">
        <v>1</v>
      </c>
      <c r="M986" s="10">
        <v>1</v>
      </c>
    </row>
    <row r="987" spans="1:13">
      <c r="A987" s="8">
        <v>42923</v>
      </c>
      <c r="B987" s="9">
        <v>0.61388888888888882</v>
      </c>
      <c r="C987" s="10" t="str">
        <f>"FES1162561232"</f>
        <v>FES1162561232</v>
      </c>
      <c r="D987" s="10" t="s">
        <v>19</v>
      </c>
      <c r="E987" s="10" t="s">
        <v>266</v>
      </c>
      <c r="F987" s="10" t="str">
        <f>"2170577986 "</f>
        <v xml:space="preserve">2170577986 </v>
      </c>
      <c r="G987" s="10" t="str">
        <f t="shared" si="40"/>
        <v>ON1</v>
      </c>
      <c r="H987" s="10" t="s">
        <v>21</v>
      </c>
      <c r="I987" s="10" t="s">
        <v>267</v>
      </c>
      <c r="J987" s="10" t="str">
        <f>""</f>
        <v/>
      </c>
      <c r="K987" s="10" t="str">
        <f>"PFES1162561232_0001"</f>
        <v>PFES1162561232_0001</v>
      </c>
      <c r="L987" s="10">
        <v>1</v>
      </c>
      <c r="M987" s="10">
        <v>6</v>
      </c>
    </row>
    <row r="988" spans="1:13">
      <c r="A988" s="8">
        <v>42923</v>
      </c>
      <c r="B988" s="9">
        <v>0.61319444444444449</v>
      </c>
      <c r="C988" s="10" t="str">
        <f>"FES1162561124"</f>
        <v>FES1162561124</v>
      </c>
      <c r="D988" s="10" t="s">
        <v>19</v>
      </c>
      <c r="E988" s="10" t="s">
        <v>229</v>
      </c>
      <c r="F988" s="10" t="str">
        <f>"2170577731 "</f>
        <v xml:space="preserve">2170577731 </v>
      </c>
      <c r="G988" s="10" t="str">
        <f t="shared" si="40"/>
        <v>ON1</v>
      </c>
      <c r="H988" s="10" t="s">
        <v>21</v>
      </c>
      <c r="I988" s="10" t="s">
        <v>230</v>
      </c>
      <c r="J988" s="10" t="str">
        <f>""</f>
        <v/>
      </c>
      <c r="K988" s="10" t="str">
        <f>"PFES1162561124_0001"</f>
        <v>PFES1162561124_0001</v>
      </c>
      <c r="L988" s="10">
        <v>1</v>
      </c>
      <c r="M988" s="10">
        <v>3</v>
      </c>
    </row>
    <row r="989" spans="1:13">
      <c r="A989" s="8">
        <v>42923</v>
      </c>
      <c r="B989" s="9">
        <v>0.6118055555555556</v>
      </c>
      <c r="C989" s="10" t="str">
        <f>"FES1162561229"</f>
        <v>FES1162561229</v>
      </c>
      <c r="D989" s="10" t="s">
        <v>19</v>
      </c>
      <c r="E989" s="10" t="s">
        <v>658</v>
      </c>
      <c r="F989" s="10" t="str">
        <f>"2170577981 "</f>
        <v xml:space="preserve">2170577981 </v>
      </c>
      <c r="G989" s="10" t="str">
        <f t="shared" si="40"/>
        <v>ON1</v>
      </c>
      <c r="H989" s="10" t="s">
        <v>21</v>
      </c>
      <c r="I989" s="10" t="s">
        <v>217</v>
      </c>
      <c r="J989" s="10" t="str">
        <f>""</f>
        <v/>
      </c>
      <c r="K989" s="10" t="str">
        <f>"PFES1162561229_0001"</f>
        <v>PFES1162561229_0001</v>
      </c>
      <c r="L989" s="10">
        <v>1</v>
      </c>
      <c r="M989" s="10">
        <v>1</v>
      </c>
    </row>
    <row r="990" spans="1:13">
      <c r="A990" s="8">
        <v>42923</v>
      </c>
      <c r="B990" s="9">
        <v>0.61111111111111105</v>
      </c>
      <c r="C990" s="10" t="str">
        <f>"FES1162561236"</f>
        <v>FES1162561236</v>
      </c>
      <c r="D990" s="10" t="s">
        <v>19</v>
      </c>
      <c r="E990" s="10" t="s">
        <v>659</v>
      </c>
      <c r="F990" s="10" t="str">
        <f>"2170577994 "</f>
        <v xml:space="preserve">2170577994 </v>
      </c>
      <c r="G990" s="10" t="str">
        <f t="shared" si="40"/>
        <v>ON1</v>
      </c>
      <c r="H990" s="10" t="s">
        <v>21</v>
      </c>
      <c r="I990" s="10" t="s">
        <v>183</v>
      </c>
      <c r="J990" s="10" t="str">
        <f>""</f>
        <v/>
      </c>
      <c r="K990" s="10" t="str">
        <f>"PFES1162561236_0001"</f>
        <v>PFES1162561236_0001</v>
      </c>
      <c r="L990" s="10">
        <v>1</v>
      </c>
      <c r="M990" s="10">
        <v>1</v>
      </c>
    </row>
    <row r="991" spans="1:13">
      <c r="A991" s="8">
        <v>42923</v>
      </c>
      <c r="B991" s="9">
        <v>0.61111111111111105</v>
      </c>
      <c r="C991" s="10" t="str">
        <f>"FES1162561143"</f>
        <v>FES1162561143</v>
      </c>
      <c r="D991" s="10" t="s">
        <v>19</v>
      </c>
      <c r="E991" s="10" t="s">
        <v>660</v>
      </c>
      <c r="F991" s="10" t="str">
        <f>"2170575558 "</f>
        <v xml:space="preserve">2170575558 </v>
      </c>
      <c r="G991" s="10" t="str">
        <f t="shared" si="40"/>
        <v>ON1</v>
      </c>
      <c r="H991" s="10" t="s">
        <v>21</v>
      </c>
      <c r="I991" s="10" t="s">
        <v>84</v>
      </c>
      <c r="J991" s="10" t="str">
        <f>""</f>
        <v/>
      </c>
      <c r="K991" s="10" t="str">
        <f>"PFES1162561143_0001"</f>
        <v>PFES1162561143_0001</v>
      </c>
      <c r="L991" s="10">
        <v>1</v>
      </c>
      <c r="M991" s="10">
        <v>1</v>
      </c>
    </row>
    <row r="992" spans="1:13">
      <c r="A992" s="8">
        <v>42923</v>
      </c>
      <c r="B992" s="9">
        <v>0.61111111111111105</v>
      </c>
      <c r="C992" s="10" t="str">
        <f>"FES1162561219"</f>
        <v>FES1162561219</v>
      </c>
      <c r="D992" s="10" t="s">
        <v>19</v>
      </c>
      <c r="E992" s="10" t="s">
        <v>477</v>
      </c>
      <c r="F992" s="10" t="str">
        <f>"2170577977 "</f>
        <v xml:space="preserve">2170577977 </v>
      </c>
      <c r="G992" s="10" t="str">
        <f t="shared" si="40"/>
        <v>ON1</v>
      </c>
      <c r="H992" s="10" t="s">
        <v>21</v>
      </c>
      <c r="I992" s="10" t="s">
        <v>138</v>
      </c>
      <c r="J992" s="10" t="str">
        <f>""</f>
        <v/>
      </c>
      <c r="K992" s="10" t="str">
        <f>"PFES1162561219_0001"</f>
        <v>PFES1162561219_0001</v>
      </c>
      <c r="L992" s="10">
        <v>1</v>
      </c>
      <c r="M992" s="10">
        <v>1</v>
      </c>
    </row>
    <row r="993" spans="1:13">
      <c r="A993" s="8">
        <v>42923</v>
      </c>
      <c r="B993" s="9">
        <v>0.61041666666666672</v>
      </c>
      <c r="C993" s="10" t="str">
        <f>"FES1162561220"</f>
        <v>FES1162561220</v>
      </c>
      <c r="D993" s="10" t="s">
        <v>19</v>
      </c>
      <c r="E993" s="10" t="s">
        <v>477</v>
      </c>
      <c r="F993" s="10" t="str">
        <f>"2170577978 "</f>
        <v xml:space="preserve">2170577978 </v>
      </c>
      <c r="G993" s="10" t="str">
        <f t="shared" si="40"/>
        <v>ON1</v>
      </c>
      <c r="H993" s="10" t="s">
        <v>21</v>
      </c>
      <c r="I993" s="10" t="s">
        <v>138</v>
      </c>
      <c r="J993" s="10" t="str">
        <f>""</f>
        <v/>
      </c>
      <c r="K993" s="10" t="str">
        <f>"PFES1162561220_0001"</f>
        <v>PFES1162561220_0001</v>
      </c>
      <c r="L993" s="10">
        <v>1</v>
      </c>
      <c r="M993" s="10">
        <v>1</v>
      </c>
    </row>
    <row r="994" spans="1:13">
      <c r="A994" s="8">
        <v>42923</v>
      </c>
      <c r="B994" s="9">
        <v>0.61041666666666672</v>
      </c>
      <c r="C994" s="10" t="str">
        <f>"FES1162561228"</f>
        <v>FES1162561228</v>
      </c>
      <c r="D994" s="10" t="s">
        <v>19</v>
      </c>
      <c r="E994" s="10" t="s">
        <v>661</v>
      </c>
      <c r="F994" s="10" t="str">
        <f>"2170577980 "</f>
        <v xml:space="preserve">2170577980 </v>
      </c>
      <c r="G994" s="10" t="str">
        <f t="shared" si="40"/>
        <v>ON1</v>
      </c>
      <c r="H994" s="10" t="s">
        <v>21</v>
      </c>
      <c r="I994" s="10" t="s">
        <v>177</v>
      </c>
      <c r="J994" s="10" t="str">
        <f>""</f>
        <v/>
      </c>
      <c r="K994" s="10" t="str">
        <f>"PFES1162561228_0001"</f>
        <v>PFES1162561228_0001</v>
      </c>
      <c r="L994" s="10">
        <v>1</v>
      </c>
      <c r="M994" s="10">
        <v>1</v>
      </c>
    </row>
    <row r="995" spans="1:13">
      <c r="A995" s="8">
        <v>42923</v>
      </c>
      <c r="B995" s="9">
        <v>0.61041666666666672</v>
      </c>
      <c r="C995" s="10" t="str">
        <f>"FES1162561233"</f>
        <v>FES1162561233</v>
      </c>
      <c r="D995" s="10" t="s">
        <v>19</v>
      </c>
      <c r="E995" s="10" t="s">
        <v>154</v>
      </c>
      <c r="F995" s="10" t="str">
        <f>"2170577978 "</f>
        <v xml:space="preserve">2170577978 </v>
      </c>
      <c r="G995" s="10" t="str">
        <f t="shared" si="40"/>
        <v>ON1</v>
      </c>
      <c r="H995" s="10" t="s">
        <v>21</v>
      </c>
      <c r="I995" s="10" t="s">
        <v>130</v>
      </c>
      <c r="J995" s="10" t="str">
        <f>""</f>
        <v/>
      </c>
      <c r="K995" s="10" t="str">
        <f>"PFES1162561233_0001"</f>
        <v>PFES1162561233_0001</v>
      </c>
      <c r="L995" s="10">
        <v>1</v>
      </c>
      <c r="M995" s="10">
        <v>1</v>
      </c>
    </row>
    <row r="996" spans="1:13">
      <c r="A996" s="8">
        <v>42923</v>
      </c>
      <c r="B996" s="9">
        <v>0.61041666666666672</v>
      </c>
      <c r="C996" s="10" t="str">
        <f>"FES1162561221"</f>
        <v>FES1162561221</v>
      </c>
      <c r="D996" s="10" t="s">
        <v>19</v>
      </c>
      <c r="E996" s="10" t="s">
        <v>477</v>
      </c>
      <c r="F996" s="10" t="str">
        <f>"2170577979 "</f>
        <v xml:space="preserve">2170577979 </v>
      </c>
      <c r="G996" s="10" t="str">
        <f t="shared" si="40"/>
        <v>ON1</v>
      </c>
      <c r="H996" s="10" t="s">
        <v>21</v>
      </c>
      <c r="I996" s="10" t="s">
        <v>138</v>
      </c>
      <c r="J996" s="10" t="str">
        <f>""</f>
        <v/>
      </c>
      <c r="K996" s="10" t="str">
        <f>"PFES1162561221_0001"</f>
        <v>PFES1162561221_0001</v>
      </c>
      <c r="L996" s="10">
        <v>1</v>
      </c>
      <c r="M996" s="10">
        <v>1</v>
      </c>
    </row>
    <row r="997" spans="1:13">
      <c r="A997" s="8">
        <v>42923</v>
      </c>
      <c r="B997" s="9">
        <v>0.60972222222222217</v>
      </c>
      <c r="C997" s="10" t="str">
        <f>"FES1162561218"</f>
        <v>FES1162561218</v>
      </c>
      <c r="D997" s="10" t="s">
        <v>19</v>
      </c>
      <c r="E997" s="10" t="s">
        <v>477</v>
      </c>
      <c r="F997" s="10" t="str">
        <f>"2170577973 "</f>
        <v xml:space="preserve">2170577973 </v>
      </c>
      <c r="G997" s="10" t="str">
        <f t="shared" si="40"/>
        <v>ON1</v>
      </c>
      <c r="H997" s="10" t="s">
        <v>21</v>
      </c>
      <c r="I997" s="10" t="s">
        <v>138</v>
      </c>
      <c r="J997" s="10" t="str">
        <f>""</f>
        <v/>
      </c>
      <c r="K997" s="10" t="str">
        <f>"PFES1162561218_0001"</f>
        <v>PFES1162561218_0001</v>
      </c>
      <c r="L997" s="10">
        <v>1</v>
      </c>
      <c r="M997" s="10">
        <v>1</v>
      </c>
    </row>
    <row r="998" spans="1:13">
      <c r="A998" s="8">
        <v>42923</v>
      </c>
      <c r="B998" s="9">
        <v>0.60972222222222217</v>
      </c>
      <c r="C998" s="10" t="str">
        <f>"FES1162561224"</f>
        <v>FES1162561224</v>
      </c>
      <c r="D998" s="10" t="s">
        <v>19</v>
      </c>
      <c r="E998" s="10" t="s">
        <v>662</v>
      </c>
      <c r="F998" s="10" t="str">
        <f>"2170577013 "</f>
        <v xml:space="preserve">2170577013 </v>
      </c>
      <c r="G998" s="10" t="str">
        <f t="shared" si="40"/>
        <v>ON1</v>
      </c>
      <c r="H998" s="10" t="s">
        <v>21</v>
      </c>
      <c r="I998" s="10" t="s">
        <v>138</v>
      </c>
      <c r="J998" s="10" t="str">
        <f>""</f>
        <v/>
      </c>
      <c r="K998" s="10" t="str">
        <f>"PFES1162561224_0001"</f>
        <v>PFES1162561224_0001</v>
      </c>
      <c r="L998" s="10">
        <v>1</v>
      </c>
      <c r="M998" s="10">
        <v>2</v>
      </c>
    </row>
    <row r="999" spans="1:13">
      <c r="A999" s="8">
        <v>42923</v>
      </c>
      <c r="B999" s="9">
        <v>0.60972222222222217</v>
      </c>
      <c r="C999" s="10" t="str">
        <f>"FES1162561200"</f>
        <v>FES1162561200</v>
      </c>
      <c r="D999" s="10" t="s">
        <v>19</v>
      </c>
      <c r="E999" s="10" t="s">
        <v>663</v>
      </c>
      <c r="F999" s="10" t="str">
        <f>"2170577946 "</f>
        <v xml:space="preserve">2170577946 </v>
      </c>
      <c r="G999" s="10" t="str">
        <f t="shared" si="40"/>
        <v>ON1</v>
      </c>
      <c r="H999" s="10" t="s">
        <v>21</v>
      </c>
      <c r="I999" s="10" t="s">
        <v>183</v>
      </c>
      <c r="J999" s="10" t="str">
        <f>""</f>
        <v/>
      </c>
      <c r="K999" s="10" t="str">
        <f>"PFES1162561200_0001"</f>
        <v>PFES1162561200_0001</v>
      </c>
      <c r="L999" s="10">
        <v>1</v>
      </c>
      <c r="M999" s="10">
        <v>1</v>
      </c>
    </row>
    <row r="1000" spans="1:13">
      <c r="A1000" s="8">
        <v>42923</v>
      </c>
      <c r="B1000" s="9">
        <v>0.60902777777777783</v>
      </c>
      <c r="C1000" s="10" t="str">
        <f>"FES1162561170"</f>
        <v>FES1162561170</v>
      </c>
      <c r="D1000" s="10" t="s">
        <v>19</v>
      </c>
      <c r="E1000" s="10" t="s">
        <v>638</v>
      </c>
      <c r="F1000" s="10" t="str">
        <f>"2170577913 "</f>
        <v xml:space="preserve">2170577913 </v>
      </c>
      <c r="G1000" s="10" t="str">
        <f t="shared" si="40"/>
        <v>ON1</v>
      </c>
      <c r="H1000" s="10" t="s">
        <v>21</v>
      </c>
      <c r="I1000" s="10" t="s">
        <v>639</v>
      </c>
      <c r="J1000" s="10" t="str">
        <f>""</f>
        <v/>
      </c>
      <c r="K1000" s="10" t="str">
        <f>"PFES1162561170_0001"</f>
        <v>PFES1162561170_0001</v>
      </c>
      <c r="L1000" s="10">
        <v>1</v>
      </c>
      <c r="M1000" s="10">
        <v>1</v>
      </c>
    </row>
    <row r="1001" spans="1:13">
      <c r="A1001" s="8">
        <v>42923</v>
      </c>
      <c r="B1001" s="9">
        <v>0.60902777777777783</v>
      </c>
      <c r="C1001" s="10" t="str">
        <f>"FES1162561151"</f>
        <v>FES1162561151</v>
      </c>
      <c r="D1001" s="10" t="s">
        <v>19</v>
      </c>
      <c r="E1001" s="10" t="s">
        <v>191</v>
      </c>
      <c r="F1001" s="10" t="str">
        <f>"2170575689 "</f>
        <v xml:space="preserve">2170575689 </v>
      </c>
      <c r="G1001" s="10" t="str">
        <f t="shared" si="40"/>
        <v>ON1</v>
      </c>
      <c r="H1001" s="10" t="s">
        <v>21</v>
      </c>
      <c r="I1001" s="10" t="s">
        <v>192</v>
      </c>
      <c r="J1001" s="10" t="str">
        <f>""</f>
        <v/>
      </c>
      <c r="K1001" s="10" t="str">
        <f>"PFES1162561151_0001"</f>
        <v>PFES1162561151_0001</v>
      </c>
      <c r="L1001" s="10">
        <v>1</v>
      </c>
      <c r="M1001" s="10">
        <v>1</v>
      </c>
    </row>
    <row r="1002" spans="1:13">
      <c r="A1002" s="8">
        <v>42923</v>
      </c>
      <c r="B1002" s="9">
        <v>0.60902777777777783</v>
      </c>
      <c r="C1002" s="10" t="str">
        <f>"FES1162561120"</f>
        <v>FES1162561120</v>
      </c>
      <c r="D1002" s="10" t="s">
        <v>19</v>
      </c>
      <c r="E1002" s="10" t="s">
        <v>20</v>
      </c>
      <c r="F1002" s="10" t="str">
        <f>"2170576512 "</f>
        <v xml:space="preserve">2170576512 </v>
      </c>
      <c r="G1002" s="10" t="str">
        <f t="shared" si="40"/>
        <v>ON1</v>
      </c>
      <c r="H1002" s="10" t="s">
        <v>21</v>
      </c>
      <c r="I1002" s="10" t="s">
        <v>22</v>
      </c>
      <c r="J1002" s="10" t="str">
        <f>""</f>
        <v/>
      </c>
      <c r="K1002" s="10" t="str">
        <f>"PFES1162561120_0001"</f>
        <v>PFES1162561120_0001</v>
      </c>
      <c r="L1002" s="10">
        <v>1</v>
      </c>
      <c r="M1002" s="10">
        <v>3</v>
      </c>
    </row>
    <row r="1003" spans="1:13">
      <c r="A1003" s="8">
        <v>42923</v>
      </c>
      <c r="B1003" s="9">
        <v>0.60902777777777783</v>
      </c>
      <c r="C1003" s="10" t="str">
        <f>"FES1162561165"</f>
        <v>FES1162561165</v>
      </c>
      <c r="D1003" s="10" t="s">
        <v>19</v>
      </c>
      <c r="E1003" s="10" t="s">
        <v>589</v>
      </c>
      <c r="F1003" s="10" t="str">
        <f>"2170577905 "</f>
        <v xml:space="preserve">2170577905 </v>
      </c>
      <c r="G1003" s="10" t="str">
        <f t="shared" si="40"/>
        <v>ON1</v>
      </c>
      <c r="H1003" s="10" t="s">
        <v>21</v>
      </c>
      <c r="I1003" s="10" t="s">
        <v>330</v>
      </c>
      <c r="J1003" s="10" t="str">
        <f>""</f>
        <v/>
      </c>
      <c r="K1003" s="10" t="str">
        <f>"PFES1162561165_0001"</f>
        <v>PFES1162561165_0001</v>
      </c>
      <c r="L1003" s="10">
        <v>1</v>
      </c>
      <c r="M1003" s="10">
        <v>1</v>
      </c>
    </row>
    <row r="1004" spans="1:13">
      <c r="A1004" s="8">
        <v>42923</v>
      </c>
      <c r="B1004" s="9">
        <v>0.60833333333333328</v>
      </c>
      <c r="C1004" s="10" t="str">
        <f>"FES1162561223"</f>
        <v>FES1162561223</v>
      </c>
      <c r="D1004" s="10" t="s">
        <v>19</v>
      </c>
      <c r="E1004" s="10" t="s">
        <v>180</v>
      </c>
      <c r="F1004" s="10" t="str">
        <f>"2170577311 "</f>
        <v xml:space="preserve">2170577311 </v>
      </c>
      <c r="G1004" s="10" t="str">
        <f t="shared" si="40"/>
        <v>ON1</v>
      </c>
      <c r="H1004" s="10" t="s">
        <v>21</v>
      </c>
      <c r="I1004" s="10" t="s">
        <v>168</v>
      </c>
      <c r="J1004" s="10" t="str">
        <f>""</f>
        <v/>
      </c>
      <c r="K1004" s="10" t="str">
        <f>"PFES1162561223_0001"</f>
        <v>PFES1162561223_0001</v>
      </c>
      <c r="L1004" s="10">
        <v>1</v>
      </c>
      <c r="M1004" s="10">
        <v>4</v>
      </c>
    </row>
    <row r="1005" spans="1:13">
      <c r="A1005" s="8">
        <v>42923</v>
      </c>
      <c r="B1005" s="9">
        <v>0.60763888888888895</v>
      </c>
      <c r="C1005" s="10" t="str">
        <f>"FES1162561225"</f>
        <v>FES1162561225</v>
      </c>
      <c r="D1005" s="10" t="s">
        <v>19</v>
      </c>
      <c r="E1005" s="10" t="s">
        <v>80</v>
      </c>
      <c r="F1005" s="10" t="str">
        <f>"2170577362 "</f>
        <v xml:space="preserve">2170577362 </v>
      </c>
      <c r="G1005" s="10" t="str">
        <f t="shared" si="40"/>
        <v>ON1</v>
      </c>
      <c r="H1005" s="10" t="s">
        <v>21</v>
      </c>
      <c r="I1005" s="10" t="s">
        <v>36</v>
      </c>
      <c r="J1005" s="10" t="str">
        <f>""</f>
        <v/>
      </c>
      <c r="K1005" s="10" t="str">
        <f>"PFES1162561225_0001"</f>
        <v>PFES1162561225_0001</v>
      </c>
      <c r="L1005" s="10">
        <v>1</v>
      </c>
      <c r="M1005" s="10">
        <v>2</v>
      </c>
    </row>
    <row r="1006" spans="1:13">
      <c r="A1006" s="8">
        <v>42923</v>
      </c>
      <c r="B1006" s="9">
        <v>0.60763888888888895</v>
      </c>
      <c r="C1006" s="10" t="str">
        <f>"FES1162561184"</f>
        <v>FES1162561184</v>
      </c>
      <c r="D1006" s="10" t="s">
        <v>19</v>
      </c>
      <c r="E1006" s="10" t="s">
        <v>638</v>
      </c>
      <c r="F1006" s="10" t="str">
        <f>"2170577927 "</f>
        <v xml:space="preserve">2170577927 </v>
      </c>
      <c r="G1006" s="10" t="str">
        <f t="shared" si="40"/>
        <v>ON1</v>
      </c>
      <c r="H1006" s="10" t="s">
        <v>21</v>
      </c>
      <c r="I1006" s="10" t="s">
        <v>639</v>
      </c>
      <c r="J1006" s="10" t="str">
        <f>""</f>
        <v/>
      </c>
      <c r="K1006" s="10" t="str">
        <f>"PFES1162561184_0001"</f>
        <v>PFES1162561184_0001</v>
      </c>
      <c r="L1006" s="10">
        <v>1</v>
      </c>
      <c r="M1006" s="10">
        <v>9</v>
      </c>
    </row>
    <row r="1007" spans="1:13">
      <c r="A1007" s="8">
        <v>42923</v>
      </c>
      <c r="B1007" s="9">
        <v>0.60763888888888895</v>
      </c>
      <c r="C1007" s="10" t="str">
        <f>"FES1162561230"</f>
        <v>FES1162561230</v>
      </c>
      <c r="D1007" s="10" t="s">
        <v>19</v>
      </c>
      <c r="E1007" s="10" t="s">
        <v>76</v>
      </c>
      <c r="F1007" s="10" t="str">
        <f>"2170577982 "</f>
        <v xml:space="preserve">2170577982 </v>
      </c>
      <c r="G1007" s="10" t="str">
        <f t="shared" si="40"/>
        <v>ON1</v>
      </c>
      <c r="H1007" s="10" t="s">
        <v>21</v>
      </c>
      <c r="I1007" s="10" t="s">
        <v>77</v>
      </c>
      <c r="J1007" s="10" t="str">
        <f>""</f>
        <v/>
      </c>
      <c r="K1007" s="10" t="str">
        <f>"PFES1162561230_0001"</f>
        <v>PFES1162561230_0001</v>
      </c>
      <c r="L1007" s="10">
        <v>1</v>
      </c>
      <c r="M1007" s="10">
        <v>2</v>
      </c>
    </row>
    <row r="1008" spans="1:13">
      <c r="A1008" s="8">
        <v>42923</v>
      </c>
      <c r="B1008" s="9">
        <v>0.6069444444444444</v>
      </c>
      <c r="C1008" s="10" t="str">
        <f>"FES1162561206"</f>
        <v>FES1162561206</v>
      </c>
      <c r="D1008" s="10" t="s">
        <v>19</v>
      </c>
      <c r="E1008" s="10" t="s">
        <v>401</v>
      </c>
      <c r="F1008" s="10" t="str">
        <f>"2170577890 "</f>
        <v xml:space="preserve">2170577890 </v>
      </c>
      <c r="G1008" s="10" t="str">
        <f t="shared" si="40"/>
        <v>ON1</v>
      </c>
      <c r="H1008" s="10" t="s">
        <v>21</v>
      </c>
      <c r="I1008" s="10" t="s">
        <v>402</v>
      </c>
      <c r="J1008" s="10" t="str">
        <f>""</f>
        <v/>
      </c>
      <c r="K1008" s="10" t="str">
        <f>"PFES1162561206_0001"</f>
        <v>PFES1162561206_0001</v>
      </c>
      <c r="L1008" s="10">
        <v>1</v>
      </c>
      <c r="M1008" s="10">
        <v>2</v>
      </c>
    </row>
    <row r="1009" spans="1:13">
      <c r="A1009" s="8">
        <v>42923</v>
      </c>
      <c r="B1009" s="9">
        <v>0.60625000000000007</v>
      </c>
      <c r="C1009" s="10" t="str">
        <f>"FES1162561214"</f>
        <v>FES1162561214</v>
      </c>
      <c r="D1009" s="10" t="s">
        <v>19</v>
      </c>
      <c r="E1009" s="10" t="s">
        <v>664</v>
      </c>
      <c r="F1009" s="10" t="str">
        <f>"2170577965 "</f>
        <v xml:space="preserve">2170577965 </v>
      </c>
      <c r="G1009" s="10" t="str">
        <f t="shared" si="40"/>
        <v>ON1</v>
      </c>
      <c r="H1009" s="10" t="s">
        <v>21</v>
      </c>
      <c r="I1009" s="10" t="s">
        <v>665</v>
      </c>
      <c r="J1009" s="10" t="str">
        <f>""</f>
        <v/>
      </c>
      <c r="K1009" s="10" t="str">
        <f>"PFES1162561214_0001"</f>
        <v>PFES1162561214_0001</v>
      </c>
      <c r="L1009" s="10">
        <v>1</v>
      </c>
      <c r="M1009" s="10">
        <v>3</v>
      </c>
    </row>
    <row r="1010" spans="1:13">
      <c r="A1010" s="8">
        <v>42923</v>
      </c>
      <c r="B1010" s="9">
        <v>0.60625000000000007</v>
      </c>
      <c r="C1010" s="10" t="str">
        <f>"FES1162561164"</f>
        <v>FES1162561164</v>
      </c>
      <c r="D1010" s="10" t="s">
        <v>19</v>
      </c>
      <c r="E1010" s="10" t="s">
        <v>181</v>
      </c>
      <c r="F1010" s="10" t="str">
        <f>"2170577894 "</f>
        <v xml:space="preserve">2170577894 </v>
      </c>
      <c r="G1010" s="10" t="str">
        <f t="shared" si="40"/>
        <v>ON1</v>
      </c>
      <c r="H1010" s="10" t="s">
        <v>21</v>
      </c>
      <c r="I1010" s="10" t="s">
        <v>179</v>
      </c>
      <c r="J1010" s="10" t="str">
        <f>""</f>
        <v/>
      </c>
      <c r="K1010" s="10" t="str">
        <f>"PFES1162561164_0001"</f>
        <v>PFES1162561164_0001</v>
      </c>
      <c r="L1010" s="10">
        <v>1</v>
      </c>
      <c r="M1010" s="10">
        <v>1</v>
      </c>
    </row>
    <row r="1011" spans="1:13">
      <c r="A1011" s="8">
        <v>42923</v>
      </c>
      <c r="B1011" s="9">
        <v>0.60555555555555551</v>
      </c>
      <c r="C1011" s="10" t="str">
        <f>"FES1162561226"</f>
        <v>FES1162561226</v>
      </c>
      <c r="D1011" s="10" t="s">
        <v>19</v>
      </c>
      <c r="E1011" s="10" t="s">
        <v>436</v>
      </c>
      <c r="F1011" s="10" t="str">
        <f>"2170577561 "</f>
        <v xml:space="preserve">2170577561 </v>
      </c>
      <c r="G1011" s="10" t="str">
        <f t="shared" si="40"/>
        <v>ON1</v>
      </c>
      <c r="H1011" s="10" t="s">
        <v>21</v>
      </c>
      <c r="I1011" s="10" t="s">
        <v>252</v>
      </c>
      <c r="J1011" s="10" t="str">
        <f>""</f>
        <v/>
      </c>
      <c r="K1011" s="10" t="str">
        <f>"PFES1162561226_0001"</f>
        <v>PFES1162561226_0001</v>
      </c>
      <c r="L1011" s="10">
        <v>1</v>
      </c>
      <c r="M1011" s="10">
        <v>7</v>
      </c>
    </row>
    <row r="1012" spans="1:13">
      <c r="A1012" s="8">
        <v>42926</v>
      </c>
      <c r="B1012" s="9">
        <v>0.68541666666666667</v>
      </c>
      <c r="C1012" s="10" t="str">
        <f>"FES1162561473"</f>
        <v>FES1162561473</v>
      </c>
      <c r="D1012" s="10" t="s">
        <v>19</v>
      </c>
      <c r="E1012" s="10" t="s">
        <v>513</v>
      </c>
      <c r="F1012" s="10" t="str">
        <f>"2170578258 "</f>
        <v xml:space="preserve">2170578258 </v>
      </c>
      <c r="G1012" s="10" t="str">
        <f t="shared" ref="G1012:G1017" si="41">"ON1"</f>
        <v>ON1</v>
      </c>
      <c r="H1012" s="10" t="s">
        <v>21</v>
      </c>
      <c r="I1012" s="10" t="s">
        <v>138</v>
      </c>
      <c r="J1012" s="10" t="str">
        <f>""</f>
        <v/>
      </c>
      <c r="K1012" s="10" t="str">
        <f>"PFES1162561473_0001"</f>
        <v>PFES1162561473_0001</v>
      </c>
      <c r="L1012" s="10">
        <v>1</v>
      </c>
      <c r="M1012" s="10">
        <v>5</v>
      </c>
    </row>
    <row r="1013" spans="1:13">
      <c r="A1013" s="8">
        <v>42926</v>
      </c>
      <c r="B1013" s="9">
        <v>0.67499999999999993</v>
      </c>
      <c r="C1013" s="10" t="str">
        <f>"FES1162561468"</f>
        <v>FES1162561468</v>
      </c>
      <c r="D1013" s="10" t="s">
        <v>19</v>
      </c>
      <c r="E1013" s="10" t="s">
        <v>336</v>
      </c>
      <c r="F1013" s="10" t="str">
        <f>"2170578255 "</f>
        <v xml:space="preserve">2170578255 </v>
      </c>
      <c r="G1013" s="10" t="str">
        <f t="shared" si="41"/>
        <v>ON1</v>
      </c>
      <c r="H1013" s="10" t="s">
        <v>21</v>
      </c>
      <c r="I1013" s="10" t="s">
        <v>337</v>
      </c>
      <c r="J1013" s="10" t="str">
        <f>""</f>
        <v/>
      </c>
      <c r="K1013" s="10" t="str">
        <f>"PFES1162561468_0001"</f>
        <v>PFES1162561468_0001</v>
      </c>
      <c r="L1013" s="10">
        <v>2</v>
      </c>
      <c r="M1013" s="10">
        <v>15</v>
      </c>
    </row>
    <row r="1014" spans="1:13">
      <c r="A1014" s="8">
        <v>42926</v>
      </c>
      <c r="B1014" s="9">
        <v>0.67499999999999993</v>
      </c>
      <c r="C1014" s="10" t="str">
        <f>"FES1162561468"</f>
        <v>FES1162561468</v>
      </c>
      <c r="D1014" s="10" t="s">
        <v>19</v>
      </c>
      <c r="E1014" s="10" t="s">
        <v>336</v>
      </c>
      <c r="F1014" s="10" t="str">
        <f>"2170578255 "</f>
        <v xml:space="preserve">2170578255 </v>
      </c>
      <c r="G1014" s="10" t="str">
        <f t="shared" si="41"/>
        <v>ON1</v>
      </c>
      <c r="H1014" s="10" t="s">
        <v>21</v>
      </c>
      <c r="I1014" s="10" t="s">
        <v>337</v>
      </c>
      <c r="J1014" s="10"/>
      <c r="K1014" s="10" t="str">
        <f>"PFES1162561468_0002"</f>
        <v>PFES1162561468_0002</v>
      </c>
      <c r="L1014" s="10">
        <v>2</v>
      </c>
      <c r="M1014" s="10">
        <v>15</v>
      </c>
    </row>
    <row r="1015" spans="1:13">
      <c r="A1015" s="8">
        <v>42926</v>
      </c>
      <c r="B1015" s="9">
        <v>0.67222222222222217</v>
      </c>
      <c r="C1015" s="10" t="str">
        <f>"FES1162561418"</f>
        <v>FES1162561418</v>
      </c>
      <c r="D1015" s="10" t="s">
        <v>19</v>
      </c>
      <c r="E1015" s="10" t="s">
        <v>666</v>
      </c>
      <c r="F1015" s="10" t="str">
        <f>"2170578195 "</f>
        <v xml:space="preserve">2170578195 </v>
      </c>
      <c r="G1015" s="10" t="str">
        <f t="shared" si="41"/>
        <v>ON1</v>
      </c>
      <c r="H1015" s="10" t="s">
        <v>21</v>
      </c>
      <c r="I1015" s="10" t="s">
        <v>628</v>
      </c>
      <c r="J1015" s="10" t="str">
        <f>""</f>
        <v/>
      </c>
      <c r="K1015" s="10" t="str">
        <f>"PFES1162561418_0001"</f>
        <v>PFES1162561418_0001</v>
      </c>
      <c r="L1015" s="10">
        <v>1</v>
      </c>
      <c r="M1015" s="10">
        <v>3</v>
      </c>
    </row>
    <row r="1016" spans="1:13">
      <c r="A1016" s="8">
        <v>42926</v>
      </c>
      <c r="B1016" s="9">
        <v>0.6694444444444444</v>
      </c>
      <c r="C1016" s="10" t="str">
        <f>"FES1162561466"</f>
        <v>FES1162561466</v>
      </c>
      <c r="D1016" s="10" t="s">
        <v>19</v>
      </c>
      <c r="E1016" s="10" t="s">
        <v>441</v>
      </c>
      <c r="F1016" s="10" t="str">
        <f>"2170577950 "</f>
        <v xml:space="preserve">2170577950 </v>
      </c>
      <c r="G1016" s="10" t="str">
        <f t="shared" si="41"/>
        <v>ON1</v>
      </c>
      <c r="H1016" s="10" t="s">
        <v>21</v>
      </c>
      <c r="I1016" s="10" t="s">
        <v>166</v>
      </c>
      <c r="J1016" s="10" t="str">
        <f>""</f>
        <v/>
      </c>
      <c r="K1016" s="10" t="str">
        <f>"PFES1162561466_0001"</f>
        <v>PFES1162561466_0001</v>
      </c>
      <c r="L1016" s="10">
        <v>2</v>
      </c>
      <c r="M1016" s="10">
        <v>12</v>
      </c>
    </row>
    <row r="1017" spans="1:13">
      <c r="A1017" s="8">
        <v>42926</v>
      </c>
      <c r="B1017" s="9">
        <v>0.6694444444444444</v>
      </c>
      <c r="C1017" s="10" t="str">
        <f>"FES1162561466"</f>
        <v>FES1162561466</v>
      </c>
      <c r="D1017" s="10" t="s">
        <v>19</v>
      </c>
      <c r="E1017" s="10" t="s">
        <v>441</v>
      </c>
      <c r="F1017" s="10" t="str">
        <f>"2170577950 "</f>
        <v xml:space="preserve">2170577950 </v>
      </c>
      <c r="G1017" s="10" t="str">
        <f t="shared" si="41"/>
        <v>ON1</v>
      </c>
      <c r="H1017" s="10" t="s">
        <v>21</v>
      </c>
      <c r="I1017" s="10" t="s">
        <v>166</v>
      </c>
      <c r="J1017" s="10"/>
      <c r="K1017" s="10" t="str">
        <f>"PFES1162561466_0002"</f>
        <v>PFES1162561466_0002</v>
      </c>
      <c r="L1017" s="10">
        <v>2</v>
      </c>
      <c r="M1017" s="10">
        <v>12</v>
      </c>
    </row>
    <row r="1018" spans="1:13">
      <c r="A1018" s="8">
        <v>42926</v>
      </c>
      <c r="B1018" s="9">
        <v>0.66875000000000007</v>
      </c>
      <c r="C1018" s="10" t="str">
        <f>"FES1162561441"</f>
        <v>FES1162561441</v>
      </c>
      <c r="D1018" s="10" t="s">
        <v>19</v>
      </c>
      <c r="E1018" s="10" t="s">
        <v>89</v>
      </c>
      <c r="F1018" s="10" t="str">
        <f>"2170578225 "</f>
        <v xml:space="preserve">2170578225 </v>
      </c>
      <c r="G1018" s="10" t="str">
        <f t="shared" ref="G1018:G1077" si="42">"ON1"</f>
        <v>ON1</v>
      </c>
      <c r="H1018" s="10" t="s">
        <v>21</v>
      </c>
      <c r="I1018" s="10" t="s">
        <v>66</v>
      </c>
      <c r="J1018" s="10" t="str">
        <f>""</f>
        <v/>
      </c>
      <c r="K1018" s="10" t="str">
        <f>"PFES1162561441_0001"</f>
        <v>PFES1162561441_0001</v>
      </c>
      <c r="L1018" s="10">
        <v>1</v>
      </c>
      <c r="M1018" s="10">
        <v>1</v>
      </c>
    </row>
    <row r="1019" spans="1:13">
      <c r="A1019" s="8">
        <v>42926</v>
      </c>
      <c r="B1019" s="9">
        <v>0.64583333333333337</v>
      </c>
      <c r="C1019" s="10" t="str">
        <f>"FES1162561459"</f>
        <v>FES1162561459</v>
      </c>
      <c r="D1019" s="10" t="s">
        <v>19</v>
      </c>
      <c r="E1019" s="10" t="s">
        <v>288</v>
      </c>
      <c r="F1019" s="10" t="str">
        <f>"2170578241 "</f>
        <v xml:space="preserve">2170578241 </v>
      </c>
      <c r="G1019" s="10" t="str">
        <f t="shared" si="42"/>
        <v>ON1</v>
      </c>
      <c r="H1019" s="10" t="s">
        <v>21</v>
      </c>
      <c r="I1019" s="10" t="s">
        <v>177</v>
      </c>
      <c r="J1019" s="10" t="str">
        <f>""</f>
        <v/>
      </c>
      <c r="K1019" s="10" t="str">
        <f>"PFES1162561459_0001"</f>
        <v>PFES1162561459_0001</v>
      </c>
      <c r="L1019" s="10">
        <v>1</v>
      </c>
      <c r="M1019" s="10">
        <v>1</v>
      </c>
    </row>
    <row r="1020" spans="1:13">
      <c r="A1020" s="8">
        <v>42926</v>
      </c>
      <c r="B1020" s="9">
        <v>0.64513888888888882</v>
      </c>
      <c r="C1020" s="10" t="str">
        <f>"FES1162561464"</f>
        <v>FES1162561464</v>
      </c>
      <c r="D1020" s="10" t="s">
        <v>19</v>
      </c>
      <c r="E1020" s="10" t="s">
        <v>459</v>
      </c>
      <c r="F1020" s="10" t="str">
        <f>"2170576528 "</f>
        <v xml:space="preserve">2170576528 </v>
      </c>
      <c r="G1020" s="10" t="str">
        <f t="shared" si="42"/>
        <v>ON1</v>
      </c>
      <c r="H1020" s="10" t="s">
        <v>21</v>
      </c>
      <c r="I1020" s="10" t="s">
        <v>330</v>
      </c>
      <c r="J1020" s="10" t="str">
        <f>""</f>
        <v/>
      </c>
      <c r="K1020" s="10" t="str">
        <f>"PFES1162561464_0001"</f>
        <v>PFES1162561464_0001</v>
      </c>
      <c r="L1020" s="10">
        <v>1</v>
      </c>
      <c r="M1020" s="10">
        <v>1</v>
      </c>
    </row>
    <row r="1021" spans="1:13">
      <c r="A1021" s="8">
        <v>42926</v>
      </c>
      <c r="B1021" s="9">
        <v>0.63958333333333328</v>
      </c>
      <c r="C1021" s="10" t="str">
        <f>"FES1162561384"</f>
        <v>FES1162561384</v>
      </c>
      <c r="D1021" s="10" t="s">
        <v>19</v>
      </c>
      <c r="E1021" s="10" t="s">
        <v>458</v>
      </c>
      <c r="F1021" s="10" t="str">
        <f>"2170578157 "</f>
        <v xml:space="preserve">2170578157 </v>
      </c>
      <c r="G1021" s="10" t="str">
        <f t="shared" si="42"/>
        <v>ON1</v>
      </c>
      <c r="H1021" s="10" t="s">
        <v>21</v>
      </c>
      <c r="I1021" s="10" t="s">
        <v>393</v>
      </c>
      <c r="J1021" s="10" t="str">
        <f>""</f>
        <v/>
      </c>
      <c r="K1021" s="10" t="str">
        <f>"PFES1162561384_0001"</f>
        <v>PFES1162561384_0001</v>
      </c>
      <c r="L1021" s="10">
        <v>1</v>
      </c>
      <c r="M1021" s="10">
        <v>1</v>
      </c>
    </row>
    <row r="1022" spans="1:13">
      <c r="A1022" s="8">
        <v>42926</v>
      </c>
      <c r="B1022" s="9">
        <v>0.63888888888888895</v>
      </c>
      <c r="C1022" s="10" t="str">
        <f>"FES1162561405"</f>
        <v>FES1162561405</v>
      </c>
      <c r="D1022" s="10" t="s">
        <v>19</v>
      </c>
      <c r="E1022" s="10" t="s">
        <v>667</v>
      </c>
      <c r="F1022" s="10" t="str">
        <f>"2170578000 "</f>
        <v xml:space="preserve">2170578000 </v>
      </c>
      <c r="G1022" s="10" t="str">
        <f t="shared" si="42"/>
        <v>ON1</v>
      </c>
      <c r="H1022" s="10" t="s">
        <v>21</v>
      </c>
      <c r="I1022" s="10" t="s">
        <v>668</v>
      </c>
      <c r="J1022" s="10" t="str">
        <f>""</f>
        <v/>
      </c>
      <c r="K1022" s="10" t="str">
        <f>"PFES1162561405_0001"</f>
        <v>PFES1162561405_0001</v>
      </c>
      <c r="L1022" s="10">
        <v>1</v>
      </c>
      <c r="M1022" s="10">
        <v>1</v>
      </c>
    </row>
    <row r="1023" spans="1:13">
      <c r="A1023" s="8">
        <v>42926</v>
      </c>
      <c r="B1023" s="9">
        <v>0.63750000000000007</v>
      </c>
      <c r="C1023" s="10" t="str">
        <f>"FES1162561406"</f>
        <v>FES1162561406</v>
      </c>
      <c r="D1023" s="10" t="s">
        <v>19</v>
      </c>
      <c r="E1023" s="10" t="s">
        <v>611</v>
      </c>
      <c r="F1023" s="10" t="str">
        <f>"2170578177 "</f>
        <v xml:space="preserve">2170578177 </v>
      </c>
      <c r="G1023" s="10" t="str">
        <f t="shared" si="42"/>
        <v>ON1</v>
      </c>
      <c r="H1023" s="10" t="s">
        <v>21</v>
      </c>
      <c r="I1023" s="10" t="s">
        <v>48</v>
      </c>
      <c r="J1023" s="10" t="str">
        <f>""</f>
        <v/>
      </c>
      <c r="K1023" s="10" t="str">
        <f>"PFES1162561406_0001"</f>
        <v>PFES1162561406_0001</v>
      </c>
      <c r="L1023" s="10">
        <v>1</v>
      </c>
      <c r="M1023" s="10">
        <v>1</v>
      </c>
    </row>
    <row r="1024" spans="1:13">
      <c r="A1024" s="8">
        <v>42926</v>
      </c>
      <c r="B1024" s="9">
        <v>0.63680555555555551</v>
      </c>
      <c r="C1024" s="10" t="str">
        <f>"FES1162561370"</f>
        <v>FES1162561370</v>
      </c>
      <c r="D1024" s="10" t="s">
        <v>19</v>
      </c>
      <c r="E1024" s="10" t="s">
        <v>669</v>
      </c>
      <c r="F1024" s="10" t="str">
        <f>"2170578139 "</f>
        <v xml:space="preserve">2170578139 </v>
      </c>
      <c r="G1024" s="10" t="str">
        <f t="shared" si="42"/>
        <v>ON1</v>
      </c>
      <c r="H1024" s="10" t="s">
        <v>21</v>
      </c>
      <c r="I1024" s="10" t="s">
        <v>670</v>
      </c>
      <c r="J1024" s="10" t="str">
        <f>""</f>
        <v/>
      </c>
      <c r="K1024" s="10" t="str">
        <f>"PFES1162561370_0001"</f>
        <v>PFES1162561370_0001</v>
      </c>
      <c r="L1024" s="10">
        <v>1</v>
      </c>
      <c r="M1024" s="10">
        <v>1</v>
      </c>
    </row>
    <row r="1025" spans="1:13">
      <c r="A1025" s="8">
        <v>42926</v>
      </c>
      <c r="B1025" s="9">
        <v>0.63611111111111118</v>
      </c>
      <c r="C1025" s="10" t="str">
        <f>"FES1162561429"</f>
        <v>FES1162561429</v>
      </c>
      <c r="D1025" s="10" t="s">
        <v>19</v>
      </c>
      <c r="E1025" s="10" t="s">
        <v>99</v>
      </c>
      <c r="F1025" s="10" t="str">
        <f>"2170578209 "</f>
        <v xml:space="preserve">2170578209 </v>
      </c>
      <c r="G1025" s="10" t="str">
        <f t="shared" si="42"/>
        <v>ON1</v>
      </c>
      <c r="H1025" s="10" t="s">
        <v>21</v>
      </c>
      <c r="I1025" s="10" t="s">
        <v>100</v>
      </c>
      <c r="J1025" s="10" t="str">
        <f>""</f>
        <v/>
      </c>
      <c r="K1025" s="10" t="str">
        <f>"PFES1162561429_0001"</f>
        <v>PFES1162561429_0001</v>
      </c>
      <c r="L1025" s="10">
        <v>1</v>
      </c>
      <c r="M1025" s="10">
        <v>1</v>
      </c>
    </row>
    <row r="1026" spans="1:13">
      <c r="A1026" s="8">
        <v>42926</v>
      </c>
      <c r="B1026" s="9">
        <v>0.63541666666666663</v>
      </c>
      <c r="C1026" s="10" t="str">
        <f>"FES1162561415"</f>
        <v>FES1162561415</v>
      </c>
      <c r="D1026" s="10" t="s">
        <v>19</v>
      </c>
      <c r="E1026" s="10" t="s">
        <v>288</v>
      </c>
      <c r="F1026" s="10" t="str">
        <f>"2170578192 "</f>
        <v xml:space="preserve">2170578192 </v>
      </c>
      <c r="G1026" s="10" t="str">
        <f t="shared" si="42"/>
        <v>ON1</v>
      </c>
      <c r="H1026" s="10" t="s">
        <v>21</v>
      </c>
      <c r="I1026" s="10" t="s">
        <v>84</v>
      </c>
      <c r="J1026" s="10" t="str">
        <f>""</f>
        <v/>
      </c>
      <c r="K1026" s="10" t="str">
        <f>"PFES1162561415_0001"</f>
        <v>PFES1162561415_0001</v>
      </c>
      <c r="L1026" s="10">
        <v>1</v>
      </c>
      <c r="M1026" s="10">
        <v>1</v>
      </c>
    </row>
    <row r="1027" spans="1:13">
      <c r="A1027" s="8">
        <v>42926</v>
      </c>
      <c r="B1027" s="9">
        <v>0.63472222222222219</v>
      </c>
      <c r="C1027" s="10" t="str">
        <f>"FES1162561409"</f>
        <v>FES1162561409</v>
      </c>
      <c r="D1027" s="10" t="s">
        <v>19</v>
      </c>
      <c r="E1027" s="10" t="s">
        <v>95</v>
      </c>
      <c r="F1027" s="10" t="str">
        <f>"2170578181 "</f>
        <v xml:space="preserve">2170578181 </v>
      </c>
      <c r="G1027" s="10" t="str">
        <f t="shared" si="42"/>
        <v>ON1</v>
      </c>
      <c r="H1027" s="10" t="s">
        <v>21</v>
      </c>
      <c r="I1027" s="10" t="s">
        <v>84</v>
      </c>
      <c r="J1027" s="10" t="str">
        <f>""</f>
        <v/>
      </c>
      <c r="K1027" s="10" t="str">
        <f>"PFES1162561409_0001"</f>
        <v>PFES1162561409_0001</v>
      </c>
      <c r="L1027" s="10">
        <v>1</v>
      </c>
      <c r="M1027" s="10">
        <v>1</v>
      </c>
    </row>
    <row r="1028" spans="1:13">
      <c r="A1028" s="8">
        <v>42926</v>
      </c>
      <c r="B1028" s="9">
        <v>0.63402777777777775</v>
      </c>
      <c r="C1028" s="10" t="str">
        <f>"FES1162561445"</f>
        <v>FES1162561445</v>
      </c>
      <c r="D1028" s="10" t="s">
        <v>19</v>
      </c>
      <c r="E1028" s="10" t="s">
        <v>616</v>
      </c>
      <c r="F1028" s="10" t="str">
        <f>"2170578083 "</f>
        <v xml:space="preserve">2170578083 </v>
      </c>
      <c r="G1028" s="10" t="str">
        <f t="shared" si="42"/>
        <v>ON1</v>
      </c>
      <c r="H1028" s="10" t="s">
        <v>21</v>
      </c>
      <c r="I1028" s="10" t="s">
        <v>32</v>
      </c>
      <c r="J1028" s="10" t="str">
        <f>""</f>
        <v/>
      </c>
      <c r="K1028" s="10" t="str">
        <f>"PFES1162561445_0001"</f>
        <v>PFES1162561445_0001</v>
      </c>
      <c r="L1028" s="10">
        <v>1</v>
      </c>
      <c r="M1028" s="10">
        <v>1</v>
      </c>
    </row>
    <row r="1029" spans="1:13">
      <c r="A1029" s="8">
        <v>42926</v>
      </c>
      <c r="B1029" s="9">
        <v>0.6333333333333333</v>
      </c>
      <c r="C1029" s="10" t="str">
        <f>"FES1162561454"</f>
        <v>FES1162561454</v>
      </c>
      <c r="D1029" s="10" t="s">
        <v>19</v>
      </c>
      <c r="E1029" s="10" t="s">
        <v>527</v>
      </c>
      <c r="F1029" s="10" t="str">
        <f>"2170578236 "</f>
        <v xml:space="preserve">2170578236 </v>
      </c>
      <c r="G1029" s="10" t="str">
        <f t="shared" si="42"/>
        <v>ON1</v>
      </c>
      <c r="H1029" s="10" t="s">
        <v>21</v>
      </c>
      <c r="I1029" s="10" t="s">
        <v>217</v>
      </c>
      <c r="J1029" s="10" t="str">
        <f>""</f>
        <v/>
      </c>
      <c r="K1029" s="10" t="str">
        <f>"PFES1162561454_0001"</f>
        <v>PFES1162561454_0001</v>
      </c>
      <c r="L1029" s="10">
        <v>1</v>
      </c>
      <c r="M1029" s="10">
        <v>1</v>
      </c>
    </row>
    <row r="1030" spans="1:13">
      <c r="A1030" s="8">
        <v>42926</v>
      </c>
      <c r="B1030" s="9">
        <v>0.63263888888888886</v>
      </c>
      <c r="C1030" s="10" t="str">
        <f>"FES1162561447"</f>
        <v>FES1162561447</v>
      </c>
      <c r="D1030" s="10" t="s">
        <v>19</v>
      </c>
      <c r="E1030" s="10" t="s">
        <v>671</v>
      </c>
      <c r="F1030" s="10" t="str">
        <f>"2170578197 "</f>
        <v xml:space="preserve">2170578197 </v>
      </c>
      <c r="G1030" s="10" t="str">
        <f t="shared" si="42"/>
        <v>ON1</v>
      </c>
      <c r="H1030" s="10" t="s">
        <v>21</v>
      </c>
      <c r="I1030" s="10" t="s">
        <v>100</v>
      </c>
      <c r="J1030" s="10" t="str">
        <f>""</f>
        <v/>
      </c>
      <c r="K1030" s="10" t="str">
        <f>"PFES1162561447_0001"</f>
        <v>PFES1162561447_0001</v>
      </c>
      <c r="L1030" s="10">
        <v>1</v>
      </c>
      <c r="M1030" s="10">
        <v>1</v>
      </c>
    </row>
    <row r="1031" spans="1:13">
      <c r="A1031" s="8">
        <v>42926</v>
      </c>
      <c r="B1031" s="9">
        <v>0.63124999999999998</v>
      </c>
      <c r="C1031" s="10" t="str">
        <f>"FES1162561413"</f>
        <v>FES1162561413</v>
      </c>
      <c r="D1031" s="10" t="s">
        <v>19</v>
      </c>
      <c r="E1031" s="10" t="s">
        <v>672</v>
      </c>
      <c r="F1031" s="10" t="str">
        <f>"2170578188 "</f>
        <v xml:space="preserve">2170578188 </v>
      </c>
      <c r="G1031" s="10" t="str">
        <f t="shared" si="42"/>
        <v>ON1</v>
      </c>
      <c r="H1031" s="10" t="s">
        <v>21</v>
      </c>
      <c r="I1031" s="10" t="s">
        <v>673</v>
      </c>
      <c r="J1031" s="10" t="str">
        <f>""</f>
        <v/>
      </c>
      <c r="K1031" s="10" t="str">
        <f>"PFES1162561413_0001"</f>
        <v>PFES1162561413_0001</v>
      </c>
      <c r="L1031" s="10">
        <v>1</v>
      </c>
      <c r="M1031" s="10">
        <v>1</v>
      </c>
    </row>
    <row r="1032" spans="1:13">
      <c r="A1032" s="8">
        <v>42926</v>
      </c>
      <c r="B1032" s="9">
        <v>0.63055555555555554</v>
      </c>
      <c r="C1032" s="10" t="str">
        <f>"FES1162561465"</f>
        <v>FES1162561465</v>
      </c>
      <c r="D1032" s="10" t="s">
        <v>19</v>
      </c>
      <c r="E1032" s="10" t="s">
        <v>25</v>
      </c>
      <c r="F1032" s="10" t="str">
        <f>"2170576279 "</f>
        <v xml:space="preserve">2170576279 </v>
      </c>
      <c r="G1032" s="10" t="str">
        <f t="shared" si="42"/>
        <v>ON1</v>
      </c>
      <c r="H1032" s="10" t="s">
        <v>21</v>
      </c>
      <c r="I1032" s="10" t="s">
        <v>26</v>
      </c>
      <c r="J1032" s="10" t="str">
        <f>""</f>
        <v/>
      </c>
      <c r="K1032" s="10" t="str">
        <f>"PFES1162561465_0001"</f>
        <v>PFES1162561465_0001</v>
      </c>
      <c r="L1032" s="10">
        <v>1</v>
      </c>
      <c r="M1032" s="10">
        <v>7</v>
      </c>
    </row>
    <row r="1033" spans="1:13">
      <c r="A1033" s="8">
        <v>42926</v>
      </c>
      <c r="B1033" s="9">
        <v>0.62916666666666665</v>
      </c>
      <c r="C1033" s="10" t="str">
        <f>"FES1162561467"</f>
        <v>FES1162561467</v>
      </c>
      <c r="D1033" s="10" t="s">
        <v>19</v>
      </c>
      <c r="E1033" s="10" t="s">
        <v>118</v>
      </c>
      <c r="F1033" s="10" t="str">
        <f>"2170578244 "</f>
        <v xml:space="preserve">2170578244 </v>
      </c>
      <c r="G1033" s="10" t="str">
        <f t="shared" si="42"/>
        <v>ON1</v>
      </c>
      <c r="H1033" s="10" t="s">
        <v>21</v>
      </c>
      <c r="I1033" s="10" t="s">
        <v>119</v>
      </c>
      <c r="J1033" s="10" t="str">
        <f>""</f>
        <v/>
      </c>
      <c r="K1033" s="10" t="str">
        <f>"PFES1162561467_0001"</f>
        <v>PFES1162561467_0001</v>
      </c>
      <c r="L1033" s="10">
        <v>1</v>
      </c>
      <c r="M1033" s="10">
        <v>1</v>
      </c>
    </row>
    <row r="1034" spans="1:13">
      <c r="A1034" s="8">
        <v>42926</v>
      </c>
      <c r="B1034" s="9">
        <v>0.62847222222222221</v>
      </c>
      <c r="C1034" s="10" t="str">
        <f>"FES1162561463"</f>
        <v>FES1162561463</v>
      </c>
      <c r="D1034" s="10" t="s">
        <v>19</v>
      </c>
      <c r="E1034" s="10" t="s">
        <v>436</v>
      </c>
      <c r="F1034" s="10" t="str">
        <f>"2170577561 "</f>
        <v xml:space="preserve">2170577561 </v>
      </c>
      <c r="G1034" s="10" t="str">
        <f t="shared" si="42"/>
        <v>ON1</v>
      </c>
      <c r="H1034" s="10" t="s">
        <v>21</v>
      </c>
      <c r="I1034" s="10" t="s">
        <v>252</v>
      </c>
      <c r="J1034" s="10" t="str">
        <f>""</f>
        <v/>
      </c>
      <c r="K1034" s="10" t="str">
        <f>"PFES1162561463_0001"</f>
        <v>PFES1162561463_0001</v>
      </c>
      <c r="L1034" s="10">
        <v>1</v>
      </c>
      <c r="M1034" s="10">
        <v>1</v>
      </c>
    </row>
    <row r="1035" spans="1:13">
      <c r="A1035" s="8">
        <v>42926</v>
      </c>
      <c r="B1035" s="9">
        <v>0.62708333333333333</v>
      </c>
      <c r="C1035" s="10" t="str">
        <f>"FES1162561450"</f>
        <v>FES1162561450</v>
      </c>
      <c r="D1035" s="10" t="s">
        <v>19</v>
      </c>
      <c r="E1035" s="10" t="s">
        <v>160</v>
      </c>
      <c r="F1035" s="10" t="str">
        <f>"2170578230 "</f>
        <v xml:space="preserve">2170578230 </v>
      </c>
      <c r="G1035" s="10" t="str">
        <f t="shared" si="42"/>
        <v>ON1</v>
      </c>
      <c r="H1035" s="10" t="s">
        <v>21</v>
      </c>
      <c r="I1035" s="10" t="s">
        <v>161</v>
      </c>
      <c r="J1035" s="10" t="str">
        <f>""</f>
        <v/>
      </c>
      <c r="K1035" s="10" t="str">
        <f>"PFES1162561450_0001"</f>
        <v>PFES1162561450_0001</v>
      </c>
      <c r="L1035" s="10">
        <v>1</v>
      </c>
      <c r="M1035" s="10">
        <v>1</v>
      </c>
    </row>
    <row r="1036" spans="1:13">
      <c r="A1036" s="8">
        <v>42926</v>
      </c>
      <c r="B1036" s="9">
        <v>0.62569444444444444</v>
      </c>
      <c r="C1036" s="10" t="str">
        <f>"FES1162561460"</f>
        <v>FES1162561460</v>
      </c>
      <c r="D1036" s="10" t="s">
        <v>19</v>
      </c>
      <c r="E1036" s="10" t="s">
        <v>158</v>
      </c>
      <c r="F1036" s="10" t="str">
        <f>"2170578245 "</f>
        <v xml:space="preserve">2170578245 </v>
      </c>
      <c r="G1036" s="10" t="str">
        <f t="shared" si="42"/>
        <v>ON1</v>
      </c>
      <c r="H1036" s="10" t="s">
        <v>21</v>
      </c>
      <c r="I1036" s="10" t="s">
        <v>159</v>
      </c>
      <c r="J1036" s="10" t="str">
        <f>""</f>
        <v/>
      </c>
      <c r="K1036" s="10" t="str">
        <f>"PFES1162561460_0001"</f>
        <v>PFES1162561460_0001</v>
      </c>
      <c r="L1036" s="10">
        <v>1</v>
      </c>
      <c r="M1036" s="10">
        <v>1</v>
      </c>
    </row>
    <row r="1037" spans="1:13">
      <c r="A1037" s="8">
        <v>42926</v>
      </c>
      <c r="B1037" s="9">
        <v>0.62361111111111112</v>
      </c>
      <c r="C1037" s="10" t="str">
        <f>"FES1162561456"</f>
        <v>FES1162561456</v>
      </c>
      <c r="D1037" s="10" t="s">
        <v>19</v>
      </c>
      <c r="E1037" s="10" t="s">
        <v>245</v>
      </c>
      <c r="F1037" s="10" t="str">
        <f>"2170578239 "</f>
        <v xml:space="preserve">2170578239 </v>
      </c>
      <c r="G1037" s="10" t="str">
        <f t="shared" si="42"/>
        <v>ON1</v>
      </c>
      <c r="H1037" s="10" t="s">
        <v>21</v>
      </c>
      <c r="I1037" s="10" t="s">
        <v>246</v>
      </c>
      <c r="J1037" s="10" t="str">
        <f>""</f>
        <v/>
      </c>
      <c r="K1037" s="10" t="str">
        <f>"PFES1162561456_0001"</f>
        <v>PFES1162561456_0001</v>
      </c>
      <c r="L1037" s="10">
        <v>1</v>
      </c>
      <c r="M1037" s="10">
        <v>1</v>
      </c>
    </row>
    <row r="1038" spans="1:13">
      <c r="A1038" s="8">
        <v>42926</v>
      </c>
      <c r="B1038" s="9">
        <v>0.62222222222222223</v>
      </c>
      <c r="C1038" s="10" t="str">
        <f>"FES1162561455"</f>
        <v>FES1162561455</v>
      </c>
      <c r="D1038" s="10" t="s">
        <v>19</v>
      </c>
      <c r="E1038" s="10" t="s">
        <v>674</v>
      </c>
      <c r="F1038" s="10" t="str">
        <f>"2170578237 "</f>
        <v xml:space="preserve">2170578237 </v>
      </c>
      <c r="G1038" s="10" t="str">
        <f t="shared" si="42"/>
        <v>ON1</v>
      </c>
      <c r="H1038" s="10" t="s">
        <v>21</v>
      </c>
      <c r="I1038" s="10" t="s">
        <v>228</v>
      </c>
      <c r="J1038" s="10" t="str">
        <f>""</f>
        <v/>
      </c>
      <c r="K1038" s="10" t="str">
        <f>"PFES1162561455_0001"</f>
        <v>PFES1162561455_0001</v>
      </c>
      <c r="L1038" s="10">
        <v>1</v>
      </c>
      <c r="M1038" s="10">
        <v>1</v>
      </c>
    </row>
    <row r="1039" spans="1:13">
      <c r="A1039" s="8">
        <v>42926</v>
      </c>
      <c r="B1039" s="9">
        <v>0.62083333333333335</v>
      </c>
      <c r="C1039" s="10" t="str">
        <f>"FES1162561461"</f>
        <v>FES1162561461</v>
      </c>
      <c r="D1039" s="10" t="s">
        <v>19</v>
      </c>
      <c r="E1039" s="10" t="s">
        <v>190</v>
      </c>
      <c r="F1039" s="10" t="str">
        <f>"2170578246 "</f>
        <v xml:space="preserve">2170578246 </v>
      </c>
      <c r="G1039" s="10" t="str">
        <f t="shared" si="42"/>
        <v>ON1</v>
      </c>
      <c r="H1039" s="10" t="s">
        <v>21</v>
      </c>
      <c r="I1039" s="10" t="s">
        <v>52</v>
      </c>
      <c r="J1039" s="10" t="str">
        <f>""</f>
        <v/>
      </c>
      <c r="K1039" s="10" t="str">
        <f>"PFES1162561461_0001"</f>
        <v>PFES1162561461_0001</v>
      </c>
      <c r="L1039" s="10">
        <v>1</v>
      </c>
      <c r="M1039" s="10">
        <v>4</v>
      </c>
    </row>
    <row r="1040" spans="1:13">
      <c r="A1040" s="8">
        <v>42926</v>
      </c>
      <c r="B1040" s="9">
        <v>0.61944444444444446</v>
      </c>
      <c r="C1040" s="10" t="str">
        <f>"FES1162561451"</f>
        <v>FES1162561451</v>
      </c>
      <c r="D1040" s="10" t="s">
        <v>19</v>
      </c>
      <c r="E1040" s="10" t="s">
        <v>306</v>
      </c>
      <c r="F1040" s="10" t="str">
        <f>"2170578231 "</f>
        <v xml:space="preserve">2170578231 </v>
      </c>
      <c r="G1040" s="10" t="str">
        <f t="shared" si="42"/>
        <v>ON1</v>
      </c>
      <c r="H1040" s="10" t="s">
        <v>21</v>
      </c>
      <c r="I1040" s="10" t="s">
        <v>307</v>
      </c>
      <c r="J1040" s="10" t="str">
        <f>""</f>
        <v/>
      </c>
      <c r="K1040" s="10" t="str">
        <f>"PFES1162561451_0001"</f>
        <v>PFES1162561451_0001</v>
      </c>
      <c r="L1040" s="10">
        <v>1</v>
      </c>
      <c r="M1040" s="10">
        <v>2</v>
      </c>
    </row>
    <row r="1041" spans="1:13">
      <c r="A1041" s="8">
        <v>42926</v>
      </c>
      <c r="B1041" s="9">
        <v>0.61805555555555558</v>
      </c>
      <c r="C1041" s="10" t="str">
        <f>"FES1162561446"</f>
        <v>FES1162561446</v>
      </c>
      <c r="D1041" s="10" t="s">
        <v>19</v>
      </c>
      <c r="E1041" s="10" t="s">
        <v>494</v>
      </c>
      <c r="F1041" s="10" t="str">
        <f>"21700578182 "</f>
        <v xml:space="preserve">21700578182 </v>
      </c>
      <c r="G1041" s="10" t="str">
        <f t="shared" si="42"/>
        <v>ON1</v>
      </c>
      <c r="H1041" s="10" t="s">
        <v>21</v>
      </c>
      <c r="I1041" s="10" t="s">
        <v>495</v>
      </c>
      <c r="J1041" s="10" t="str">
        <f>""</f>
        <v/>
      </c>
      <c r="K1041" s="10" t="str">
        <f>"PFES1162561446_0001"</f>
        <v>PFES1162561446_0001</v>
      </c>
      <c r="L1041" s="10">
        <v>1</v>
      </c>
      <c r="M1041" s="10">
        <v>3</v>
      </c>
    </row>
    <row r="1042" spans="1:13">
      <c r="A1042" s="8">
        <v>42926</v>
      </c>
      <c r="B1042" s="9">
        <v>0.61736111111111114</v>
      </c>
      <c r="C1042" s="10" t="str">
        <f>"FES1162561448"</f>
        <v>FES1162561448</v>
      </c>
      <c r="D1042" s="10" t="s">
        <v>19</v>
      </c>
      <c r="E1042" s="10" t="s">
        <v>675</v>
      </c>
      <c r="F1042" s="10" t="str">
        <f>"2170578228 "</f>
        <v xml:space="preserve">2170578228 </v>
      </c>
      <c r="G1042" s="10" t="str">
        <f t="shared" si="42"/>
        <v>ON1</v>
      </c>
      <c r="H1042" s="10" t="s">
        <v>21</v>
      </c>
      <c r="I1042" s="10" t="s">
        <v>309</v>
      </c>
      <c r="J1042" s="10" t="str">
        <f>""</f>
        <v/>
      </c>
      <c r="K1042" s="10" t="str">
        <f>"PFES1162561448_0001"</f>
        <v>PFES1162561448_0001</v>
      </c>
      <c r="L1042" s="10">
        <v>1</v>
      </c>
      <c r="M1042" s="10">
        <v>1</v>
      </c>
    </row>
    <row r="1043" spans="1:13">
      <c r="A1043" s="8">
        <v>42927</v>
      </c>
      <c r="B1043" s="9">
        <v>0.6020833333333333</v>
      </c>
      <c r="C1043" s="10" t="str">
        <f>"FES1162561623"</f>
        <v>FES1162561623</v>
      </c>
      <c r="D1043" s="10" t="s">
        <v>19</v>
      </c>
      <c r="E1043" s="10" t="s">
        <v>190</v>
      </c>
      <c r="F1043" s="10" t="str">
        <f>"2170578250 "</f>
        <v xml:space="preserve">2170578250 </v>
      </c>
      <c r="G1043" s="10" t="str">
        <f t="shared" si="42"/>
        <v>ON1</v>
      </c>
      <c r="H1043" s="10" t="s">
        <v>21</v>
      </c>
      <c r="I1043" s="10" t="s">
        <v>52</v>
      </c>
      <c r="J1043" s="10" t="str">
        <f>""</f>
        <v/>
      </c>
      <c r="K1043" s="10" t="str">
        <f>"PFES1162561623_0001"</f>
        <v>PFES1162561623_0001</v>
      </c>
      <c r="L1043" s="10">
        <v>1</v>
      </c>
      <c r="M1043" s="10">
        <v>6</v>
      </c>
    </row>
    <row r="1044" spans="1:13">
      <c r="A1044" s="8">
        <v>42927</v>
      </c>
      <c r="B1044" s="9">
        <v>0.60138888888888886</v>
      </c>
      <c r="C1044" s="10" t="str">
        <f>"FES1162561586"</f>
        <v>FES1162561586</v>
      </c>
      <c r="D1044" s="10" t="s">
        <v>19</v>
      </c>
      <c r="E1044" s="10" t="s">
        <v>441</v>
      </c>
      <c r="F1044" s="10" t="str">
        <f>"2170576737 "</f>
        <v xml:space="preserve">2170576737 </v>
      </c>
      <c r="G1044" s="10" t="str">
        <f t="shared" si="42"/>
        <v>ON1</v>
      </c>
      <c r="H1044" s="10" t="s">
        <v>21</v>
      </c>
      <c r="I1044" s="10" t="s">
        <v>166</v>
      </c>
      <c r="J1044" s="10" t="str">
        <f>""</f>
        <v/>
      </c>
      <c r="K1044" s="10" t="str">
        <f>"PFES1162561586_0001"</f>
        <v>PFES1162561586_0001</v>
      </c>
      <c r="L1044" s="10">
        <v>1</v>
      </c>
      <c r="M1044" s="10">
        <v>13</v>
      </c>
    </row>
    <row r="1045" spans="1:13">
      <c r="A1045" s="8">
        <v>42927</v>
      </c>
      <c r="B1045" s="9">
        <v>0.60069444444444442</v>
      </c>
      <c r="C1045" s="10" t="str">
        <f>"FES1162561686"</f>
        <v>FES1162561686</v>
      </c>
      <c r="D1045" s="10" t="s">
        <v>19</v>
      </c>
      <c r="E1045" s="10" t="s">
        <v>129</v>
      </c>
      <c r="F1045" s="10" t="str">
        <f>"2170578316 "</f>
        <v xml:space="preserve">2170578316 </v>
      </c>
      <c r="G1045" s="10" t="str">
        <f t="shared" si="42"/>
        <v>ON1</v>
      </c>
      <c r="H1045" s="10" t="s">
        <v>21</v>
      </c>
      <c r="I1045" s="10" t="s">
        <v>130</v>
      </c>
      <c r="J1045" s="10" t="str">
        <f>""</f>
        <v/>
      </c>
      <c r="K1045" s="10" t="str">
        <f>"PFES1162561686_0001"</f>
        <v>PFES1162561686_0001</v>
      </c>
      <c r="L1045" s="10">
        <v>1</v>
      </c>
      <c r="M1045" s="10">
        <v>4</v>
      </c>
    </row>
    <row r="1046" spans="1:13">
      <c r="A1046" s="8">
        <v>42927</v>
      </c>
      <c r="B1046" s="9">
        <v>0.59930555555555554</v>
      </c>
      <c r="C1046" s="10" t="str">
        <f>"FES1162561542"</f>
        <v>FES1162561542</v>
      </c>
      <c r="D1046" s="10" t="s">
        <v>19</v>
      </c>
      <c r="E1046" s="10" t="s">
        <v>288</v>
      </c>
      <c r="F1046" s="10" t="str">
        <f>"2170575972 "</f>
        <v xml:space="preserve">2170575972 </v>
      </c>
      <c r="G1046" s="10" t="str">
        <f t="shared" si="42"/>
        <v>ON1</v>
      </c>
      <c r="H1046" s="10" t="s">
        <v>21</v>
      </c>
      <c r="I1046" s="10" t="s">
        <v>300</v>
      </c>
      <c r="J1046" s="10" t="str">
        <f>""</f>
        <v/>
      </c>
      <c r="K1046" s="10" t="str">
        <f>"PFES1162561542_0001"</f>
        <v>PFES1162561542_0001</v>
      </c>
      <c r="L1046" s="10">
        <v>1</v>
      </c>
      <c r="M1046" s="10">
        <v>0</v>
      </c>
    </row>
    <row r="1047" spans="1:13">
      <c r="A1047" s="8">
        <v>42927</v>
      </c>
      <c r="B1047" s="9">
        <v>0.59791666666666665</v>
      </c>
      <c r="C1047" s="10" t="str">
        <f>"FES1162561736"</f>
        <v>FES1162561736</v>
      </c>
      <c r="D1047" s="10" t="s">
        <v>19</v>
      </c>
      <c r="E1047" s="10" t="s">
        <v>436</v>
      </c>
      <c r="F1047" s="10" t="str">
        <f>"2170572386 "</f>
        <v xml:space="preserve">2170572386 </v>
      </c>
      <c r="G1047" s="10" t="str">
        <f t="shared" si="42"/>
        <v>ON1</v>
      </c>
      <c r="H1047" s="10" t="s">
        <v>21</v>
      </c>
      <c r="I1047" s="10" t="s">
        <v>252</v>
      </c>
      <c r="J1047" s="10" t="str">
        <f>""</f>
        <v/>
      </c>
      <c r="K1047" s="10" t="str">
        <f>"PFES1162561736_0001"</f>
        <v>PFES1162561736_0001</v>
      </c>
      <c r="L1047" s="10">
        <v>1</v>
      </c>
      <c r="M1047" s="10">
        <v>8</v>
      </c>
    </row>
    <row r="1048" spans="1:13">
      <c r="A1048" s="8">
        <v>42927</v>
      </c>
      <c r="B1048" s="9">
        <v>0.59652777777777777</v>
      </c>
      <c r="C1048" s="10" t="str">
        <f>"FES1162561752"</f>
        <v>FES1162561752</v>
      </c>
      <c r="D1048" s="10" t="s">
        <v>19</v>
      </c>
      <c r="E1048" s="10" t="s">
        <v>268</v>
      </c>
      <c r="F1048" s="10" t="str">
        <f>"2170578034 "</f>
        <v xml:space="preserve">2170578034 </v>
      </c>
      <c r="G1048" s="10" t="str">
        <f t="shared" si="42"/>
        <v>ON1</v>
      </c>
      <c r="H1048" s="10" t="s">
        <v>21</v>
      </c>
      <c r="I1048" s="10" t="s">
        <v>185</v>
      </c>
      <c r="J1048" s="10" t="str">
        <f>""</f>
        <v/>
      </c>
      <c r="K1048" s="10" t="str">
        <f>"PFES1162561752_0001"</f>
        <v>PFES1162561752_0001</v>
      </c>
      <c r="L1048" s="10">
        <v>1</v>
      </c>
      <c r="M1048" s="10">
        <v>3</v>
      </c>
    </row>
    <row r="1049" spans="1:13">
      <c r="A1049" s="8">
        <v>42927</v>
      </c>
      <c r="B1049" s="9">
        <v>0.59513888888888888</v>
      </c>
      <c r="C1049" s="10" t="str">
        <f>"FES1162561506"</f>
        <v>FES1162561506</v>
      </c>
      <c r="D1049" s="10" t="s">
        <v>19</v>
      </c>
      <c r="E1049" s="10" t="s">
        <v>676</v>
      </c>
      <c r="F1049" s="10" t="str">
        <f>"2170575268 "</f>
        <v xml:space="preserve">2170575268 </v>
      </c>
      <c r="G1049" s="10" t="str">
        <f t="shared" si="42"/>
        <v>ON1</v>
      </c>
      <c r="H1049" s="10" t="s">
        <v>21</v>
      </c>
      <c r="I1049" s="10" t="s">
        <v>677</v>
      </c>
      <c r="J1049" s="10" t="str">
        <f>""</f>
        <v/>
      </c>
      <c r="K1049" s="10" t="str">
        <f>"PFES1162561506_0001"</f>
        <v>PFES1162561506_0001</v>
      </c>
      <c r="L1049" s="10">
        <v>1</v>
      </c>
      <c r="M1049" s="10">
        <v>8</v>
      </c>
    </row>
    <row r="1050" spans="1:13">
      <c r="A1050" s="8">
        <v>42927</v>
      </c>
      <c r="B1050" s="9">
        <v>0.59444444444444444</v>
      </c>
      <c r="C1050" s="10" t="str">
        <f>"FES1162561585"</f>
        <v>FES1162561585</v>
      </c>
      <c r="D1050" s="10" t="s">
        <v>19</v>
      </c>
      <c r="E1050" s="10" t="s">
        <v>678</v>
      </c>
      <c r="F1050" s="10" t="str">
        <f>"2170576721 "</f>
        <v xml:space="preserve">2170576721 </v>
      </c>
      <c r="G1050" s="10" t="str">
        <f t="shared" si="42"/>
        <v>ON1</v>
      </c>
      <c r="H1050" s="10" t="s">
        <v>21</v>
      </c>
      <c r="I1050" s="10" t="s">
        <v>679</v>
      </c>
      <c r="J1050" s="10" t="str">
        <f>""</f>
        <v/>
      </c>
      <c r="K1050" s="10" t="str">
        <f>"PFES1162561585_0001"</f>
        <v>PFES1162561585_0001</v>
      </c>
      <c r="L1050" s="10">
        <v>1</v>
      </c>
      <c r="M1050" s="10">
        <v>1</v>
      </c>
    </row>
    <row r="1051" spans="1:13">
      <c r="A1051" s="8">
        <v>42927</v>
      </c>
      <c r="B1051" s="9">
        <v>0.59444444444444444</v>
      </c>
      <c r="C1051" s="10" t="str">
        <f>"FES1162561664"</f>
        <v>FES1162561664</v>
      </c>
      <c r="D1051" s="10" t="s">
        <v>19</v>
      </c>
      <c r="E1051" s="10" t="s">
        <v>323</v>
      </c>
      <c r="F1051" s="10" t="str">
        <f>"2170578287 "</f>
        <v xml:space="preserve">2170578287 </v>
      </c>
      <c r="G1051" s="10" t="str">
        <f t="shared" si="42"/>
        <v>ON1</v>
      </c>
      <c r="H1051" s="10" t="s">
        <v>21</v>
      </c>
      <c r="I1051" s="10" t="s">
        <v>75</v>
      </c>
      <c r="J1051" s="10" t="str">
        <f>""</f>
        <v/>
      </c>
      <c r="K1051" s="10" t="str">
        <f>"PFES1162561664_0001"</f>
        <v>PFES1162561664_0001</v>
      </c>
      <c r="L1051" s="10">
        <v>1</v>
      </c>
      <c r="M1051" s="10">
        <v>1</v>
      </c>
    </row>
    <row r="1052" spans="1:13">
      <c r="A1052" s="8">
        <v>42927</v>
      </c>
      <c r="B1052" s="9">
        <v>0.59375</v>
      </c>
      <c r="C1052" s="10" t="str">
        <f>"FES1162561628"</f>
        <v>FES1162561628</v>
      </c>
      <c r="D1052" s="10" t="s">
        <v>19</v>
      </c>
      <c r="E1052" s="10" t="s">
        <v>416</v>
      </c>
      <c r="F1052" s="10" t="str">
        <f>"2170578262 "</f>
        <v xml:space="preserve">2170578262 </v>
      </c>
      <c r="G1052" s="10" t="str">
        <f t="shared" si="42"/>
        <v>ON1</v>
      </c>
      <c r="H1052" s="10" t="s">
        <v>21</v>
      </c>
      <c r="I1052" s="10" t="s">
        <v>157</v>
      </c>
      <c r="J1052" s="10" t="str">
        <f>""</f>
        <v/>
      </c>
      <c r="K1052" s="10" t="str">
        <f>"PFES1162561628_0001"</f>
        <v>PFES1162561628_0001</v>
      </c>
      <c r="L1052" s="10">
        <v>1</v>
      </c>
      <c r="M1052" s="10">
        <v>1</v>
      </c>
    </row>
    <row r="1053" spans="1:13">
      <c r="A1053" s="8">
        <v>42927</v>
      </c>
      <c r="B1053" s="9">
        <v>0.59375</v>
      </c>
      <c r="C1053" s="10" t="str">
        <f>"FES1162561661"</f>
        <v>FES1162561661</v>
      </c>
      <c r="D1053" s="10" t="s">
        <v>19</v>
      </c>
      <c r="E1053" s="10" t="s">
        <v>323</v>
      </c>
      <c r="F1053" s="10" t="str">
        <f>"2170578111 "</f>
        <v xml:space="preserve">2170578111 </v>
      </c>
      <c r="G1053" s="10" t="str">
        <f t="shared" si="42"/>
        <v>ON1</v>
      </c>
      <c r="H1053" s="10" t="s">
        <v>21</v>
      </c>
      <c r="I1053" s="10" t="s">
        <v>75</v>
      </c>
      <c r="J1053" s="10" t="str">
        <f>""</f>
        <v/>
      </c>
      <c r="K1053" s="10" t="str">
        <f>"PFES1162561661_0001"</f>
        <v>PFES1162561661_0001</v>
      </c>
      <c r="L1053" s="10">
        <v>1</v>
      </c>
      <c r="M1053" s="10">
        <v>1</v>
      </c>
    </row>
    <row r="1054" spans="1:13">
      <c r="A1054" s="8">
        <v>42927</v>
      </c>
      <c r="B1054" s="9">
        <v>0.59375</v>
      </c>
      <c r="C1054" s="10" t="str">
        <f>"FES1162561637"</f>
        <v>FES1162561637</v>
      </c>
      <c r="D1054" s="10" t="s">
        <v>19</v>
      </c>
      <c r="E1054" s="10" t="s">
        <v>680</v>
      </c>
      <c r="F1054" s="10" t="str">
        <f>"2170578284 "</f>
        <v xml:space="preserve">2170578284 </v>
      </c>
      <c r="G1054" s="10" t="str">
        <f t="shared" si="42"/>
        <v>ON1</v>
      </c>
      <c r="H1054" s="10" t="s">
        <v>21</v>
      </c>
      <c r="I1054" s="10" t="s">
        <v>64</v>
      </c>
      <c r="J1054" s="10" t="str">
        <f>""</f>
        <v/>
      </c>
      <c r="K1054" s="10" t="str">
        <f>"PFES1162561637_0001"</f>
        <v>PFES1162561637_0001</v>
      </c>
      <c r="L1054" s="10">
        <v>1</v>
      </c>
      <c r="M1054" s="10">
        <v>1</v>
      </c>
    </row>
    <row r="1055" spans="1:13">
      <c r="A1055" s="8">
        <v>42927</v>
      </c>
      <c r="B1055" s="9">
        <v>0.59305555555555556</v>
      </c>
      <c r="C1055" s="10" t="str">
        <f>"FES1162561562"</f>
        <v>FES1162561562</v>
      </c>
      <c r="D1055" s="10" t="s">
        <v>19</v>
      </c>
      <c r="E1055" s="10" t="s">
        <v>681</v>
      </c>
      <c r="F1055" s="10" t="str">
        <f>"21705763287 "</f>
        <v xml:space="preserve">21705763287 </v>
      </c>
      <c r="G1055" s="10" t="str">
        <f t="shared" si="42"/>
        <v>ON1</v>
      </c>
      <c r="H1055" s="10" t="s">
        <v>21</v>
      </c>
      <c r="I1055" s="10" t="s">
        <v>682</v>
      </c>
      <c r="J1055" s="10" t="str">
        <f>""</f>
        <v/>
      </c>
      <c r="K1055" s="10" t="str">
        <f>"PFES1162561562_0001"</f>
        <v>PFES1162561562_0001</v>
      </c>
      <c r="L1055" s="10">
        <v>1</v>
      </c>
      <c r="M1055" s="10">
        <v>1</v>
      </c>
    </row>
    <row r="1056" spans="1:13">
      <c r="A1056" s="8">
        <v>42927</v>
      </c>
      <c r="B1056" s="9">
        <v>0.59305555555555556</v>
      </c>
      <c r="C1056" s="10" t="str">
        <f>"FES1162561705"</f>
        <v>FES1162561705</v>
      </c>
      <c r="D1056" s="10" t="s">
        <v>19</v>
      </c>
      <c r="E1056" s="10" t="s">
        <v>286</v>
      </c>
      <c r="F1056" s="10" t="str">
        <f>"2170578342 "</f>
        <v xml:space="preserve">2170578342 </v>
      </c>
      <c r="G1056" s="10" t="str">
        <f t="shared" si="42"/>
        <v>ON1</v>
      </c>
      <c r="H1056" s="10" t="s">
        <v>21</v>
      </c>
      <c r="I1056" s="10" t="s">
        <v>177</v>
      </c>
      <c r="J1056" s="10" t="str">
        <f>""</f>
        <v/>
      </c>
      <c r="K1056" s="10" t="str">
        <f>"PFES1162561705_0001"</f>
        <v>PFES1162561705_0001</v>
      </c>
      <c r="L1056" s="10">
        <v>1</v>
      </c>
      <c r="M1056" s="10">
        <v>1</v>
      </c>
    </row>
    <row r="1057" spans="1:13">
      <c r="A1057" s="8">
        <v>42927</v>
      </c>
      <c r="B1057" s="9">
        <v>0.59305555555555556</v>
      </c>
      <c r="C1057" s="10" t="str">
        <f>"FES1162561491"</f>
        <v>FES1162561491</v>
      </c>
      <c r="D1057" s="10" t="s">
        <v>19</v>
      </c>
      <c r="E1057" s="10" t="s">
        <v>471</v>
      </c>
      <c r="F1057" s="10" t="str">
        <f>"2170573172 "</f>
        <v xml:space="preserve">2170573172 </v>
      </c>
      <c r="G1057" s="10" t="str">
        <f t="shared" si="42"/>
        <v>ON1</v>
      </c>
      <c r="H1057" s="10" t="s">
        <v>21</v>
      </c>
      <c r="I1057" s="10" t="s">
        <v>138</v>
      </c>
      <c r="J1057" s="10" t="str">
        <f>""</f>
        <v/>
      </c>
      <c r="K1057" s="10" t="str">
        <f>"PFES1162561491_0001"</f>
        <v>PFES1162561491_0001</v>
      </c>
      <c r="L1057" s="10">
        <v>1</v>
      </c>
      <c r="M1057" s="10">
        <v>1</v>
      </c>
    </row>
    <row r="1058" spans="1:13">
      <c r="A1058" s="8">
        <v>42927</v>
      </c>
      <c r="B1058" s="9">
        <v>0.59236111111111112</v>
      </c>
      <c r="C1058" s="10" t="str">
        <f>"FES1162561687"</f>
        <v>FES1162561687</v>
      </c>
      <c r="D1058" s="10" t="s">
        <v>19</v>
      </c>
      <c r="E1058" s="10" t="s">
        <v>683</v>
      </c>
      <c r="F1058" s="10" t="str">
        <f>"2170578317 "</f>
        <v xml:space="preserve">2170578317 </v>
      </c>
      <c r="G1058" s="10" t="str">
        <f t="shared" si="42"/>
        <v>ON1</v>
      </c>
      <c r="H1058" s="10" t="s">
        <v>21</v>
      </c>
      <c r="I1058" s="10" t="s">
        <v>684</v>
      </c>
      <c r="J1058" s="10" t="str">
        <f>""</f>
        <v/>
      </c>
      <c r="K1058" s="10" t="str">
        <f>"PFES1162561687_0001"</f>
        <v>PFES1162561687_0001</v>
      </c>
      <c r="L1058" s="10">
        <v>1</v>
      </c>
      <c r="M1058" s="10">
        <v>1</v>
      </c>
    </row>
    <row r="1059" spans="1:13">
      <c r="A1059" s="8">
        <v>42927</v>
      </c>
      <c r="B1059" s="9">
        <v>0.59236111111111112</v>
      </c>
      <c r="C1059" s="10" t="str">
        <f>"FES1162561682"</f>
        <v>FES1162561682</v>
      </c>
      <c r="D1059" s="10" t="s">
        <v>19</v>
      </c>
      <c r="E1059" s="10" t="s">
        <v>683</v>
      </c>
      <c r="F1059" s="10" t="str">
        <f>"2170578312 "</f>
        <v xml:space="preserve">2170578312 </v>
      </c>
      <c r="G1059" s="10" t="str">
        <f t="shared" si="42"/>
        <v>ON1</v>
      </c>
      <c r="H1059" s="10" t="s">
        <v>21</v>
      </c>
      <c r="I1059" s="10" t="s">
        <v>684</v>
      </c>
      <c r="J1059" s="10" t="str">
        <f>""</f>
        <v/>
      </c>
      <c r="K1059" s="10" t="str">
        <f>"PFES1162561682_0001"</f>
        <v>PFES1162561682_0001</v>
      </c>
      <c r="L1059" s="10">
        <v>1</v>
      </c>
      <c r="M1059" s="10">
        <v>1</v>
      </c>
    </row>
    <row r="1060" spans="1:13">
      <c r="A1060" s="8">
        <v>42927</v>
      </c>
      <c r="B1060" s="9">
        <v>0.59166666666666667</v>
      </c>
      <c r="C1060" s="10" t="str">
        <f>"FES1162561683"</f>
        <v>FES1162561683</v>
      </c>
      <c r="D1060" s="10" t="s">
        <v>19</v>
      </c>
      <c r="E1060" s="10" t="s">
        <v>683</v>
      </c>
      <c r="F1060" s="10" t="str">
        <f>"2170578313 "</f>
        <v xml:space="preserve">2170578313 </v>
      </c>
      <c r="G1060" s="10" t="str">
        <f t="shared" si="42"/>
        <v>ON1</v>
      </c>
      <c r="H1060" s="10" t="s">
        <v>21</v>
      </c>
      <c r="I1060" s="10" t="s">
        <v>684</v>
      </c>
      <c r="J1060" s="10" t="str">
        <f>""</f>
        <v/>
      </c>
      <c r="K1060" s="10" t="str">
        <f>"PFES1162561683_0001"</f>
        <v>PFES1162561683_0001</v>
      </c>
      <c r="L1060" s="10">
        <v>1</v>
      </c>
      <c r="M1060" s="10">
        <v>1</v>
      </c>
    </row>
    <row r="1061" spans="1:13">
      <c r="A1061" s="8">
        <v>42927</v>
      </c>
      <c r="B1061" s="9">
        <v>0.59166666666666667</v>
      </c>
      <c r="C1061" s="10" t="str">
        <f>"FES1162561696"</f>
        <v>FES1162561696</v>
      </c>
      <c r="D1061" s="10" t="s">
        <v>19</v>
      </c>
      <c r="E1061" s="10" t="s">
        <v>450</v>
      </c>
      <c r="F1061" s="10" t="str">
        <f>"2170578328 "</f>
        <v xml:space="preserve">2170578328 </v>
      </c>
      <c r="G1061" s="10" t="str">
        <f t="shared" si="42"/>
        <v>ON1</v>
      </c>
      <c r="H1061" s="10" t="s">
        <v>21</v>
      </c>
      <c r="I1061" s="10" t="s">
        <v>259</v>
      </c>
      <c r="J1061" s="10" t="str">
        <f>""</f>
        <v/>
      </c>
      <c r="K1061" s="10" t="str">
        <f>"PFES1162561696_0001"</f>
        <v>PFES1162561696_0001</v>
      </c>
      <c r="L1061" s="10">
        <v>1</v>
      </c>
      <c r="M1061" s="10">
        <v>1</v>
      </c>
    </row>
    <row r="1062" spans="1:13">
      <c r="A1062" s="8">
        <v>42927</v>
      </c>
      <c r="B1062" s="9">
        <v>0.59166666666666667</v>
      </c>
      <c r="C1062" s="10" t="str">
        <f>"FES1162561688"</f>
        <v>FES1162561688</v>
      </c>
      <c r="D1062" s="10" t="s">
        <v>19</v>
      </c>
      <c r="E1062" s="10" t="s">
        <v>683</v>
      </c>
      <c r="F1062" s="10" t="str">
        <f>"2170578318 "</f>
        <v xml:space="preserve">2170578318 </v>
      </c>
      <c r="G1062" s="10" t="str">
        <f t="shared" si="42"/>
        <v>ON1</v>
      </c>
      <c r="H1062" s="10" t="s">
        <v>21</v>
      </c>
      <c r="I1062" s="10" t="s">
        <v>684</v>
      </c>
      <c r="J1062" s="10" t="str">
        <f>""</f>
        <v/>
      </c>
      <c r="K1062" s="10" t="str">
        <f>"PFES1162561688_0001"</f>
        <v>PFES1162561688_0001</v>
      </c>
      <c r="L1062" s="10">
        <v>1</v>
      </c>
      <c r="M1062" s="10">
        <v>1</v>
      </c>
    </row>
    <row r="1063" spans="1:13">
      <c r="A1063" s="8">
        <v>42927</v>
      </c>
      <c r="B1063" s="9">
        <v>0.59097222222222223</v>
      </c>
      <c r="C1063" s="10" t="str">
        <f>"FES1162561765"</f>
        <v>FES1162561765</v>
      </c>
      <c r="D1063" s="10" t="s">
        <v>19</v>
      </c>
      <c r="E1063" s="10" t="s">
        <v>685</v>
      </c>
      <c r="F1063" s="10" t="str">
        <f>"2170578410 "</f>
        <v xml:space="preserve">2170578410 </v>
      </c>
      <c r="G1063" s="10" t="str">
        <f t="shared" si="42"/>
        <v>ON1</v>
      </c>
      <c r="H1063" s="10" t="s">
        <v>21</v>
      </c>
      <c r="I1063" s="10" t="s">
        <v>213</v>
      </c>
      <c r="J1063" s="10" t="str">
        <f>""</f>
        <v/>
      </c>
      <c r="K1063" s="10" t="str">
        <f>"PFES1162561765_0001"</f>
        <v>PFES1162561765_0001</v>
      </c>
      <c r="L1063" s="10">
        <v>1</v>
      </c>
      <c r="M1063" s="10">
        <v>1</v>
      </c>
    </row>
    <row r="1064" spans="1:13">
      <c r="A1064" s="8">
        <v>42927</v>
      </c>
      <c r="B1064" s="9">
        <v>0.59097222222222223</v>
      </c>
      <c r="C1064" s="10" t="str">
        <f>"FES1162561731"</f>
        <v>FES1162561731</v>
      </c>
      <c r="D1064" s="10" t="s">
        <v>19</v>
      </c>
      <c r="E1064" s="10" t="s">
        <v>65</v>
      </c>
      <c r="F1064" s="10" t="str">
        <f>"2170578327 "</f>
        <v xml:space="preserve">2170578327 </v>
      </c>
      <c r="G1064" s="10" t="str">
        <f t="shared" si="42"/>
        <v>ON1</v>
      </c>
      <c r="H1064" s="10" t="s">
        <v>21</v>
      </c>
      <c r="I1064" s="10" t="s">
        <v>66</v>
      </c>
      <c r="J1064" s="10" t="str">
        <f>""</f>
        <v/>
      </c>
      <c r="K1064" s="10" t="str">
        <f>"PFES1162561731_0001"</f>
        <v>PFES1162561731_0001</v>
      </c>
      <c r="L1064" s="10">
        <v>1</v>
      </c>
      <c r="M1064" s="10">
        <v>1</v>
      </c>
    </row>
    <row r="1065" spans="1:13">
      <c r="A1065" s="8">
        <v>42927</v>
      </c>
      <c r="B1065" s="9">
        <v>0.59027777777777779</v>
      </c>
      <c r="C1065" s="10" t="str">
        <f>"FES1162561709"</f>
        <v>FES1162561709</v>
      </c>
      <c r="D1065" s="10" t="s">
        <v>19</v>
      </c>
      <c r="E1065" s="10" t="s">
        <v>686</v>
      </c>
      <c r="F1065" s="10" t="str">
        <f>"2170578223 "</f>
        <v xml:space="preserve">2170578223 </v>
      </c>
      <c r="G1065" s="10" t="str">
        <f t="shared" si="42"/>
        <v>ON1</v>
      </c>
      <c r="H1065" s="10" t="s">
        <v>21</v>
      </c>
      <c r="I1065" s="10" t="s">
        <v>22</v>
      </c>
      <c r="J1065" s="10" t="str">
        <f>""</f>
        <v/>
      </c>
      <c r="K1065" s="10" t="str">
        <f>"PFES1162561709_0001"</f>
        <v>PFES1162561709_0001</v>
      </c>
      <c r="L1065" s="10">
        <v>1</v>
      </c>
      <c r="M1065" s="10">
        <v>1</v>
      </c>
    </row>
    <row r="1066" spans="1:13">
      <c r="A1066" s="8">
        <v>42927</v>
      </c>
      <c r="B1066" s="9">
        <v>0.58888888888888891</v>
      </c>
      <c r="C1066" s="10" t="str">
        <f>"FES1162561638"</f>
        <v>FES1162561638</v>
      </c>
      <c r="D1066" s="10" t="s">
        <v>19</v>
      </c>
      <c r="E1066" s="10" t="s">
        <v>333</v>
      </c>
      <c r="F1066" s="10" t="str">
        <f>"2170578285 "</f>
        <v xml:space="preserve">2170578285 </v>
      </c>
      <c r="G1066" s="10" t="str">
        <f t="shared" si="42"/>
        <v>ON1</v>
      </c>
      <c r="H1066" s="10" t="s">
        <v>21</v>
      </c>
      <c r="I1066" s="10" t="s">
        <v>334</v>
      </c>
      <c r="J1066" s="10" t="str">
        <f>""</f>
        <v/>
      </c>
      <c r="K1066" s="10" t="str">
        <f>"PFES1162561638_0001"</f>
        <v>PFES1162561638_0001</v>
      </c>
      <c r="L1066" s="10">
        <v>1</v>
      </c>
      <c r="M1066" s="10">
        <v>1</v>
      </c>
    </row>
    <row r="1067" spans="1:13">
      <c r="A1067" s="8">
        <v>42927</v>
      </c>
      <c r="B1067" s="9">
        <v>0.58888888888888891</v>
      </c>
      <c r="C1067" s="10" t="str">
        <f>"FES1162561659"</f>
        <v>FES1162561659</v>
      </c>
      <c r="D1067" s="10" t="s">
        <v>19</v>
      </c>
      <c r="E1067" s="10" t="s">
        <v>468</v>
      </c>
      <c r="F1067" s="10" t="str">
        <f>"2170577414 "</f>
        <v xml:space="preserve">2170577414 </v>
      </c>
      <c r="G1067" s="10" t="str">
        <f t="shared" si="42"/>
        <v>ON1</v>
      </c>
      <c r="H1067" s="10" t="s">
        <v>21</v>
      </c>
      <c r="I1067" s="10" t="s">
        <v>469</v>
      </c>
      <c r="J1067" s="10" t="str">
        <f>""</f>
        <v/>
      </c>
      <c r="K1067" s="10" t="str">
        <f>"PFES1162561659_0001"</f>
        <v>PFES1162561659_0001</v>
      </c>
      <c r="L1067" s="10">
        <v>1</v>
      </c>
      <c r="M1067" s="10">
        <v>1</v>
      </c>
    </row>
    <row r="1068" spans="1:13">
      <c r="A1068" s="8">
        <v>42927</v>
      </c>
      <c r="B1068" s="9">
        <v>0.58888888888888891</v>
      </c>
      <c r="C1068" s="10" t="str">
        <f>"FES1162561596"</f>
        <v>FES1162561596</v>
      </c>
      <c r="D1068" s="10" t="s">
        <v>19</v>
      </c>
      <c r="E1068" s="10" t="s">
        <v>468</v>
      </c>
      <c r="F1068" s="10" t="str">
        <f>"2170577414 "</f>
        <v xml:space="preserve">2170577414 </v>
      </c>
      <c r="G1068" s="10" t="str">
        <f t="shared" si="42"/>
        <v>ON1</v>
      </c>
      <c r="H1068" s="10" t="s">
        <v>21</v>
      </c>
      <c r="I1068" s="10" t="s">
        <v>469</v>
      </c>
      <c r="J1068" s="10" t="str">
        <f>""</f>
        <v/>
      </c>
      <c r="K1068" s="10" t="str">
        <f>"PFES1162561596_0001"</f>
        <v>PFES1162561596_0001</v>
      </c>
      <c r="L1068" s="10">
        <v>1</v>
      </c>
      <c r="M1068" s="10">
        <v>1</v>
      </c>
    </row>
    <row r="1069" spans="1:13">
      <c r="A1069" s="8">
        <v>42927</v>
      </c>
      <c r="B1069" s="9">
        <v>0.58819444444444446</v>
      </c>
      <c r="C1069" s="10" t="str">
        <f>"FES1162561652"</f>
        <v>FES1162561652</v>
      </c>
      <c r="D1069" s="10" t="s">
        <v>19</v>
      </c>
      <c r="E1069" s="10" t="s">
        <v>492</v>
      </c>
      <c r="F1069" s="10" t="str">
        <f>"2170575933 "</f>
        <v xml:space="preserve">2170575933 </v>
      </c>
      <c r="G1069" s="10" t="str">
        <f t="shared" si="42"/>
        <v>ON1</v>
      </c>
      <c r="H1069" s="10" t="s">
        <v>21</v>
      </c>
      <c r="I1069" s="10" t="s">
        <v>168</v>
      </c>
      <c r="J1069" s="10" t="str">
        <f>""</f>
        <v/>
      </c>
      <c r="K1069" s="10" t="str">
        <f>"PFES1162561652_0001"</f>
        <v>PFES1162561652_0001</v>
      </c>
      <c r="L1069" s="10">
        <v>1</v>
      </c>
      <c r="M1069" s="10">
        <v>1</v>
      </c>
    </row>
    <row r="1070" spans="1:13">
      <c r="A1070" s="8">
        <v>42927</v>
      </c>
      <c r="B1070" s="9">
        <v>0.58819444444444446</v>
      </c>
      <c r="C1070" s="10" t="str">
        <f>"FES1162561704"</f>
        <v>FES1162561704</v>
      </c>
      <c r="D1070" s="10" t="s">
        <v>19</v>
      </c>
      <c r="E1070" s="10" t="s">
        <v>687</v>
      </c>
      <c r="F1070" s="10" t="str">
        <f>"2170578341 "</f>
        <v xml:space="preserve">2170578341 </v>
      </c>
      <c r="G1070" s="10" t="str">
        <f t="shared" si="42"/>
        <v>ON1</v>
      </c>
      <c r="H1070" s="10" t="s">
        <v>21</v>
      </c>
      <c r="I1070" s="10" t="s">
        <v>340</v>
      </c>
      <c r="J1070" s="10" t="str">
        <f>""</f>
        <v/>
      </c>
      <c r="K1070" s="10" t="str">
        <f>"PFES1162561704_0001"</f>
        <v>PFES1162561704_0001</v>
      </c>
      <c r="L1070" s="10">
        <v>1</v>
      </c>
      <c r="M1070" s="10">
        <v>1</v>
      </c>
    </row>
    <row r="1071" spans="1:13">
      <c r="A1071" s="8">
        <v>42927</v>
      </c>
      <c r="B1071" s="9">
        <v>0.58611111111111114</v>
      </c>
      <c r="C1071" s="10" t="str">
        <f>"FES1162561636"</f>
        <v>FES1162561636</v>
      </c>
      <c r="D1071" s="10" t="s">
        <v>19</v>
      </c>
      <c r="E1071" s="10" t="s">
        <v>191</v>
      </c>
      <c r="F1071" s="10" t="str">
        <f>"2170578281 "</f>
        <v xml:space="preserve">2170578281 </v>
      </c>
      <c r="G1071" s="10" t="str">
        <f t="shared" si="42"/>
        <v>ON1</v>
      </c>
      <c r="H1071" s="10" t="s">
        <v>21</v>
      </c>
      <c r="I1071" s="10" t="s">
        <v>192</v>
      </c>
      <c r="J1071" s="10" t="str">
        <f>""</f>
        <v/>
      </c>
      <c r="K1071" s="10" t="str">
        <f>"PFES1162561636_0001"</f>
        <v>PFES1162561636_0001</v>
      </c>
      <c r="L1071" s="10">
        <v>1</v>
      </c>
      <c r="M1071" s="10">
        <v>1</v>
      </c>
    </row>
    <row r="1072" spans="1:13">
      <c r="A1072" s="8">
        <v>42927</v>
      </c>
      <c r="B1072" s="9">
        <v>0.57638888888888895</v>
      </c>
      <c r="C1072" s="10" t="str">
        <f>"FES1162561643"</f>
        <v>FES1162561643</v>
      </c>
      <c r="D1072" s="10" t="s">
        <v>19</v>
      </c>
      <c r="E1072" s="10" t="s">
        <v>408</v>
      </c>
      <c r="F1072" s="10" t="str">
        <f>"2170575222 "</f>
        <v xml:space="preserve">2170575222 </v>
      </c>
      <c r="G1072" s="10" t="str">
        <f t="shared" si="42"/>
        <v>ON1</v>
      </c>
      <c r="H1072" s="10" t="s">
        <v>21</v>
      </c>
      <c r="I1072" s="10" t="s">
        <v>177</v>
      </c>
      <c r="J1072" s="10" t="str">
        <f>""</f>
        <v/>
      </c>
      <c r="K1072" s="10" t="str">
        <f>"PFES1162561643_0001"</f>
        <v>PFES1162561643_0001</v>
      </c>
      <c r="L1072" s="10">
        <v>1</v>
      </c>
      <c r="M1072" s="10">
        <v>1.79</v>
      </c>
    </row>
    <row r="1073" spans="1:13">
      <c r="A1073" s="8">
        <v>42927</v>
      </c>
      <c r="B1073" s="9">
        <v>0.5756944444444444</v>
      </c>
      <c r="C1073" s="10" t="str">
        <f>"FES1162561519"</f>
        <v>FES1162561519</v>
      </c>
      <c r="D1073" s="10" t="s">
        <v>19</v>
      </c>
      <c r="E1073" s="10" t="s">
        <v>647</v>
      </c>
      <c r="F1073" s="10" t="str">
        <f>"2170575706 "</f>
        <v xml:space="preserve">2170575706 </v>
      </c>
      <c r="G1073" s="10" t="str">
        <f t="shared" si="42"/>
        <v>ON1</v>
      </c>
      <c r="H1073" s="10" t="s">
        <v>21</v>
      </c>
      <c r="I1073" s="10" t="s">
        <v>410</v>
      </c>
      <c r="J1073" s="10" t="str">
        <f>""</f>
        <v/>
      </c>
      <c r="K1073" s="10" t="str">
        <f>"PFES1162561519_0001"</f>
        <v>PFES1162561519_0001</v>
      </c>
      <c r="L1073" s="10">
        <v>1</v>
      </c>
      <c r="M1073" s="10">
        <v>1</v>
      </c>
    </row>
    <row r="1074" spans="1:13">
      <c r="A1074" s="8">
        <v>42927</v>
      </c>
      <c r="B1074" s="9">
        <v>0.5756944444444444</v>
      </c>
      <c r="C1074" s="10" t="str">
        <f>"FES1162561581"</f>
        <v>FES1162561581</v>
      </c>
      <c r="D1074" s="10" t="s">
        <v>19</v>
      </c>
      <c r="E1074" s="10" t="s">
        <v>140</v>
      </c>
      <c r="F1074" s="10" t="str">
        <f>"2170576496 "</f>
        <v xml:space="preserve">2170576496 </v>
      </c>
      <c r="G1074" s="10" t="str">
        <f t="shared" si="42"/>
        <v>ON1</v>
      </c>
      <c r="H1074" s="10" t="s">
        <v>21</v>
      </c>
      <c r="I1074" s="10" t="s">
        <v>109</v>
      </c>
      <c r="J1074" s="10" t="str">
        <f>""</f>
        <v/>
      </c>
      <c r="K1074" s="10" t="str">
        <f>"PFES1162561581_0001"</f>
        <v>PFES1162561581_0001</v>
      </c>
      <c r="L1074" s="10">
        <v>1</v>
      </c>
      <c r="M1074" s="10">
        <v>1</v>
      </c>
    </row>
    <row r="1075" spans="1:13">
      <c r="A1075" s="8">
        <v>42927</v>
      </c>
      <c r="B1075" s="9">
        <v>0.5756944444444444</v>
      </c>
      <c r="C1075" s="10" t="str">
        <f>"FES1162561507"</f>
        <v>FES1162561507</v>
      </c>
      <c r="D1075" s="10" t="s">
        <v>19</v>
      </c>
      <c r="E1075" s="10" t="s">
        <v>288</v>
      </c>
      <c r="F1075" s="10" t="str">
        <f>"2170575400 "</f>
        <v xml:space="preserve">2170575400 </v>
      </c>
      <c r="G1075" s="10" t="str">
        <f t="shared" si="42"/>
        <v>ON1</v>
      </c>
      <c r="H1075" s="10" t="s">
        <v>21</v>
      </c>
      <c r="I1075" s="10" t="s">
        <v>177</v>
      </c>
      <c r="J1075" s="10" t="str">
        <f>""</f>
        <v/>
      </c>
      <c r="K1075" s="10" t="str">
        <f>"PFES1162561507_0001"</f>
        <v>PFES1162561507_0001</v>
      </c>
      <c r="L1075" s="10">
        <v>1</v>
      </c>
      <c r="M1075" s="10">
        <v>1</v>
      </c>
    </row>
    <row r="1076" spans="1:13">
      <c r="A1076" s="8">
        <v>42927</v>
      </c>
      <c r="B1076" s="9">
        <v>0.57500000000000007</v>
      </c>
      <c r="C1076" s="10" t="str">
        <f>"FES1162561533"</f>
        <v>FES1162561533</v>
      </c>
      <c r="D1076" s="10" t="s">
        <v>19</v>
      </c>
      <c r="E1076" s="10" t="s">
        <v>419</v>
      </c>
      <c r="F1076" s="10" t="str">
        <f>"2170575873 "</f>
        <v xml:space="preserve">2170575873 </v>
      </c>
      <c r="G1076" s="10" t="str">
        <f t="shared" si="42"/>
        <v>ON1</v>
      </c>
      <c r="H1076" s="10" t="s">
        <v>21</v>
      </c>
      <c r="I1076" s="10" t="s">
        <v>177</v>
      </c>
      <c r="J1076" s="10" t="str">
        <f>""</f>
        <v/>
      </c>
      <c r="K1076" s="10" t="str">
        <f>"PFES1162561533_0001"</f>
        <v>PFES1162561533_0001</v>
      </c>
      <c r="L1076" s="10">
        <v>1</v>
      </c>
      <c r="M1076" s="10">
        <v>1</v>
      </c>
    </row>
    <row r="1077" spans="1:13">
      <c r="A1077" s="8">
        <v>42927</v>
      </c>
      <c r="B1077" s="9">
        <v>0.57500000000000007</v>
      </c>
      <c r="C1077" s="10" t="str">
        <f>"FES1162561566"</f>
        <v>FES1162561566</v>
      </c>
      <c r="D1077" s="10" t="s">
        <v>19</v>
      </c>
      <c r="E1077" s="10" t="s">
        <v>341</v>
      </c>
      <c r="F1077" s="10" t="str">
        <f>"2170576291 "</f>
        <v xml:space="preserve">2170576291 </v>
      </c>
      <c r="G1077" s="10" t="str">
        <f t="shared" si="42"/>
        <v>ON1</v>
      </c>
      <c r="H1077" s="10" t="s">
        <v>21</v>
      </c>
      <c r="I1077" s="10" t="s">
        <v>342</v>
      </c>
      <c r="J1077" s="10" t="str">
        <f>""</f>
        <v/>
      </c>
      <c r="K1077" s="10" t="str">
        <f>"PFES1162561566_0001"</f>
        <v>PFES1162561566_0001</v>
      </c>
      <c r="L1077" s="10">
        <v>1</v>
      </c>
      <c r="M1077" s="10">
        <v>1</v>
      </c>
    </row>
    <row r="1078" spans="1:13">
      <c r="A1078" s="8">
        <v>42927</v>
      </c>
      <c r="B1078" s="9">
        <v>0.57430555555555551</v>
      </c>
      <c r="C1078" s="10" t="str">
        <f>"FES1162561544"</f>
        <v>FES1162561544</v>
      </c>
      <c r="D1078" s="10" t="s">
        <v>19</v>
      </c>
      <c r="E1078" s="10" t="s">
        <v>361</v>
      </c>
      <c r="F1078" s="10" t="str">
        <f>"2170575996 "</f>
        <v xml:space="preserve">2170575996 </v>
      </c>
      <c r="G1078" s="10" t="str">
        <f>"DBC"</f>
        <v>DBC</v>
      </c>
      <c r="H1078" s="10" t="s">
        <v>21</v>
      </c>
      <c r="I1078" s="10" t="s">
        <v>106</v>
      </c>
      <c r="J1078" s="10" t="str">
        <f>""</f>
        <v/>
      </c>
      <c r="K1078" s="10" t="str">
        <f>"PFES1162561544_0001"</f>
        <v>PFES1162561544_0001</v>
      </c>
      <c r="L1078" s="10">
        <v>1</v>
      </c>
      <c r="M1078" s="10">
        <v>9</v>
      </c>
    </row>
    <row r="1079" spans="1:13">
      <c r="A1079" s="8">
        <v>42927</v>
      </c>
      <c r="B1079" s="9">
        <v>0.57361111111111118</v>
      </c>
      <c r="C1079" s="10" t="str">
        <f>"FES1162561568"</f>
        <v>FES1162561568</v>
      </c>
      <c r="D1079" s="10" t="s">
        <v>19</v>
      </c>
      <c r="E1079" s="10" t="s">
        <v>118</v>
      </c>
      <c r="F1079" s="10" t="str">
        <f>"2170576374 "</f>
        <v xml:space="preserve">2170576374 </v>
      </c>
      <c r="G1079" s="10" t="str">
        <f t="shared" ref="G1079:G1116" si="43">"ON1"</f>
        <v>ON1</v>
      </c>
      <c r="H1079" s="10" t="s">
        <v>21</v>
      </c>
      <c r="I1079" s="10" t="s">
        <v>119</v>
      </c>
      <c r="J1079" s="10" t="str">
        <f>""</f>
        <v/>
      </c>
      <c r="K1079" s="10" t="str">
        <f>"PFES1162561568_0001"</f>
        <v>PFES1162561568_0001</v>
      </c>
      <c r="L1079" s="10">
        <v>1</v>
      </c>
      <c r="M1079" s="10">
        <v>1</v>
      </c>
    </row>
    <row r="1080" spans="1:13">
      <c r="A1080" s="8">
        <v>42927</v>
      </c>
      <c r="B1080" s="9">
        <v>0.57361111111111118</v>
      </c>
      <c r="C1080" s="10" t="str">
        <f>"FES1162561632"</f>
        <v>FES1162561632</v>
      </c>
      <c r="D1080" s="10" t="s">
        <v>19</v>
      </c>
      <c r="E1080" s="10" t="s">
        <v>521</v>
      </c>
      <c r="F1080" s="10" t="str">
        <f>"2170578269 "</f>
        <v xml:space="preserve">2170578269 </v>
      </c>
      <c r="G1080" s="10" t="str">
        <f t="shared" si="43"/>
        <v>ON1</v>
      </c>
      <c r="H1080" s="10" t="s">
        <v>21</v>
      </c>
      <c r="I1080" s="10" t="s">
        <v>215</v>
      </c>
      <c r="J1080" s="10" t="str">
        <f>""</f>
        <v/>
      </c>
      <c r="K1080" s="10" t="str">
        <f>"PFES1162561632_0001"</f>
        <v>PFES1162561632_0001</v>
      </c>
      <c r="L1080" s="10">
        <v>1</v>
      </c>
      <c r="M1080" s="10">
        <v>1</v>
      </c>
    </row>
    <row r="1081" spans="1:13">
      <c r="A1081" s="8">
        <v>42927</v>
      </c>
      <c r="B1081" s="9">
        <v>0.57291666666666663</v>
      </c>
      <c r="C1081" s="10" t="str">
        <f>"FES1162561635"</f>
        <v>FES1162561635</v>
      </c>
      <c r="D1081" s="10" t="s">
        <v>19</v>
      </c>
      <c r="E1081" s="10" t="s">
        <v>427</v>
      </c>
      <c r="F1081" s="10" t="str">
        <f>"2170578274 "</f>
        <v xml:space="preserve">2170578274 </v>
      </c>
      <c r="G1081" s="10" t="str">
        <f t="shared" si="43"/>
        <v>ON1</v>
      </c>
      <c r="H1081" s="10" t="s">
        <v>21</v>
      </c>
      <c r="I1081" s="10" t="s">
        <v>50</v>
      </c>
      <c r="J1081" s="10" t="str">
        <f>""</f>
        <v/>
      </c>
      <c r="K1081" s="10" t="str">
        <f>"PFES1162561635_0001"</f>
        <v>PFES1162561635_0001</v>
      </c>
      <c r="L1081" s="10">
        <v>1</v>
      </c>
      <c r="M1081" s="10">
        <v>1</v>
      </c>
    </row>
    <row r="1082" spans="1:13">
      <c r="A1082" s="8">
        <v>42927</v>
      </c>
      <c r="B1082" s="9">
        <v>0.57222222222222219</v>
      </c>
      <c r="C1082" s="10" t="str">
        <f>"FES1162561603"</f>
        <v>FES1162561603</v>
      </c>
      <c r="D1082" s="10" t="s">
        <v>19</v>
      </c>
      <c r="E1082" s="10" t="s">
        <v>638</v>
      </c>
      <c r="F1082" s="10" t="str">
        <f>"2170577927 "</f>
        <v xml:space="preserve">2170577927 </v>
      </c>
      <c r="G1082" s="10" t="str">
        <f t="shared" si="43"/>
        <v>ON1</v>
      </c>
      <c r="H1082" s="10" t="s">
        <v>21</v>
      </c>
      <c r="I1082" s="10" t="s">
        <v>639</v>
      </c>
      <c r="J1082" s="10" t="str">
        <f>""</f>
        <v/>
      </c>
      <c r="K1082" s="10" t="str">
        <f>"PFES1162561603_0001"</f>
        <v>PFES1162561603_0001</v>
      </c>
      <c r="L1082" s="10">
        <v>1</v>
      </c>
      <c r="M1082" s="10">
        <v>1</v>
      </c>
    </row>
    <row r="1083" spans="1:13">
      <c r="A1083" s="8">
        <v>42927</v>
      </c>
      <c r="B1083" s="9">
        <v>0.57222222222222219</v>
      </c>
      <c r="C1083" s="10" t="str">
        <f>"FES1162561630"</f>
        <v>FES1162561630</v>
      </c>
      <c r="D1083" s="10" t="s">
        <v>19</v>
      </c>
      <c r="E1083" s="10" t="s">
        <v>72</v>
      </c>
      <c r="F1083" s="10" t="str">
        <f>"2170578266 "</f>
        <v xml:space="preserve">2170578266 </v>
      </c>
      <c r="G1083" s="10" t="str">
        <f t="shared" si="43"/>
        <v>ON1</v>
      </c>
      <c r="H1083" s="10" t="s">
        <v>21</v>
      </c>
      <c r="I1083" s="10" t="s">
        <v>73</v>
      </c>
      <c r="J1083" s="10" t="str">
        <f>""</f>
        <v/>
      </c>
      <c r="K1083" s="10" t="str">
        <f>"PFES1162561630_0001"</f>
        <v>PFES1162561630_0001</v>
      </c>
      <c r="L1083" s="10">
        <v>1</v>
      </c>
      <c r="M1083" s="10">
        <v>1</v>
      </c>
    </row>
    <row r="1084" spans="1:13">
      <c r="A1084" s="8">
        <v>42927</v>
      </c>
      <c r="B1084" s="9">
        <v>0.57152777777777775</v>
      </c>
      <c r="C1084" s="10" t="str">
        <f>"FES1162561571"</f>
        <v>FES1162561571</v>
      </c>
      <c r="D1084" s="10" t="s">
        <v>19</v>
      </c>
      <c r="E1084" s="10" t="s">
        <v>326</v>
      </c>
      <c r="F1084" s="10" t="str">
        <f>"2170576411 "</f>
        <v xml:space="preserve">2170576411 </v>
      </c>
      <c r="G1084" s="10" t="str">
        <f t="shared" si="43"/>
        <v>ON1</v>
      </c>
      <c r="H1084" s="10" t="s">
        <v>21</v>
      </c>
      <c r="I1084" s="10" t="s">
        <v>327</v>
      </c>
      <c r="J1084" s="10" t="str">
        <f>""</f>
        <v/>
      </c>
      <c r="K1084" s="10" t="str">
        <f>"PFES1162561571_0001"</f>
        <v>PFES1162561571_0001</v>
      </c>
      <c r="L1084" s="10">
        <v>1</v>
      </c>
      <c r="M1084" s="10">
        <v>1</v>
      </c>
    </row>
    <row r="1085" spans="1:13">
      <c r="A1085" s="8">
        <v>42927</v>
      </c>
      <c r="B1085" s="9">
        <v>0.57152777777777775</v>
      </c>
      <c r="C1085" s="10" t="str">
        <f>"FES1162561602"</f>
        <v>FES1162561602</v>
      </c>
      <c r="D1085" s="10" t="s">
        <v>19</v>
      </c>
      <c r="E1085" s="10" t="s">
        <v>108</v>
      </c>
      <c r="F1085" s="10" t="str">
        <f>"2170577910 "</f>
        <v xml:space="preserve">2170577910 </v>
      </c>
      <c r="G1085" s="10" t="str">
        <f t="shared" si="43"/>
        <v>ON1</v>
      </c>
      <c r="H1085" s="10" t="s">
        <v>21</v>
      </c>
      <c r="I1085" s="10" t="s">
        <v>56</v>
      </c>
      <c r="J1085" s="10" t="str">
        <f>""</f>
        <v/>
      </c>
      <c r="K1085" s="10" t="str">
        <f>"PFES1162561602_0001"</f>
        <v>PFES1162561602_0001</v>
      </c>
      <c r="L1085" s="10">
        <v>1</v>
      </c>
      <c r="M1085" s="10">
        <v>1</v>
      </c>
    </row>
    <row r="1086" spans="1:13">
      <c r="A1086" s="8">
        <v>42927</v>
      </c>
      <c r="B1086" s="9">
        <v>0.5708333333333333</v>
      </c>
      <c r="C1086" s="10" t="str">
        <f>"FES1162561496"</f>
        <v>FES1162561496</v>
      </c>
      <c r="D1086" s="10" t="s">
        <v>19</v>
      </c>
      <c r="E1086" s="10" t="s">
        <v>49</v>
      </c>
      <c r="F1086" s="10" t="str">
        <f>"2170573932 "</f>
        <v xml:space="preserve">2170573932 </v>
      </c>
      <c r="G1086" s="10" t="str">
        <f t="shared" si="43"/>
        <v>ON1</v>
      </c>
      <c r="H1086" s="10" t="s">
        <v>21</v>
      </c>
      <c r="I1086" s="10" t="s">
        <v>50</v>
      </c>
      <c r="J1086" s="10" t="str">
        <f>""</f>
        <v/>
      </c>
      <c r="K1086" s="10" t="str">
        <f>"PFES1162561496_0001"</f>
        <v>PFES1162561496_0001</v>
      </c>
      <c r="L1086" s="10">
        <v>1</v>
      </c>
      <c r="M1086" s="10">
        <v>1</v>
      </c>
    </row>
    <row r="1087" spans="1:13">
      <c r="A1087" s="8">
        <v>42927</v>
      </c>
      <c r="B1087" s="9">
        <v>0.5708333333333333</v>
      </c>
      <c r="C1087" s="10" t="str">
        <f>"FES1162561480"</f>
        <v>FES1162561480</v>
      </c>
      <c r="D1087" s="10" t="s">
        <v>19</v>
      </c>
      <c r="E1087" s="10" t="s">
        <v>193</v>
      </c>
      <c r="F1087" s="10" t="str">
        <f>"217057785 "</f>
        <v xml:space="preserve">217057785 </v>
      </c>
      <c r="G1087" s="10" t="str">
        <f t="shared" si="43"/>
        <v>ON1</v>
      </c>
      <c r="H1087" s="10" t="s">
        <v>21</v>
      </c>
      <c r="I1087" s="10" t="s">
        <v>183</v>
      </c>
      <c r="J1087" s="10" t="str">
        <f>""</f>
        <v/>
      </c>
      <c r="K1087" s="10" t="str">
        <f>"PFES1162561480_0001"</f>
        <v>PFES1162561480_0001</v>
      </c>
      <c r="L1087" s="10">
        <v>1</v>
      </c>
      <c r="M1087" s="10">
        <v>1</v>
      </c>
    </row>
    <row r="1088" spans="1:13">
      <c r="A1088" s="8">
        <v>42927</v>
      </c>
      <c r="B1088" s="9">
        <v>0.57013888888888886</v>
      </c>
      <c r="C1088" s="10" t="str">
        <f>"FES1162561597"</f>
        <v>FES1162561597</v>
      </c>
      <c r="D1088" s="10" t="s">
        <v>19</v>
      </c>
      <c r="E1088" s="10" t="s">
        <v>299</v>
      </c>
      <c r="F1088" s="10" t="str">
        <f>"2170577454 "</f>
        <v xml:space="preserve">2170577454 </v>
      </c>
      <c r="G1088" s="10" t="str">
        <f t="shared" si="43"/>
        <v>ON1</v>
      </c>
      <c r="H1088" s="10" t="s">
        <v>21</v>
      </c>
      <c r="I1088" s="10" t="s">
        <v>183</v>
      </c>
      <c r="J1088" s="10" t="str">
        <f>""</f>
        <v/>
      </c>
      <c r="K1088" s="10" t="str">
        <f>"PFES1162561597_0001"</f>
        <v>PFES1162561597_0001</v>
      </c>
      <c r="L1088" s="10">
        <v>1</v>
      </c>
      <c r="M1088" s="10">
        <v>1</v>
      </c>
    </row>
    <row r="1089" spans="1:13">
      <c r="A1089" s="8">
        <v>42927</v>
      </c>
      <c r="B1089" s="9">
        <v>0.57013888888888886</v>
      </c>
      <c r="C1089" s="10" t="str">
        <f>"FES1162561631"</f>
        <v>FES1162561631</v>
      </c>
      <c r="D1089" s="10" t="s">
        <v>19</v>
      </c>
      <c r="E1089" s="10" t="s">
        <v>688</v>
      </c>
      <c r="F1089" s="10" t="str">
        <f>"2170578267 "</f>
        <v xml:space="preserve">2170578267 </v>
      </c>
      <c r="G1089" s="10" t="str">
        <f t="shared" si="43"/>
        <v>ON1</v>
      </c>
      <c r="H1089" s="10" t="s">
        <v>21</v>
      </c>
      <c r="I1089" s="10" t="s">
        <v>689</v>
      </c>
      <c r="J1089" s="10" t="str">
        <f>""</f>
        <v/>
      </c>
      <c r="K1089" s="10" t="str">
        <f>"PFES1162561631_0001"</f>
        <v>PFES1162561631_0001</v>
      </c>
      <c r="L1089" s="10">
        <v>1</v>
      </c>
      <c r="M1089" s="10">
        <v>1</v>
      </c>
    </row>
    <row r="1090" spans="1:13">
      <c r="A1090" s="8">
        <v>42927</v>
      </c>
      <c r="B1090" s="9">
        <v>0.56944444444444442</v>
      </c>
      <c r="C1090" s="10" t="str">
        <f>"FES1162561525"</f>
        <v>FES1162561525</v>
      </c>
      <c r="D1090" s="10" t="s">
        <v>19</v>
      </c>
      <c r="E1090" s="10" t="s">
        <v>690</v>
      </c>
      <c r="F1090" s="10" t="str">
        <f>"2170575799 "</f>
        <v xml:space="preserve">2170575799 </v>
      </c>
      <c r="G1090" s="10" t="str">
        <f t="shared" si="43"/>
        <v>ON1</v>
      </c>
      <c r="H1090" s="10" t="s">
        <v>21</v>
      </c>
      <c r="I1090" s="10" t="s">
        <v>691</v>
      </c>
      <c r="J1090" s="10" t="str">
        <f>""</f>
        <v/>
      </c>
      <c r="K1090" s="10" t="str">
        <f>"PFES1162561525_0001"</f>
        <v>PFES1162561525_0001</v>
      </c>
      <c r="L1090" s="10">
        <v>1</v>
      </c>
      <c r="M1090" s="10">
        <v>1</v>
      </c>
    </row>
    <row r="1091" spans="1:13">
      <c r="A1091" s="8">
        <v>42927</v>
      </c>
      <c r="B1091" s="9">
        <v>0.56944444444444442</v>
      </c>
      <c r="C1091" s="10" t="str">
        <f>"FES1162561541"</f>
        <v>FES1162561541</v>
      </c>
      <c r="D1091" s="10" t="s">
        <v>19</v>
      </c>
      <c r="E1091" s="10" t="s">
        <v>175</v>
      </c>
      <c r="F1091" s="10" t="str">
        <f>"2170575964 "</f>
        <v xml:space="preserve">2170575964 </v>
      </c>
      <c r="G1091" s="10" t="str">
        <f t="shared" si="43"/>
        <v>ON1</v>
      </c>
      <c r="H1091" s="10" t="s">
        <v>21</v>
      </c>
      <c r="I1091" s="10" t="s">
        <v>168</v>
      </c>
      <c r="J1091" s="10" t="str">
        <f>""</f>
        <v/>
      </c>
      <c r="K1091" s="10" t="str">
        <f>"PFES1162561541_0001"</f>
        <v>PFES1162561541_0001</v>
      </c>
      <c r="L1091" s="10">
        <v>1</v>
      </c>
      <c r="M1091" s="10">
        <v>1</v>
      </c>
    </row>
    <row r="1092" spans="1:13">
      <c r="A1092" s="8">
        <v>42927</v>
      </c>
      <c r="B1092" s="9">
        <v>0.56874999999999998</v>
      </c>
      <c r="C1092" s="10" t="str">
        <f>"FES1162561598"</f>
        <v>FES1162561598</v>
      </c>
      <c r="D1092" s="10" t="s">
        <v>19</v>
      </c>
      <c r="E1092" s="10" t="s">
        <v>288</v>
      </c>
      <c r="F1092" s="10" t="str">
        <f>"217057728 "</f>
        <v xml:space="preserve">217057728 </v>
      </c>
      <c r="G1092" s="10" t="str">
        <f t="shared" si="43"/>
        <v>ON1</v>
      </c>
      <c r="H1092" s="10" t="s">
        <v>21</v>
      </c>
      <c r="I1092" s="10" t="s">
        <v>300</v>
      </c>
      <c r="J1092" s="10" t="str">
        <f>""</f>
        <v/>
      </c>
      <c r="K1092" s="10" t="str">
        <f>"PFES1162561598_0001"</f>
        <v>PFES1162561598_0001</v>
      </c>
      <c r="L1092" s="10">
        <v>1</v>
      </c>
      <c r="M1092" s="10">
        <v>1</v>
      </c>
    </row>
    <row r="1093" spans="1:13">
      <c r="A1093" s="8">
        <v>42927</v>
      </c>
      <c r="B1093" s="9">
        <v>0.56874999999999998</v>
      </c>
      <c r="C1093" s="10" t="str">
        <f>"FES1162561486"</f>
        <v>FES1162561486</v>
      </c>
      <c r="D1093" s="10" t="s">
        <v>19</v>
      </c>
      <c r="E1093" s="10" t="s">
        <v>429</v>
      </c>
      <c r="F1093" s="10" t="str">
        <f>"2170572373 "</f>
        <v xml:space="preserve">2170572373 </v>
      </c>
      <c r="G1093" s="10" t="str">
        <f t="shared" si="43"/>
        <v>ON1</v>
      </c>
      <c r="H1093" s="10" t="s">
        <v>21</v>
      </c>
      <c r="I1093" s="10" t="s">
        <v>430</v>
      </c>
      <c r="J1093" s="10" t="str">
        <f>""</f>
        <v/>
      </c>
      <c r="K1093" s="10" t="str">
        <f>"PFES1162561486_0001"</f>
        <v>PFES1162561486_0001</v>
      </c>
      <c r="L1093" s="10">
        <v>1</v>
      </c>
      <c r="M1093" s="10">
        <v>1</v>
      </c>
    </row>
    <row r="1094" spans="1:13">
      <c r="A1094" s="8">
        <v>42927</v>
      </c>
      <c r="B1094" s="9">
        <v>0.56874999999999998</v>
      </c>
      <c r="C1094" s="10" t="str">
        <f>"FES1162561489"</f>
        <v>FES1162561489</v>
      </c>
      <c r="D1094" s="10" t="s">
        <v>19</v>
      </c>
      <c r="E1094" s="10" t="s">
        <v>288</v>
      </c>
      <c r="F1094" s="10" t="str">
        <f>"2170572906 "</f>
        <v xml:space="preserve">2170572906 </v>
      </c>
      <c r="G1094" s="10" t="str">
        <f t="shared" si="43"/>
        <v>ON1</v>
      </c>
      <c r="H1094" s="10" t="s">
        <v>21</v>
      </c>
      <c r="I1094" s="10" t="s">
        <v>252</v>
      </c>
      <c r="J1094" s="10" t="str">
        <f>""</f>
        <v/>
      </c>
      <c r="K1094" s="10" t="str">
        <f>"PFES1162561489_0001"</f>
        <v>PFES1162561489_0001</v>
      </c>
      <c r="L1094" s="10">
        <v>1</v>
      </c>
      <c r="M1094" s="10">
        <v>1</v>
      </c>
    </row>
    <row r="1095" spans="1:13">
      <c r="A1095" s="8">
        <v>42927</v>
      </c>
      <c r="B1095" s="9">
        <v>0.56805555555555554</v>
      </c>
      <c r="C1095" s="10" t="str">
        <f>"FES1162561514"</f>
        <v>FES1162561514</v>
      </c>
      <c r="D1095" s="10" t="s">
        <v>19</v>
      </c>
      <c r="E1095" s="10" t="s">
        <v>255</v>
      </c>
      <c r="F1095" s="10" t="str">
        <f>"2170575691 "</f>
        <v xml:space="preserve">2170575691 </v>
      </c>
      <c r="G1095" s="10" t="str">
        <f t="shared" si="43"/>
        <v>ON1</v>
      </c>
      <c r="H1095" s="10" t="s">
        <v>21</v>
      </c>
      <c r="I1095" s="10" t="s">
        <v>256</v>
      </c>
      <c r="J1095" s="10" t="str">
        <f>""</f>
        <v/>
      </c>
      <c r="K1095" s="10" t="str">
        <f>"PFES1162561514_0001"</f>
        <v>PFES1162561514_0001</v>
      </c>
      <c r="L1095" s="10">
        <v>1</v>
      </c>
      <c r="M1095" s="10">
        <v>1</v>
      </c>
    </row>
    <row r="1096" spans="1:13">
      <c r="A1096" s="8">
        <v>42927</v>
      </c>
      <c r="B1096" s="9">
        <v>0.56805555555555554</v>
      </c>
      <c r="C1096" s="10" t="str">
        <f>"FES1162561599"</f>
        <v>FES1162561599</v>
      </c>
      <c r="D1096" s="10" t="s">
        <v>19</v>
      </c>
      <c r="E1096" s="10" t="s">
        <v>692</v>
      </c>
      <c r="F1096" s="10" t="str">
        <f>"2170577549 "</f>
        <v xml:space="preserve">2170577549 </v>
      </c>
      <c r="G1096" s="10" t="str">
        <f t="shared" si="43"/>
        <v>ON1</v>
      </c>
      <c r="H1096" s="10" t="s">
        <v>21</v>
      </c>
      <c r="I1096" s="10" t="s">
        <v>52</v>
      </c>
      <c r="J1096" s="10" t="str">
        <f>""</f>
        <v/>
      </c>
      <c r="K1096" s="10" t="str">
        <f>"PFES1162561599_0001"</f>
        <v>PFES1162561599_0001</v>
      </c>
      <c r="L1096" s="10">
        <v>1</v>
      </c>
      <c r="M1096" s="10">
        <v>1</v>
      </c>
    </row>
    <row r="1097" spans="1:13">
      <c r="A1097" s="8">
        <v>42927</v>
      </c>
      <c r="B1097" s="9">
        <v>0.56736111111111109</v>
      </c>
      <c r="C1097" s="10" t="str">
        <f>"FES1162561492"</f>
        <v>FES1162561492</v>
      </c>
      <c r="D1097" s="10" t="s">
        <v>19</v>
      </c>
      <c r="E1097" s="10" t="s">
        <v>184</v>
      </c>
      <c r="F1097" s="10" t="str">
        <f>"2170573175 "</f>
        <v xml:space="preserve">2170573175 </v>
      </c>
      <c r="G1097" s="10" t="str">
        <f t="shared" si="43"/>
        <v>ON1</v>
      </c>
      <c r="H1097" s="10" t="s">
        <v>21</v>
      </c>
      <c r="I1097" s="10" t="s">
        <v>185</v>
      </c>
      <c r="J1097" s="10" t="str">
        <f>""</f>
        <v/>
      </c>
      <c r="K1097" s="10" t="str">
        <f>"PFES1162561492_0001"</f>
        <v>PFES1162561492_0001</v>
      </c>
      <c r="L1097" s="10">
        <v>1</v>
      </c>
      <c r="M1097" s="10">
        <v>1</v>
      </c>
    </row>
    <row r="1098" spans="1:13">
      <c r="A1098" s="8">
        <v>42927</v>
      </c>
      <c r="B1098" s="9">
        <v>0.56736111111111109</v>
      </c>
      <c r="C1098" s="10" t="str">
        <f>"FES1162561648"</f>
        <v>FES1162561648</v>
      </c>
      <c r="D1098" s="10" t="s">
        <v>19</v>
      </c>
      <c r="E1098" s="10" t="s">
        <v>62</v>
      </c>
      <c r="F1098" s="10" t="str">
        <f>"2170575855 "</f>
        <v xml:space="preserve">2170575855 </v>
      </c>
      <c r="G1098" s="10" t="str">
        <f t="shared" si="43"/>
        <v>ON1</v>
      </c>
      <c r="H1098" s="10" t="s">
        <v>21</v>
      </c>
      <c r="I1098" s="10" t="s">
        <v>263</v>
      </c>
      <c r="J1098" s="10" t="str">
        <f>""</f>
        <v/>
      </c>
      <c r="K1098" s="10" t="str">
        <f>"PFES1162561648_0001"</f>
        <v>PFES1162561648_0001</v>
      </c>
      <c r="L1098" s="10">
        <v>1</v>
      </c>
      <c r="M1098" s="10">
        <v>1</v>
      </c>
    </row>
    <row r="1099" spans="1:13">
      <c r="A1099" s="8">
        <v>42927</v>
      </c>
      <c r="B1099" s="9">
        <v>0.56666666666666665</v>
      </c>
      <c r="C1099" s="10" t="str">
        <f>"FES1162561729"</f>
        <v>FES1162561729</v>
      </c>
      <c r="D1099" s="10" t="s">
        <v>19</v>
      </c>
      <c r="E1099" s="10" t="s">
        <v>146</v>
      </c>
      <c r="F1099" s="10" t="str">
        <f>"2170578369 "</f>
        <v xml:space="preserve">2170578369 </v>
      </c>
      <c r="G1099" s="10" t="str">
        <f t="shared" si="43"/>
        <v>ON1</v>
      </c>
      <c r="H1099" s="10" t="s">
        <v>21</v>
      </c>
      <c r="I1099" s="10" t="s">
        <v>147</v>
      </c>
      <c r="J1099" s="10" t="str">
        <f>""</f>
        <v/>
      </c>
      <c r="K1099" s="10" t="str">
        <f>"PFES1162561729_0001"</f>
        <v>PFES1162561729_0001</v>
      </c>
      <c r="L1099" s="10">
        <v>1</v>
      </c>
      <c r="M1099" s="10">
        <v>5</v>
      </c>
    </row>
    <row r="1100" spans="1:13">
      <c r="A1100" s="8">
        <v>42927</v>
      </c>
      <c r="B1100" s="9">
        <v>0.56666666666666665</v>
      </c>
      <c r="C1100" s="10" t="str">
        <f>"FES1162561578"</f>
        <v>FES1162561578</v>
      </c>
      <c r="D1100" s="10" t="s">
        <v>19</v>
      </c>
      <c r="E1100" s="10" t="s">
        <v>273</v>
      </c>
      <c r="F1100" s="10" t="str">
        <f>"2170576467 "</f>
        <v xml:space="preserve">2170576467 </v>
      </c>
      <c r="G1100" s="10" t="str">
        <f t="shared" si="43"/>
        <v>ON1</v>
      </c>
      <c r="H1100" s="10" t="s">
        <v>21</v>
      </c>
      <c r="I1100" s="10" t="s">
        <v>52</v>
      </c>
      <c r="J1100" s="10" t="str">
        <f>""</f>
        <v/>
      </c>
      <c r="K1100" s="10" t="str">
        <f>"PFES1162561578_0001"</f>
        <v>PFES1162561578_0001</v>
      </c>
      <c r="L1100" s="10">
        <v>1</v>
      </c>
      <c r="M1100" s="10">
        <v>9</v>
      </c>
    </row>
    <row r="1101" spans="1:13">
      <c r="A1101" s="8">
        <v>42927</v>
      </c>
      <c r="B1101" s="9">
        <v>0.56597222222222221</v>
      </c>
      <c r="C1101" s="10" t="str">
        <f>"FES1162561619"</f>
        <v>FES1162561619</v>
      </c>
      <c r="D1101" s="10" t="s">
        <v>19</v>
      </c>
      <c r="E1101" s="10" t="s">
        <v>693</v>
      </c>
      <c r="F1101" s="10" t="str">
        <f>"2170578220 "</f>
        <v xml:space="preserve">2170578220 </v>
      </c>
      <c r="G1101" s="10" t="str">
        <f t="shared" si="43"/>
        <v>ON1</v>
      </c>
      <c r="H1101" s="10" t="s">
        <v>21</v>
      </c>
      <c r="I1101" s="10" t="s">
        <v>161</v>
      </c>
      <c r="J1101" s="10" t="str">
        <f>""</f>
        <v/>
      </c>
      <c r="K1101" s="10" t="str">
        <f>"PFES1162561619_0001"</f>
        <v>PFES1162561619_0001</v>
      </c>
      <c r="L1101" s="10">
        <v>1</v>
      </c>
      <c r="M1101" s="10">
        <v>3</v>
      </c>
    </row>
    <row r="1102" spans="1:13">
      <c r="A1102" s="8">
        <v>42927</v>
      </c>
      <c r="B1102" s="9">
        <v>0.56597222222222221</v>
      </c>
      <c r="C1102" s="10" t="str">
        <f>"FES1162561666"</f>
        <v>FES1162561666</v>
      </c>
      <c r="D1102" s="10" t="s">
        <v>19</v>
      </c>
      <c r="E1102" s="10" t="s">
        <v>549</v>
      </c>
      <c r="F1102" s="10" t="str">
        <f>"2170578292 "</f>
        <v xml:space="preserve">2170578292 </v>
      </c>
      <c r="G1102" s="10" t="str">
        <f t="shared" si="43"/>
        <v>ON1</v>
      </c>
      <c r="H1102" s="10" t="s">
        <v>21</v>
      </c>
      <c r="I1102" s="10" t="s">
        <v>224</v>
      </c>
      <c r="J1102" s="10" t="str">
        <f>""</f>
        <v/>
      </c>
      <c r="K1102" s="10" t="str">
        <f>"PFES1162561666_0001"</f>
        <v>PFES1162561666_0001</v>
      </c>
      <c r="L1102" s="10">
        <v>1</v>
      </c>
      <c r="M1102" s="10">
        <v>3</v>
      </c>
    </row>
    <row r="1103" spans="1:13">
      <c r="A1103" s="8">
        <v>42927</v>
      </c>
      <c r="B1103" s="9">
        <v>0.56527777777777777</v>
      </c>
      <c r="C1103" s="10" t="str">
        <f>"FES1162561532"</f>
        <v>FES1162561532</v>
      </c>
      <c r="D1103" s="10" t="s">
        <v>19</v>
      </c>
      <c r="E1103" s="10" t="s">
        <v>184</v>
      </c>
      <c r="F1103" s="10" t="str">
        <f>"2170575872 "</f>
        <v xml:space="preserve">2170575872 </v>
      </c>
      <c r="G1103" s="10" t="str">
        <f t="shared" si="43"/>
        <v>ON1</v>
      </c>
      <c r="H1103" s="10" t="s">
        <v>21</v>
      </c>
      <c r="I1103" s="10" t="s">
        <v>185</v>
      </c>
      <c r="J1103" s="10" t="str">
        <f>""</f>
        <v/>
      </c>
      <c r="K1103" s="10" t="str">
        <f>"PFES1162561532_0001"</f>
        <v>PFES1162561532_0001</v>
      </c>
      <c r="L1103" s="10">
        <v>1</v>
      </c>
      <c r="M1103" s="10">
        <v>1</v>
      </c>
    </row>
    <row r="1104" spans="1:13">
      <c r="A1104" s="8">
        <v>42927</v>
      </c>
      <c r="B1104" s="9">
        <v>0.56527777777777777</v>
      </c>
      <c r="C1104" s="10" t="str">
        <f>"FES1162561564"</f>
        <v>FES1162561564</v>
      </c>
      <c r="D1104" s="10" t="s">
        <v>19</v>
      </c>
      <c r="E1104" s="10" t="s">
        <v>25</v>
      </c>
      <c r="F1104" s="10" t="str">
        <f>"2170576268 "</f>
        <v xml:space="preserve">2170576268 </v>
      </c>
      <c r="G1104" s="10" t="str">
        <f t="shared" si="43"/>
        <v>ON1</v>
      </c>
      <c r="H1104" s="10" t="s">
        <v>21</v>
      </c>
      <c r="I1104" s="10" t="s">
        <v>26</v>
      </c>
      <c r="J1104" s="10" t="str">
        <f>""</f>
        <v/>
      </c>
      <c r="K1104" s="10" t="str">
        <f>"PFES1162561564_0001"</f>
        <v>PFES1162561564_0001</v>
      </c>
      <c r="L1104" s="10">
        <v>1</v>
      </c>
      <c r="M1104" s="10">
        <v>1</v>
      </c>
    </row>
    <row r="1105" spans="1:13">
      <c r="A1105" s="8">
        <v>42927</v>
      </c>
      <c r="B1105" s="9">
        <v>0.56458333333333333</v>
      </c>
      <c r="C1105" s="10" t="str">
        <f>"FES1162561582"</f>
        <v>FES1162561582</v>
      </c>
      <c r="D1105" s="10" t="s">
        <v>19</v>
      </c>
      <c r="E1105" s="10" t="s">
        <v>51</v>
      </c>
      <c r="F1105" s="10" t="str">
        <f>"2170576506 "</f>
        <v xml:space="preserve">2170576506 </v>
      </c>
      <c r="G1105" s="10" t="str">
        <f t="shared" si="43"/>
        <v>ON1</v>
      </c>
      <c r="H1105" s="10" t="s">
        <v>21</v>
      </c>
      <c r="I1105" s="10" t="s">
        <v>52</v>
      </c>
      <c r="J1105" s="10" t="str">
        <f>""</f>
        <v/>
      </c>
      <c r="K1105" s="10" t="str">
        <f>"PFES1162561582_0001"</f>
        <v>PFES1162561582_0001</v>
      </c>
      <c r="L1105" s="10">
        <v>1</v>
      </c>
      <c r="M1105" s="10">
        <v>1</v>
      </c>
    </row>
    <row r="1106" spans="1:13">
      <c r="A1106" s="8">
        <v>42927</v>
      </c>
      <c r="B1106" s="9">
        <v>0.56458333333333333</v>
      </c>
      <c r="C1106" s="10" t="str">
        <f>"FES1162561575"</f>
        <v>FES1162561575</v>
      </c>
      <c r="D1106" s="10" t="s">
        <v>19</v>
      </c>
      <c r="E1106" s="10" t="s">
        <v>190</v>
      </c>
      <c r="F1106" s="10" t="str">
        <f>"2170576458 "</f>
        <v xml:space="preserve">2170576458 </v>
      </c>
      <c r="G1106" s="10" t="str">
        <f t="shared" si="43"/>
        <v>ON1</v>
      </c>
      <c r="H1106" s="10" t="s">
        <v>21</v>
      </c>
      <c r="I1106" s="10" t="s">
        <v>569</v>
      </c>
      <c r="J1106" s="10" t="str">
        <f>""</f>
        <v/>
      </c>
      <c r="K1106" s="10" t="str">
        <f>"PFES1162561575_0001"</f>
        <v>PFES1162561575_0001</v>
      </c>
      <c r="L1106" s="10">
        <v>1</v>
      </c>
      <c r="M1106" s="10">
        <v>1</v>
      </c>
    </row>
    <row r="1107" spans="1:13">
      <c r="A1107" s="8">
        <v>42927</v>
      </c>
      <c r="B1107" s="9">
        <v>0.56388888888888888</v>
      </c>
      <c r="C1107" s="10" t="str">
        <f>"FES1162561482"</f>
        <v>FES1162561482</v>
      </c>
      <c r="D1107" s="10" t="s">
        <v>19</v>
      </c>
      <c r="E1107" s="10" t="s">
        <v>49</v>
      </c>
      <c r="F1107" s="10" t="str">
        <f>"2170570788 "</f>
        <v xml:space="preserve">2170570788 </v>
      </c>
      <c r="G1107" s="10" t="str">
        <f t="shared" si="43"/>
        <v>ON1</v>
      </c>
      <c r="H1107" s="10" t="s">
        <v>21</v>
      </c>
      <c r="I1107" s="10" t="s">
        <v>50</v>
      </c>
      <c r="J1107" s="10" t="str">
        <f>""</f>
        <v/>
      </c>
      <c r="K1107" s="10" t="str">
        <f>"PFES1162561482_0001"</f>
        <v>PFES1162561482_0001</v>
      </c>
      <c r="L1107" s="10">
        <v>1</v>
      </c>
      <c r="M1107" s="10">
        <v>3</v>
      </c>
    </row>
    <row r="1108" spans="1:13">
      <c r="A1108" s="8">
        <v>42927</v>
      </c>
      <c r="B1108" s="9">
        <v>0.56319444444444444</v>
      </c>
      <c r="C1108" s="10" t="str">
        <f>"FES1162561522"</f>
        <v>FES1162561522</v>
      </c>
      <c r="D1108" s="10" t="s">
        <v>19</v>
      </c>
      <c r="E1108" s="10" t="s">
        <v>211</v>
      </c>
      <c r="F1108" s="10" t="str">
        <f>"2170575744 "</f>
        <v xml:space="preserve">2170575744 </v>
      </c>
      <c r="G1108" s="10" t="str">
        <f t="shared" si="43"/>
        <v>ON1</v>
      </c>
      <c r="H1108" s="10" t="s">
        <v>21</v>
      </c>
      <c r="I1108" s="10" t="s">
        <v>56</v>
      </c>
      <c r="J1108" s="10" t="str">
        <f>""</f>
        <v/>
      </c>
      <c r="K1108" s="10" t="str">
        <f>"PFES1162561522_0001"</f>
        <v>PFES1162561522_0001</v>
      </c>
      <c r="L1108" s="10">
        <v>1</v>
      </c>
      <c r="M1108" s="10">
        <v>2</v>
      </c>
    </row>
    <row r="1109" spans="1:13">
      <c r="A1109" s="8">
        <v>42927</v>
      </c>
      <c r="B1109" s="9">
        <v>0.5625</v>
      </c>
      <c r="C1109" s="10" t="str">
        <f>"FES1162561555"</f>
        <v>FES1162561555</v>
      </c>
      <c r="D1109" s="10" t="s">
        <v>19</v>
      </c>
      <c r="E1109" s="10" t="s">
        <v>694</v>
      </c>
      <c r="F1109" s="10" t="str">
        <f>"2170576122 "</f>
        <v xml:space="preserve">2170576122 </v>
      </c>
      <c r="G1109" s="10" t="str">
        <f t="shared" si="43"/>
        <v>ON1</v>
      </c>
      <c r="H1109" s="10" t="s">
        <v>21</v>
      </c>
      <c r="I1109" s="10" t="s">
        <v>695</v>
      </c>
      <c r="J1109" s="10" t="str">
        <f>""</f>
        <v/>
      </c>
      <c r="K1109" s="10" t="str">
        <f>"PFES1162561555_0001"</f>
        <v>PFES1162561555_0001</v>
      </c>
      <c r="L1109" s="10">
        <v>1</v>
      </c>
      <c r="M1109" s="10">
        <v>2</v>
      </c>
    </row>
    <row r="1110" spans="1:13">
      <c r="A1110" s="8">
        <v>42927</v>
      </c>
      <c r="B1110" s="9">
        <v>0.56180555555555556</v>
      </c>
      <c r="C1110" s="10" t="str">
        <f>"FES1162561588"</f>
        <v>FES1162561588</v>
      </c>
      <c r="D1110" s="10" t="s">
        <v>19</v>
      </c>
      <c r="E1110" s="10" t="s">
        <v>441</v>
      </c>
      <c r="F1110" s="10" t="str">
        <f>"2170576925 "</f>
        <v xml:space="preserve">2170576925 </v>
      </c>
      <c r="G1110" s="10" t="str">
        <f t="shared" si="43"/>
        <v>ON1</v>
      </c>
      <c r="H1110" s="10" t="s">
        <v>21</v>
      </c>
      <c r="I1110" s="10" t="s">
        <v>166</v>
      </c>
      <c r="J1110" s="10" t="str">
        <f>""</f>
        <v/>
      </c>
      <c r="K1110" s="10" t="str">
        <f>"PFES1162561588_0001"</f>
        <v>PFES1162561588_0001</v>
      </c>
      <c r="L1110" s="10">
        <v>1</v>
      </c>
      <c r="M1110" s="10">
        <v>2</v>
      </c>
    </row>
    <row r="1111" spans="1:13">
      <c r="A1111" s="8">
        <v>42927</v>
      </c>
      <c r="B1111" s="9">
        <v>0.56180555555555556</v>
      </c>
      <c r="C1111" s="10" t="str">
        <f>"FES1162561604"</f>
        <v>FES1162561604</v>
      </c>
      <c r="D1111" s="10" t="s">
        <v>19</v>
      </c>
      <c r="E1111" s="10" t="s">
        <v>441</v>
      </c>
      <c r="F1111" s="10" t="str">
        <f>"2170577950 "</f>
        <v xml:space="preserve">2170577950 </v>
      </c>
      <c r="G1111" s="10" t="str">
        <f t="shared" si="43"/>
        <v>ON1</v>
      </c>
      <c r="H1111" s="10" t="s">
        <v>21</v>
      </c>
      <c r="I1111" s="10" t="s">
        <v>166</v>
      </c>
      <c r="J1111" s="10" t="str">
        <f>""</f>
        <v/>
      </c>
      <c r="K1111" s="10" t="str">
        <f>"PFES1162561604_0001"</f>
        <v>PFES1162561604_0001</v>
      </c>
      <c r="L1111" s="10">
        <v>1</v>
      </c>
      <c r="M1111" s="10">
        <v>2</v>
      </c>
    </row>
    <row r="1112" spans="1:13">
      <c r="A1112" s="8">
        <v>42927</v>
      </c>
      <c r="B1112" s="9">
        <v>0.55347222222222225</v>
      </c>
      <c r="C1112" s="10" t="str">
        <f>"FES1162561526"</f>
        <v>FES1162561526</v>
      </c>
      <c r="D1112" s="10" t="s">
        <v>19</v>
      </c>
      <c r="E1112" s="10" t="s">
        <v>33</v>
      </c>
      <c r="F1112" s="10" t="str">
        <f>"2170575812 "</f>
        <v xml:space="preserve">2170575812 </v>
      </c>
      <c r="G1112" s="10" t="str">
        <f t="shared" si="43"/>
        <v>ON1</v>
      </c>
      <c r="H1112" s="10" t="s">
        <v>21</v>
      </c>
      <c r="I1112" s="10" t="s">
        <v>34</v>
      </c>
      <c r="J1112" s="10" t="str">
        <f>""</f>
        <v/>
      </c>
      <c r="K1112" s="10" t="str">
        <f>"PFES1162561526_0001"</f>
        <v>PFES1162561526_0001</v>
      </c>
      <c r="L1112" s="10">
        <v>1</v>
      </c>
      <c r="M1112" s="10">
        <v>1</v>
      </c>
    </row>
    <row r="1113" spans="1:13">
      <c r="A1113" s="8">
        <v>42927</v>
      </c>
      <c r="B1113" s="9">
        <v>0.55208333333333337</v>
      </c>
      <c r="C1113" s="10" t="str">
        <f>"FES1162561510"</f>
        <v>FES1162561510</v>
      </c>
      <c r="D1113" s="10" t="s">
        <v>19</v>
      </c>
      <c r="E1113" s="10" t="s">
        <v>529</v>
      </c>
      <c r="F1113" s="10" t="str">
        <f>"2170575650 "</f>
        <v xml:space="preserve">2170575650 </v>
      </c>
      <c r="G1113" s="10" t="str">
        <f t="shared" si="43"/>
        <v>ON1</v>
      </c>
      <c r="H1113" s="10" t="s">
        <v>21</v>
      </c>
      <c r="I1113" s="10" t="s">
        <v>530</v>
      </c>
      <c r="J1113" s="10" t="str">
        <f>""</f>
        <v/>
      </c>
      <c r="K1113" s="10" t="str">
        <f>"PFES1162561510_0001"</f>
        <v>PFES1162561510_0001</v>
      </c>
      <c r="L1113" s="10">
        <v>1</v>
      </c>
      <c r="M1113" s="10">
        <v>1</v>
      </c>
    </row>
    <row r="1114" spans="1:13">
      <c r="A1114" s="8">
        <v>42927</v>
      </c>
      <c r="B1114" s="9">
        <v>0.55069444444444449</v>
      </c>
      <c r="C1114" s="10" t="str">
        <f>"FES1162561484"</f>
        <v>FES1162561484</v>
      </c>
      <c r="D1114" s="10" t="s">
        <v>19</v>
      </c>
      <c r="E1114" s="10" t="s">
        <v>99</v>
      </c>
      <c r="F1114" s="10" t="str">
        <f>"2170571839 "</f>
        <v xml:space="preserve">2170571839 </v>
      </c>
      <c r="G1114" s="10" t="str">
        <f t="shared" si="43"/>
        <v>ON1</v>
      </c>
      <c r="H1114" s="10" t="s">
        <v>21</v>
      </c>
      <c r="I1114" s="10" t="s">
        <v>100</v>
      </c>
      <c r="J1114" s="10" t="str">
        <f>""</f>
        <v/>
      </c>
      <c r="K1114" s="10" t="str">
        <f>"PFES1162561484_0001"</f>
        <v>PFES1162561484_0001</v>
      </c>
      <c r="L1114" s="10">
        <v>1</v>
      </c>
      <c r="M1114" s="10">
        <v>4</v>
      </c>
    </row>
    <row r="1115" spans="1:13">
      <c r="A1115" s="8">
        <v>42927</v>
      </c>
      <c r="B1115" s="9">
        <v>0.54999999999999993</v>
      </c>
      <c r="C1115" s="10" t="str">
        <f>"FES1162561639"</f>
        <v>FES1162561639</v>
      </c>
      <c r="D1115" s="10" t="s">
        <v>19</v>
      </c>
      <c r="E1115" s="10" t="s">
        <v>33</v>
      </c>
      <c r="F1115" s="10" t="str">
        <f>"2170571463 "</f>
        <v xml:space="preserve">2170571463 </v>
      </c>
      <c r="G1115" s="10" t="str">
        <f t="shared" si="43"/>
        <v>ON1</v>
      </c>
      <c r="H1115" s="10" t="s">
        <v>21</v>
      </c>
      <c r="I1115" s="10" t="s">
        <v>34</v>
      </c>
      <c r="J1115" s="10" t="str">
        <f>""</f>
        <v/>
      </c>
      <c r="K1115" s="10" t="str">
        <f>"PFES1162561639_0001"</f>
        <v>PFES1162561639_0001</v>
      </c>
      <c r="L1115" s="10">
        <v>1</v>
      </c>
      <c r="M1115" s="10">
        <v>4</v>
      </c>
    </row>
    <row r="1116" spans="1:13">
      <c r="A1116" s="8">
        <v>42927</v>
      </c>
      <c r="B1116" s="9">
        <v>0.5493055555555556</v>
      </c>
      <c r="C1116" s="10" t="str">
        <f>"FES1162561620"</f>
        <v>FES1162561620</v>
      </c>
      <c r="D1116" s="10" t="s">
        <v>19</v>
      </c>
      <c r="E1116" s="10" t="s">
        <v>696</v>
      </c>
      <c r="F1116" s="10" t="str">
        <f>"2170578238 "</f>
        <v xml:space="preserve">2170578238 </v>
      </c>
      <c r="G1116" s="10" t="str">
        <f t="shared" si="43"/>
        <v>ON1</v>
      </c>
      <c r="H1116" s="10" t="s">
        <v>21</v>
      </c>
      <c r="I1116" s="10" t="s">
        <v>697</v>
      </c>
      <c r="J1116" s="10" t="str">
        <f>""</f>
        <v/>
      </c>
      <c r="K1116" s="10" t="str">
        <f>"PFES1162561620_0001"</f>
        <v>PFES1162561620_0001</v>
      </c>
      <c r="L1116" s="10">
        <v>1</v>
      </c>
      <c r="M1116" s="10">
        <v>2</v>
      </c>
    </row>
    <row r="1117" spans="1:13">
      <c r="A1117" s="8">
        <v>42927</v>
      </c>
      <c r="B1117" s="9">
        <v>0.54861111111111105</v>
      </c>
      <c r="C1117" s="10" t="str">
        <f>"FES1162561570"</f>
        <v>FES1162561570</v>
      </c>
      <c r="D1117" s="10" t="s">
        <v>19</v>
      </c>
      <c r="E1117" s="10" t="s">
        <v>33</v>
      </c>
      <c r="F1117" s="10" t="str">
        <f>"2170576394 "</f>
        <v xml:space="preserve">2170576394 </v>
      </c>
      <c r="G1117" s="10" t="str">
        <f>"ON2"</f>
        <v>ON2</v>
      </c>
      <c r="H1117" s="10" t="s">
        <v>21</v>
      </c>
      <c r="I1117" s="10" t="s">
        <v>34</v>
      </c>
      <c r="J1117" s="10" t="str">
        <f>""</f>
        <v/>
      </c>
      <c r="K1117" s="10" t="str">
        <f>"PFES1162561570_0001"</f>
        <v>PFES1162561570_0001</v>
      </c>
      <c r="L1117" s="10">
        <v>1</v>
      </c>
      <c r="M1117" s="10">
        <v>6</v>
      </c>
    </row>
    <row r="1118" spans="1:13">
      <c r="A1118" s="8">
        <v>42927</v>
      </c>
      <c r="B1118" s="9">
        <v>0.54722222222222217</v>
      </c>
      <c r="C1118" s="10" t="str">
        <f>"FES1162561665"</f>
        <v>FES1162561665</v>
      </c>
      <c r="D1118" s="10" t="s">
        <v>19</v>
      </c>
      <c r="E1118" s="10" t="s">
        <v>447</v>
      </c>
      <c r="F1118" s="10" t="str">
        <f>"2170578290 "</f>
        <v xml:space="preserve">2170578290 </v>
      </c>
      <c r="G1118" s="10" t="str">
        <f>"ON2"</f>
        <v>ON2</v>
      </c>
      <c r="H1118" s="10" t="s">
        <v>21</v>
      </c>
      <c r="I1118" s="10" t="s">
        <v>259</v>
      </c>
      <c r="J1118" s="10" t="str">
        <f>""</f>
        <v/>
      </c>
      <c r="K1118" s="10" t="str">
        <f>"PFES1162561665_0001"</f>
        <v>PFES1162561665_0001</v>
      </c>
      <c r="L1118" s="10">
        <v>1</v>
      </c>
      <c r="M1118" s="10">
        <v>8</v>
      </c>
    </row>
    <row r="1119" spans="1:13">
      <c r="A1119" s="8">
        <v>42927</v>
      </c>
      <c r="B1119" s="9">
        <v>0.54652777777777783</v>
      </c>
      <c r="C1119" s="10" t="str">
        <f>"FES1162561529"</f>
        <v>FES1162561529</v>
      </c>
      <c r="D1119" s="10" t="s">
        <v>19</v>
      </c>
      <c r="E1119" s="10" t="s">
        <v>378</v>
      </c>
      <c r="F1119" s="10" t="str">
        <f>"2170575837 "</f>
        <v xml:space="preserve">2170575837 </v>
      </c>
      <c r="G1119" s="10" t="str">
        <f t="shared" ref="G1119:G1182" si="44">"ON1"</f>
        <v>ON1</v>
      </c>
      <c r="H1119" s="10" t="s">
        <v>21</v>
      </c>
      <c r="I1119" s="10" t="s">
        <v>36</v>
      </c>
      <c r="J1119" s="10" t="str">
        <f>""</f>
        <v/>
      </c>
      <c r="K1119" s="10" t="str">
        <f>"PFES1162561529_0001"</f>
        <v>PFES1162561529_0001</v>
      </c>
      <c r="L1119" s="10">
        <v>1</v>
      </c>
      <c r="M1119" s="10">
        <v>13</v>
      </c>
    </row>
    <row r="1120" spans="1:13">
      <c r="A1120" s="8">
        <v>42927</v>
      </c>
      <c r="B1120" s="9">
        <v>0.54583333333333328</v>
      </c>
      <c r="C1120" s="10" t="str">
        <f>"FES1162561647"</f>
        <v>FES1162561647</v>
      </c>
      <c r="D1120" s="10" t="s">
        <v>19</v>
      </c>
      <c r="E1120" s="10" t="s">
        <v>698</v>
      </c>
      <c r="F1120" s="10" t="str">
        <f>"2170575757 "</f>
        <v xml:space="preserve">2170575757 </v>
      </c>
      <c r="G1120" s="10" t="str">
        <f t="shared" si="44"/>
        <v>ON1</v>
      </c>
      <c r="H1120" s="10" t="s">
        <v>21</v>
      </c>
      <c r="I1120" s="10" t="s">
        <v>234</v>
      </c>
      <c r="J1120" s="10" t="str">
        <f>""</f>
        <v/>
      </c>
      <c r="K1120" s="10" t="str">
        <f>"PFES1162561647_0001"</f>
        <v>PFES1162561647_0001</v>
      </c>
      <c r="L1120" s="10">
        <v>1</v>
      </c>
      <c r="M1120" s="10">
        <v>2</v>
      </c>
    </row>
    <row r="1121" spans="1:13">
      <c r="A1121" s="8">
        <v>42927</v>
      </c>
      <c r="B1121" s="9">
        <v>0.54513888888888895</v>
      </c>
      <c r="C1121" s="10" t="str">
        <f>"FES1162561640"</f>
        <v>FES1162561640</v>
      </c>
      <c r="D1121" s="10" t="s">
        <v>19</v>
      </c>
      <c r="E1121" s="10" t="s">
        <v>184</v>
      </c>
      <c r="F1121" s="10" t="str">
        <f>"2170571769 "</f>
        <v xml:space="preserve">2170571769 </v>
      </c>
      <c r="G1121" s="10" t="str">
        <f t="shared" si="44"/>
        <v>ON1</v>
      </c>
      <c r="H1121" s="10" t="s">
        <v>21</v>
      </c>
      <c r="I1121" s="10" t="s">
        <v>185</v>
      </c>
      <c r="J1121" s="10" t="str">
        <f>""</f>
        <v/>
      </c>
      <c r="K1121" s="10" t="str">
        <f>"PFES1162561640_0001"</f>
        <v>PFES1162561640_0001</v>
      </c>
      <c r="L1121" s="10">
        <v>1</v>
      </c>
      <c r="M1121" s="10">
        <v>5</v>
      </c>
    </row>
    <row r="1122" spans="1:13">
      <c r="A1122" s="8">
        <v>42927</v>
      </c>
      <c r="B1122" s="9">
        <v>0.5444444444444444</v>
      </c>
      <c r="C1122" s="10" t="str">
        <f>"FES1162561607"</f>
        <v>FES1162561607</v>
      </c>
      <c r="D1122" s="10" t="s">
        <v>19</v>
      </c>
      <c r="E1122" s="10" t="s">
        <v>451</v>
      </c>
      <c r="F1122" s="10" t="str">
        <f>"2170578011 "</f>
        <v xml:space="preserve">2170578011 </v>
      </c>
      <c r="G1122" s="10" t="str">
        <f t="shared" si="44"/>
        <v>ON1</v>
      </c>
      <c r="H1122" s="10" t="s">
        <v>21</v>
      </c>
      <c r="I1122" s="10" t="s">
        <v>66</v>
      </c>
      <c r="J1122" s="10" t="str">
        <f>""</f>
        <v/>
      </c>
      <c r="K1122" s="10" t="str">
        <f>"PFES1162561607_0001"</f>
        <v>PFES1162561607_0001</v>
      </c>
      <c r="L1122" s="10">
        <v>1</v>
      </c>
      <c r="M1122" s="10">
        <v>1</v>
      </c>
    </row>
    <row r="1123" spans="1:13">
      <c r="A1123" s="8">
        <v>42927</v>
      </c>
      <c r="B1123" s="9">
        <v>0.54375000000000007</v>
      </c>
      <c r="C1123" s="10" t="str">
        <f>"FES1162561622"</f>
        <v>FES1162561622</v>
      </c>
      <c r="D1123" s="10" t="s">
        <v>19</v>
      </c>
      <c r="E1123" s="10" t="s">
        <v>216</v>
      </c>
      <c r="F1123" s="10" t="str">
        <f>"2170578248 "</f>
        <v xml:space="preserve">2170578248 </v>
      </c>
      <c r="G1123" s="10" t="str">
        <f t="shared" si="44"/>
        <v>ON1</v>
      </c>
      <c r="H1123" s="10" t="s">
        <v>21</v>
      </c>
      <c r="I1123" s="10" t="s">
        <v>217</v>
      </c>
      <c r="J1123" s="10" t="str">
        <f>""</f>
        <v/>
      </c>
      <c r="K1123" s="10" t="str">
        <f>"PFES1162561622_0001"</f>
        <v>PFES1162561622_0001</v>
      </c>
      <c r="L1123" s="10">
        <v>1</v>
      </c>
      <c r="M1123" s="10">
        <v>1</v>
      </c>
    </row>
    <row r="1124" spans="1:13">
      <c r="A1124" s="8">
        <v>42927</v>
      </c>
      <c r="B1124" s="9">
        <v>0.54305555555555551</v>
      </c>
      <c r="C1124" s="10" t="str">
        <f>"FES1162561524"</f>
        <v>FES1162561524</v>
      </c>
      <c r="D1124" s="10" t="s">
        <v>19</v>
      </c>
      <c r="E1124" s="10" t="s">
        <v>99</v>
      </c>
      <c r="F1124" s="10" t="str">
        <f>"2170575770 "</f>
        <v xml:space="preserve">2170575770 </v>
      </c>
      <c r="G1124" s="10" t="str">
        <f t="shared" si="44"/>
        <v>ON1</v>
      </c>
      <c r="H1124" s="10" t="s">
        <v>21</v>
      </c>
      <c r="I1124" s="10" t="s">
        <v>100</v>
      </c>
      <c r="J1124" s="10" t="str">
        <f>""</f>
        <v/>
      </c>
      <c r="K1124" s="10" t="str">
        <f>"PFES1162561524_0001"</f>
        <v>PFES1162561524_0001</v>
      </c>
      <c r="L1124" s="10">
        <v>1</v>
      </c>
      <c r="M1124" s="10">
        <v>1</v>
      </c>
    </row>
    <row r="1125" spans="1:13">
      <c r="A1125" s="8">
        <v>42927</v>
      </c>
      <c r="B1125" s="9">
        <v>0.54166666666666663</v>
      </c>
      <c r="C1125" s="10" t="str">
        <f>"FES1162561625"</f>
        <v>FES1162561625</v>
      </c>
      <c r="D1125" s="10" t="s">
        <v>19</v>
      </c>
      <c r="E1125" s="10" t="s">
        <v>699</v>
      </c>
      <c r="F1125" s="10" t="str">
        <f>"2170578256 "</f>
        <v xml:space="preserve">2170578256 </v>
      </c>
      <c r="G1125" s="10" t="str">
        <f t="shared" si="44"/>
        <v>ON1</v>
      </c>
      <c r="H1125" s="10" t="s">
        <v>21</v>
      </c>
      <c r="I1125" s="10" t="s">
        <v>700</v>
      </c>
      <c r="J1125" s="10" t="str">
        <f>""</f>
        <v/>
      </c>
      <c r="K1125" s="10" t="str">
        <f>"PFES1162561625_0001"</f>
        <v>PFES1162561625_0001</v>
      </c>
      <c r="L1125" s="10">
        <v>1</v>
      </c>
      <c r="M1125" s="10">
        <v>1</v>
      </c>
    </row>
    <row r="1126" spans="1:13">
      <c r="A1126" s="8">
        <v>42927</v>
      </c>
      <c r="B1126" s="9">
        <v>0.54166666666666663</v>
      </c>
      <c r="C1126" s="10" t="str">
        <f>"FES1162561509"</f>
        <v>FES1162561509</v>
      </c>
      <c r="D1126" s="10" t="s">
        <v>19</v>
      </c>
      <c r="E1126" s="10" t="s">
        <v>210</v>
      </c>
      <c r="F1126" s="10" t="str">
        <f>"2170575642 "</f>
        <v xml:space="preserve">2170575642 </v>
      </c>
      <c r="G1126" s="10" t="str">
        <f t="shared" si="44"/>
        <v>ON1</v>
      </c>
      <c r="H1126" s="10" t="s">
        <v>21</v>
      </c>
      <c r="I1126" s="10" t="s">
        <v>32</v>
      </c>
      <c r="J1126" s="10" t="str">
        <f>""</f>
        <v/>
      </c>
      <c r="K1126" s="10" t="str">
        <f>"PFES1162561509_0001"</f>
        <v>PFES1162561509_0001</v>
      </c>
      <c r="L1126" s="10">
        <v>1</v>
      </c>
      <c r="M1126" s="10">
        <v>1</v>
      </c>
    </row>
    <row r="1127" spans="1:13">
      <c r="A1127" s="8">
        <v>42927</v>
      </c>
      <c r="B1127" s="9">
        <v>0.54097222222222219</v>
      </c>
      <c r="C1127" s="10" t="str">
        <f>"FES1162561520"</f>
        <v>FES1162561520</v>
      </c>
      <c r="D1127" s="10" t="s">
        <v>19</v>
      </c>
      <c r="E1127" s="10" t="s">
        <v>447</v>
      </c>
      <c r="F1127" s="10" t="str">
        <f>"2170575711 "</f>
        <v xml:space="preserve">2170575711 </v>
      </c>
      <c r="G1127" s="10" t="str">
        <f t="shared" si="44"/>
        <v>ON1</v>
      </c>
      <c r="H1127" s="10" t="s">
        <v>21</v>
      </c>
      <c r="I1127" s="10" t="s">
        <v>259</v>
      </c>
      <c r="J1127" s="10" t="str">
        <f>""</f>
        <v/>
      </c>
      <c r="K1127" s="10" t="str">
        <f>"PFES1162561520_0001"</f>
        <v>PFES1162561520_0001</v>
      </c>
      <c r="L1127" s="10">
        <v>1</v>
      </c>
      <c r="M1127" s="10">
        <v>1</v>
      </c>
    </row>
    <row r="1128" spans="1:13">
      <c r="A1128" s="8">
        <v>42927</v>
      </c>
      <c r="B1128" s="9">
        <v>0.54097222222222219</v>
      </c>
      <c r="C1128" s="10" t="str">
        <f>"FES1162561580"</f>
        <v>FES1162561580</v>
      </c>
      <c r="D1128" s="10" t="s">
        <v>19</v>
      </c>
      <c r="E1128" s="10" t="s">
        <v>598</v>
      </c>
      <c r="F1128" s="10" t="str">
        <f>"2170576489 "</f>
        <v xml:space="preserve">2170576489 </v>
      </c>
      <c r="G1128" s="10" t="str">
        <f t="shared" si="44"/>
        <v>ON1</v>
      </c>
      <c r="H1128" s="10" t="s">
        <v>21</v>
      </c>
      <c r="I1128" s="10" t="s">
        <v>599</v>
      </c>
      <c r="J1128" s="10" t="str">
        <f>""</f>
        <v/>
      </c>
      <c r="K1128" s="10" t="str">
        <f>"PFES1162561580_0001"</f>
        <v>PFES1162561580_0001</v>
      </c>
      <c r="L1128" s="10">
        <v>1</v>
      </c>
      <c r="M1128" s="10">
        <v>1</v>
      </c>
    </row>
    <row r="1129" spans="1:13">
      <c r="A1129" s="8">
        <v>42927</v>
      </c>
      <c r="B1129" s="9">
        <v>0.54027777777777775</v>
      </c>
      <c r="C1129" s="10" t="str">
        <f>"FES1162561641"</f>
        <v>FES1162561641</v>
      </c>
      <c r="D1129" s="10" t="s">
        <v>19</v>
      </c>
      <c r="E1129" s="10" t="s">
        <v>597</v>
      </c>
      <c r="F1129" s="10" t="str">
        <f>"2170572492 "</f>
        <v xml:space="preserve">2170572492 </v>
      </c>
      <c r="G1129" s="10" t="str">
        <f t="shared" si="44"/>
        <v>ON1</v>
      </c>
      <c r="H1129" s="10" t="s">
        <v>21</v>
      </c>
      <c r="I1129" s="10" t="s">
        <v>205</v>
      </c>
      <c r="J1129" s="10" t="str">
        <f>""</f>
        <v/>
      </c>
      <c r="K1129" s="10" t="str">
        <f>"PFES1162561641_0001"</f>
        <v>PFES1162561641_0001</v>
      </c>
      <c r="L1129" s="10">
        <v>1</v>
      </c>
      <c r="M1129" s="10">
        <v>1</v>
      </c>
    </row>
    <row r="1130" spans="1:13">
      <c r="A1130" s="8">
        <v>42927</v>
      </c>
      <c r="B1130" s="9">
        <v>0.54027777777777775</v>
      </c>
      <c r="C1130" s="10" t="str">
        <f>"FES1162561644"</f>
        <v>FES1162561644</v>
      </c>
      <c r="D1130" s="10" t="s">
        <v>19</v>
      </c>
      <c r="E1130" s="10" t="s">
        <v>210</v>
      </c>
      <c r="F1130" s="10" t="str">
        <f>"2170575642 "</f>
        <v xml:space="preserve">2170575642 </v>
      </c>
      <c r="G1130" s="10" t="str">
        <f t="shared" si="44"/>
        <v>ON1</v>
      </c>
      <c r="H1130" s="10" t="s">
        <v>21</v>
      </c>
      <c r="I1130" s="10" t="s">
        <v>32</v>
      </c>
      <c r="J1130" s="10" t="str">
        <f>""</f>
        <v/>
      </c>
      <c r="K1130" s="10" t="str">
        <f>"PFES1162561644_0001"</f>
        <v>PFES1162561644_0001</v>
      </c>
      <c r="L1130" s="10">
        <v>1</v>
      </c>
      <c r="M1130" s="10">
        <v>1.46</v>
      </c>
    </row>
    <row r="1131" spans="1:13">
      <c r="A1131" s="8">
        <v>42927</v>
      </c>
      <c r="B1131" s="9">
        <v>0.5395833333333333</v>
      </c>
      <c r="C1131" s="10" t="str">
        <f>"FES1162561633"</f>
        <v>FES1162561633</v>
      </c>
      <c r="D1131" s="10" t="s">
        <v>19</v>
      </c>
      <c r="E1131" s="10" t="s">
        <v>378</v>
      </c>
      <c r="F1131" s="10" t="str">
        <f>"2170578272 "</f>
        <v xml:space="preserve">2170578272 </v>
      </c>
      <c r="G1131" s="10" t="str">
        <f t="shared" si="44"/>
        <v>ON1</v>
      </c>
      <c r="H1131" s="10" t="s">
        <v>21</v>
      </c>
      <c r="I1131" s="10" t="s">
        <v>36</v>
      </c>
      <c r="J1131" s="10" t="str">
        <f>""</f>
        <v/>
      </c>
      <c r="K1131" s="10" t="str">
        <f>"PFES1162561633_0001"</f>
        <v>PFES1162561633_0001</v>
      </c>
      <c r="L1131" s="10">
        <v>1</v>
      </c>
      <c r="M1131" s="10">
        <v>1</v>
      </c>
    </row>
    <row r="1132" spans="1:13">
      <c r="A1132" s="8">
        <v>42927</v>
      </c>
      <c r="B1132" s="9">
        <v>0.5395833333333333</v>
      </c>
      <c r="C1132" s="10" t="str">
        <f>"FES1162561513"</f>
        <v>FES1162561513</v>
      </c>
      <c r="D1132" s="10" t="s">
        <v>19</v>
      </c>
      <c r="E1132" s="10" t="s">
        <v>27</v>
      </c>
      <c r="F1132" s="10" t="str">
        <f>"2170575686 "</f>
        <v xml:space="preserve">2170575686 </v>
      </c>
      <c r="G1132" s="10" t="str">
        <f t="shared" si="44"/>
        <v>ON1</v>
      </c>
      <c r="H1132" s="10" t="s">
        <v>21</v>
      </c>
      <c r="I1132" s="10" t="s">
        <v>28</v>
      </c>
      <c r="J1132" s="10" t="str">
        <f>""</f>
        <v/>
      </c>
      <c r="K1132" s="10" t="str">
        <f>"PFES1162561513_0001"</f>
        <v>PFES1162561513_0001</v>
      </c>
      <c r="L1132" s="10">
        <v>1</v>
      </c>
      <c r="M1132" s="10">
        <v>1</v>
      </c>
    </row>
    <row r="1133" spans="1:13">
      <c r="A1133" s="8">
        <v>42927</v>
      </c>
      <c r="B1133" s="9">
        <v>0.53888888888888886</v>
      </c>
      <c r="C1133" s="10" t="str">
        <f>"FES1162561546"</f>
        <v>FES1162561546</v>
      </c>
      <c r="D1133" s="10" t="s">
        <v>19</v>
      </c>
      <c r="E1133" s="10" t="s">
        <v>701</v>
      </c>
      <c r="F1133" s="10" t="str">
        <f>"2170576011 "</f>
        <v xml:space="preserve">2170576011 </v>
      </c>
      <c r="G1133" s="10" t="str">
        <f t="shared" si="44"/>
        <v>ON1</v>
      </c>
      <c r="H1133" s="10" t="s">
        <v>21</v>
      </c>
      <c r="I1133" s="10" t="s">
        <v>702</v>
      </c>
      <c r="J1133" s="10" t="str">
        <f>""</f>
        <v/>
      </c>
      <c r="K1133" s="10" t="str">
        <f>"PFES1162561546_0001"</f>
        <v>PFES1162561546_0001</v>
      </c>
      <c r="L1133" s="10">
        <v>1</v>
      </c>
      <c r="M1133" s="10">
        <v>1</v>
      </c>
    </row>
    <row r="1134" spans="1:13">
      <c r="A1134" s="8">
        <v>42927</v>
      </c>
      <c r="B1134" s="9">
        <v>0.53888888888888886</v>
      </c>
      <c r="C1134" s="10" t="str">
        <f>"FES1162561537"</f>
        <v>FES1162561537</v>
      </c>
      <c r="D1134" s="10" t="s">
        <v>19</v>
      </c>
      <c r="E1134" s="10" t="s">
        <v>99</v>
      </c>
      <c r="F1134" s="10" t="str">
        <f>"2170575940 "</f>
        <v xml:space="preserve">2170575940 </v>
      </c>
      <c r="G1134" s="10" t="str">
        <f t="shared" si="44"/>
        <v>ON1</v>
      </c>
      <c r="H1134" s="10" t="s">
        <v>21</v>
      </c>
      <c r="I1134" s="10" t="s">
        <v>100</v>
      </c>
      <c r="J1134" s="10" t="str">
        <f>""</f>
        <v/>
      </c>
      <c r="K1134" s="10" t="str">
        <f>"PFES1162561537_0001"</f>
        <v>PFES1162561537_0001</v>
      </c>
      <c r="L1134" s="10">
        <v>1</v>
      </c>
      <c r="M1134" s="10">
        <v>1</v>
      </c>
    </row>
    <row r="1135" spans="1:13">
      <c r="A1135" s="8">
        <v>42927</v>
      </c>
      <c r="B1135" s="9">
        <v>0.53819444444444442</v>
      </c>
      <c r="C1135" s="10" t="str">
        <f>"FES1162561618"</f>
        <v>FES1162561618</v>
      </c>
      <c r="D1135" s="10" t="s">
        <v>19</v>
      </c>
      <c r="E1135" s="10" t="s">
        <v>703</v>
      </c>
      <c r="F1135" s="10" t="str">
        <f>"2170578198 "</f>
        <v xml:space="preserve">2170578198 </v>
      </c>
      <c r="G1135" s="10" t="str">
        <f t="shared" si="44"/>
        <v>ON1</v>
      </c>
      <c r="H1135" s="10" t="s">
        <v>21</v>
      </c>
      <c r="I1135" s="10" t="s">
        <v>704</v>
      </c>
      <c r="J1135" s="10" t="str">
        <f>""</f>
        <v/>
      </c>
      <c r="K1135" s="10" t="str">
        <f>"PFES1162561618_0001"</f>
        <v>PFES1162561618_0001</v>
      </c>
      <c r="L1135" s="10">
        <v>1</v>
      </c>
      <c r="M1135" s="10">
        <v>1</v>
      </c>
    </row>
    <row r="1136" spans="1:13">
      <c r="A1136" s="8">
        <v>42927</v>
      </c>
      <c r="B1136" s="9">
        <v>0.53819444444444442</v>
      </c>
      <c r="C1136" s="10" t="str">
        <f>"FES1162561543"</f>
        <v>FES1162561543</v>
      </c>
      <c r="D1136" s="10" t="s">
        <v>19</v>
      </c>
      <c r="E1136" s="10" t="s">
        <v>705</v>
      </c>
      <c r="F1136" s="10" t="str">
        <f>"2170575993 "</f>
        <v xml:space="preserve">2170575993 </v>
      </c>
      <c r="G1136" s="10" t="str">
        <f t="shared" si="44"/>
        <v>ON1</v>
      </c>
      <c r="H1136" s="10" t="s">
        <v>21</v>
      </c>
      <c r="I1136" s="10" t="s">
        <v>68</v>
      </c>
      <c r="J1136" s="10" t="str">
        <f>""</f>
        <v/>
      </c>
      <c r="K1136" s="10" t="str">
        <f>"PFES1162561543_0001"</f>
        <v>PFES1162561543_0001</v>
      </c>
      <c r="L1136" s="10">
        <v>1</v>
      </c>
      <c r="M1136" s="10">
        <v>1</v>
      </c>
    </row>
    <row r="1137" spans="1:13">
      <c r="A1137" s="8">
        <v>42927</v>
      </c>
      <c r="B1137" s="9">
        <v>0.53819444444444442</v>
      </c>
      <c r="C1137" s="10" t="str">
        <f>"FES1162561646"</f>
        <v>FES1162561646</v>
      </c>
      <c r="D1137" s="10" t="s">
        <v>19</v>
      </c>
      <c r="E1137" s="10" t="s">
        <v>78</v>
      </c>
      <c r="F1137" s="10" t="str">
        <f>"217057669 "</f>
        <v xml:space="preserve">217057669 </v>
      </c>
      <c r="G1137" s="10" t="str">
        <f t="shared" si="44"/>
        <v>ON1</v>
      </c>
      <c r="H1137" s="10" t="s">
        <v>21</v>
      </c>
      <c r="I1137" s="10" t="s">
        <v>79</v>
      </c>
      <c r="J1137" s="10" t="str">
        <f>""</f>
        <v/>
      </c>
      <c r="K1137" s="10" t="str">
        <f>"PFES1162561646_0001"</f>
        <v>PFES1162561646_0001</v>
      </c>
      <c r="L1137" s="10">
        <v>1</v>
      </c>
      <c r="M1137" s="10">
        <v>1</v>
      </c>
    </row>
    <row r="1138" spans="1:13">
      <c r="A1138" s="8">
        <v>42927</v>
      </c>
      <c r="B1138" s="9">
        <v>0.53749999999999998</v>
      </c>
      <c r="C1138" s="10" t="str">
        <f>"FES1162561538"</f>
        <v>FES1162561538</v>
      </c>
      <c r="D1138" s="10" t="s">
        <v>19</v>
      </c>
      <c r="E1138" s="10" t="s">
        <v>184</v>
      </c>
      <c r="F1138" s="10" t="str">
        <f>"2170575951 "</f>
        <v xml:space="preserve">2170575951 </v>
      </c>
      <c r="G1138" s="10" t="str">
        <f t="shared" si="44"/>
        <v>ON1</v>
      </c>
      <c r="H1138" s="10" t="s">
        <v>21</v>
      </c>
      <c r="I1138" s="10" t="s">
        <v>185</v>
      </c>
      <c r="J1138" s="10" t="str">
        <f>""</f>
        <v/>
      </c>
      <c r="K1138" s="10" t="str">
        <f>"PFES1162561538_0001"</f>
        <v>PFES1162561538_0001</v>
      </c>
      <c r="L1138" s="10">
        <v>1</v>
      </c>
      <c r="M1138" s="10">
        <v>1</v>
      </c>
    </row>
    <row r="1139" spans="1:13">
      <c r="A1139" s="8">
        <v>42927</v>
      </c>
      <c r="B1139" s="9">
        <v>0.53749999999999998</v>
      </c>
      <c r="C1139" s="10" t="str">
        <f>"FES1162561530"</f>
        <v>FES1162561530</v>
      </c>
      <c r="D1139" s="10" t="s">
        <v>19</v>
      </c>
      <c r="E1139" s="10" t="s">
        <v>62</v>
      </c>
      <c r="F1139" s="10" t="str">
        <f>"2170575855 "</f>
        <v xml:space="preserve">2170575855 </v>
      </c>
      <c r="G1139" s="10" t="str">
        <f t="shared" si="44"/>
        <v>ON1</v>
      </c>
      <c r="H1139" s="10" t="s">
        <v>21</v>
      </c>
      <c r="I1139" s="10" t="s">
        <v>263</v>
      </c>
      <c r="J1139" s="10" t="str">
        <f>""</f>
        <v/>
      </c>
      <c r="K1139" s="10" t="str">
        <f>"PFES1162561530_0001"</f>
        <v>PFES1162561530_0001</v>
      </c>
      <c r="L1139" s="10">
        <v>1</v>
      </c>
      <c r="M1139" s="10">
        <v>2.25</v>
      </c>
    </row>
    <row r="1140" spans="1:13">
      <c r="A1140" s="8">
        <v>42927</v>
      </c>
      <c r="B1140" s="9">
        <v>0.53680555555555554</v>
      </c>
      <c r="C1140" s="10" t="str">
        <f>"FES1162561655"</f>
        <v>FES1162561655</v>
      </c>
      <c r="D1140" s="10" t="s">
        <v>19</v>
      </c>
      <c r="E1140" s="10" t="s">
        <v>706</v>
      </c>
      <c r="F1140" s="10" t="str">
        <f>"2170576136 "</f>
        <v xml:space="preserve">2170576136 </v>
      </c>
      <c r="G1140" s="10" t="str">
        <f t="shared" si="44"/>
        <v>ON1</v>
      </c>
      <c r="H1140" s="10" t="s">
        <v>21</v>
      </c>
      <c r="I1140" s="10" t="s">
        <v>166</v>
      </c>
      <c r="J1140" s="10" t="str">
        <f>""</f>
        <v/>
      </c>
      <c r="K1140" s="10" t="str">
        <f>"PFES1162561655_0001"</f>
        <v>PFES1162561655_0001</v>
      </c>
      <c r="L1140" s="10">
        <v>1</v>
      </c>
      <c r="M1140" s="10">
        <v>6</v>
      </c>
    </row>
    <row r="1141" spans="1:13">
      <c r="A1141" s="8">
        <v>42927</v>
      </c>
      <c r="B1141" s="9">
        <v>0.53680555555555554</v>
      </c>
      <c r="C1141" s="10" t="str">
        <f>"FES1162561565"</f>
        <v>FES1162561565</v>
      </c>
      <c r="D1141" s="10" t="s">
        <v>19</v>
      </c>
      <c r="E1141" s="10" t="s">
        <v>698</v>
      </c>
      <c r="F1141" s="10" t="str">
        <f>"2170576271 "</f>
        <v xml:space="preserve">2170576271 </v>
      </c>
      <c r="G1141" s="10" t="str">
        <f t="shared" si="44"/>
        <v>ON1</v>
      </c>
      <c r="H1141" s="10" t="s">
        <v>21</v>
      </c>
      <c r="I1141" s="10" t="s">
        <v>234</v>
      </c>
      <c r="J1141" s="10" t="str">
        <f>""</f>
        <v/>
      </c>
      <c r="K1141" s="10" t="str">
        <f>"PFES1162561565_0001"</f>
        <v>PFES1162561565_0001</v>
      </c>
      <c r="L1141" s="10">
        <v>1</v>
      </c>
      <c r="M1141" s="10">
        <v>1</v>
      </c>
    </row>
    <row r="1142" spans="1:13">
      <c r="A1142" s="8">
        <v>42927</v>
      </c>
      <c r="B1142" s="9">
        <v>0.53611111111111109</v>
      </c>
      <c r="C1142" s="10" t="str">
        <f>"FES1162561600"</f>
        <v>FES1162561600</v>
      </c>
      <c r="D1142" s="10" t="s">
        <v>19</v>
      </c>
      <c r="E1142" s="10" t="s">
        <v>528</v>
      </c>
      <c r="F1142" s="10" t="str">
        <f>"2170577625 "</f>
        <v xml:space="preserve">2170577625 </v>
      </c>
      <c r="G1142" s="10" t="str">
        <f t="shared" si="44"/>
        <v>ON1</v>
      </c>
      <c r="H1142" s="10" t="s">
        <v>21</v>
      </c>
      <c r="I1142" s="10" t="s">
        <v>32</v>
      </c>
      <c r="J1142" s="10" t="str">
        <f>""</f>
        <v/>
      </c>
      <c r="K1142" s="10" t="str">
        <f>"PFES1162561600_0001"</f>
        <v>PFES1162561600_0001</v>
      </c>
      <c r="L1142" s="10">
        <v>1</v>
      </c>
      <c r="M1142" s="10">
        <v>1</v>
      </c>
    </row>
    <row r="1143" spans="1:13">
      <c r="A1143" s="8">
        <v>42927</v>
      </c>
      <c r="B1143" s="9">
        <v>0.53611111111111109</v>
      </c>
      <c r="C1143" s="10" t="str">
        <f>"FES1162561669"</f>
        <v>FES1162561669</v>
      </c>
      <c r="D1143" s="10" t="s">
        <v>19</v>
      </c>
      <c r="E1143" s="10" t="s">
        <v>255</v>
      </c>
      <c r="F1143" s="10" t="str">
        <f>"2170578297 "</f>
        <v xml:space="preserve">2170578297 </v>
      </c>
      <c r="G1143" s="10" t="str">
        <f t="shared" si="44"/>
        <v>ON1</v>
      </c>
      <c r="H1143" s="10" t="s">
        <v>21</v>
      </c>
      <c r="I1143" s="10" t="s">
        <v>256</v>
      </c>
      <c r="J1143" s="10" t="str">
        <f>""</f>
        <v/>
      </c>
      <c r="K1143" s="10" t="str">
        <f>"PFES1162561669_0001"</f>
        <v>PFES1162561669_0001</v>
      </c>
      <c r="L1143" s="10">
        <v>1</v>
      </c>
      <c r="M1143" s="10">
        <v>10</v>
      </c>
    </row>
    <row r="1144" spans="1:13">
      <c r="A1144" s="8">
        <v>42927</v>
      </c>
      <c r="B1144" s="9">
        <v>0.53611111111111109</v>
      </c>
      <c r="C1144" s="10" t="str">
        <f>"FES1162561711"</f>
        <v>FES1162561711</v>
      </c>
      <c r="D1144" s="10" t="s">
        <v>19</v>
      </c>
      <c r="E1144" s="10" t="s">
        <v>436</v>
      </c>
      <c r="F1144" s="10" t="str">
        <f>"217057834 "</f>
        <v xml:space="preserve">217057834 </v>
      </c>
      <c r="G1144" s="10" t="str">
        <f t="shared" si="44"/>
        <v>ON1</v>
      </c>
      <c r="H1144" s="10" t="s">
        <v>21</v>
      </c>
      <c r="I1144" s="10" t="s">
        <v>252</v>
      </c>
      <c r="J1144" s="10" t="str">
        <f>""</f>
        <v/>
      </c>
      <c r="K1144" s="10" t="str">
        <f>"PFES1162561711_0001"</f>
        <v>PFES1162561711_0001</v>
      </c>
      <c r="L1144" s="10">
        <v>1</v>
      </c>
      <c r="M1144" s="10">
        <v>1</v>
      </c>
    </row>
    <row r="1145" spans="1:13">
      <c r="A1145" s="8">
        <v>42927</v>
      </c>
      <c r="B1145" s="9">
        <v>0.53541666666666665</v>
      </c>
      <c r="C1145" s="10" t="str">
        <f>"FES1162561684"</f>
        <v>FES1162561684</v>
      </c>
      <c r="D1145" s="10" t="s">
        <v>19</v>
      </c>
      <c r="E1145" s="10" t="s">
        <v>283</v>
      </c>
      <c r="F1145" s="10" t="str">
        <f>"2170578314 "</f>
        <v xml:space="preserve">2170578314 </v>
      </c>
      <c r="G1145" s="10" t="str">
        <f t="shared" si="44"/>
        <v>ON1</v>
      </c>
      <c r="H1145" s="10" t="s">
        <v>21</v>
      </c>
      <c r="I1145" s="10" t="s">
        <v>234</v>
      </c>
      <c r="J1145" s="10" t="str">
        <f>""</f>
        <v/>
      </c>
      <c r="K1145" s="10" t="str">
        <f>"PFES1162561684_0001"</f>
        <v>PFES1162561684_0001</v>
      </c>
      <c r="L1145" s="10">
        <v>1</v>
      </c>
      <c r="M1145" s="10">
        <v>1</v>
      </c>
    </row>
    <row r="1146" spans="1:13">
      <c r="A1146" s="8">
        <v>42927</v>
      </c>
      <c r="B1146" s="9">
        <v>0.53541666666666665</v>
      </c>
      <c r="C1146" s="10" t="str">
        <f>"FES1162561590"</f>
        <v>FES1162561590</v>
      </c>
      <c r="D1146" s="10" t="s">
        <v>19</v>
      </c>
      <c r="E1146" s="10" t="s">
        <v>107</v>
      </c>
      <c r="F1146" s="10" t="str">
        <f>"2170577030 "</f>
        <v xml:space="preserve">2170577030 </v>
      </c>
      <c r="G1146" s="10" t="str">
        <f t="shared" si="44"/>
        <v>ON1</v>
      </c>
      <c r="H1146" s="10" t="s">
        <v>21</v>
      </c>
      <c r="I1146" s="10" t="s">
        <v>75</v>
      </c>
      <c r="J1146" s="10" t="str">
        <f>""</f>
        <v/>
      </c>
      <c r="K1146" s="10" t="str">
        <f>"PFES1162561590_0001"</f>
        <v>PFES1162561590_0001</v>
      </c>
      <c r="L1146" s="10">
        <v>1</v>
      </c>
      <c r="M1146" s="10">
        <v>1</v>
      </c>
    </row>
    <row r="1147" spans="1:13">
      <c r="A1147" s="8">
        <v>42927</v>
      </c>
      <c r="B1147" s="9">
        <v>0.53541666666666665</v>
      </c>
      <c r="C1147" s="10" t="str">
        <f>"FES1162561556"</f>
        <v>FES1162561556</v>
      </c>
      <c r="D1147" s="10" t="s">
        <v>19</v>
      </c>
      <c r="E1147" s="10" t="s">
        <v>164</v>
      </c>
      <c r="F1147" s="10" t="str">
        <f>"217057627 "</f>
        <v xml:space="preserve">217057627 </v>
      </c>
      <c r="G1147" s="10" t="str">
        <f t="shared" si="44"/>
        <v>ON1</v>
      </c>
      <c r="H1147" s="10" t="s">
        <v>21</v>
      </c>
      <c r="I1147" s="10" t="s">
        <v>147</v>
      </c>
      <c r="J1147" s="10" t="str">
        <f>""</f>
        <v/>
      </c>
      <c r="K1147" s="10" t="str">
        <f>"PFES1162561556_0001"</f>
        <v>PFES1162561556_0001</v>
      </c>
      <c r="L1147" s="10">
        <v>1</v>
      </c>
      <c r="M1147" s="10">
        <v>1</v>
      </c>
    </row>
    <row r="1148" spans="1:13">
      <c r="A1148" s="8">
        <v>42927</v>
      </c>
      <c r="B1148" s="9">
        <v>0.53541666666666665</v>
      </c>
      <c r="C1148" s="10" t="str">
        <f>"FES1162561614"</f>
        <v>FES1162561614</v>
      </c>
      <c r="D1148" s="10" t="s">
        <v>19</v>
      </c>
      <c r="E1148" s="10" t="s">
        <v>549</v>
      </c>
      <c r="F1148" s="10" t="str">
        <f>"2170578102 "</f>
        <v xml:space="preserve">2170578102 </v>
      </c>
      <c r="G1148" s="10" t="str">
        <f t="shared" si="44"/>
        <v>ON1</v>
      </c>
      <c r="H1148" s="10" t="s">
        <v>21</v>
      </c>
      <c r="I1148" s="10" t="s">
        <v>224</v>
      </c>
      <c r="J1148" s="10" t="str">
        <f>""</f>
        <v/>
      </c>
      <c r="K1148" s="10" t="str">
        <f>"PFES1162561614_0001"</f>
        <v>PFES1162561614_0001</v>
      </c>
      <c r="L1148" s="10">
        <v>1</v>
      </c>
      <c r="M1148" s="10">
        <v>1</v>
      </c>
    </row>
    <row r="1149" spans="1:13">
      <c r="A1149" s="8">
        <v>42927</v>
      </c>
      <c r="B1149" s="9">
        <v>0.53472222222222221</v>
      </c>
      <c r="C1149" s="10" t="str">
        <f>"FES1162561591"</f>
        <v>FES1162561591</v>
      </c>
      <c r="D1149" s="10" t="s">
        <v>19</v>
      </c>
      <c r="E1149" s="10" t="s">
        <v>155</v>
      </c>
      <c r="F1149" s="10" t="str">
        <f>"2170577050 "</f>
        <v xml:space="preserve">2170577050 </v>
      </c>
      <c r="G1149" s="10" t="str">
        <f t="shared" si="44"/>
        <v>ON1</v>
      </c>
      <c r="H1149" s="10" t="s">
        <v>21</v>
      </c>
      <c r="I1149" s="10" t="s">
        <v>121</v>
      </c>
      <c r="J1149" s="10" t="str">
        <f>""</f>
        <v/>
      </c>
      <c r="K1149" s="10" t="str">
        <f>"PFES1162561591_0001"</f>
        <v>PFES1162561591_0001</v>
      </c>
      <c r="L1149" s="10">
        <v>1</v>
      </c>
      <c r="M1149" s="10">
        <v>1</v>
      </c>
    </row>
    <row r="1150" spans="1:13">
      <c r="A1150" s="8">
        <v>42927</v>
      </c>
      <c r="B1150" s="9">
        <v>0.53472222222222221</v>
      </c>
      <c r="C1150" s="10" t="str">
        <f>"FES1162561481"</f>
        <v>FES1162561481</v>
      </c>
      <c r="D1150" s="10" t="s">
        <v>19</v>
      </c>
      <c r="E1150" s="10" t="s">
        <v>99</v>
      </c>
      <c r="F1150" s="10" t="str">
        <f>"2170569864 "</f>
        <v xml:space="preserve">2170569864 </v>
      </c>
      <c r="G1150" s="10" t="str">
        <f t="shared" si="44"/>
        <v>ON1</v>
      </c>
      <c r="H1150" s="10" t="s">
        <v>21</v>
      </c>
      <c r="I1150" s="10" t="s">
        <v>100</v>
      </c>
      <c r="J1150" s="10" t="str">
        <f>""</f>
        <v/>
      </c>
      <c r="K1150" s="10" t="str">
        <f>"PFES1162561481_0001"</f>
        <v>PFES1162561481_0001</v>
      </c>
      <c r="L1150" s="10">
        <v>1</v>
      </c>
      <c r="M1150" s="10">
        <v>2</v>
      </c>
    </row>
    <row r="1151" spans="1:13">
      <c r="A1151" s="8">
        <v>42927</v>
      </c>
      <c r="B1151" s="9">
        <v>0.53472222222222221</v>
      </c>
      <c r="C1151" s="10" t="str">
        <f>"FES1162561610"</f>
        <v>FES1162561610</v>
      </c>
      <c r="D1151" s="10" t="s">
        <v>19</v>
      </c>
      <c r="E1151" s="10" t="s">
        <v>707</v>
      </c>
      <c r="F1151" s="10" t="str">
        <f>"2170578026 "</f>
        <v xml:space="preserve">2170578026 </v>
      </c>
      <c r="G1151" s="10" t="str">
        <f t="shared" si="44"/>
        <v>ON1</v>
      </c>
      <c r="H1151" s="10" t="s">
        <v>21</v>
      </c>
      <c r="I1151" s="10" t="s">
        <v>402</v>
      </c>
      <c r="J1151" s="10" t="str">
        <f>""</f>
        <v/>
      </c>
      <c r="K1151" s="10" t="str">
        <f>"PFES1162561610_0001"</f>
        <v>PFES1162561610_0001</v>
      </c>
      <c r="L1151" s="10">
        <v>1</v>
      </c>
      <c r="M1151" s="10">
        <v>1</v>
      </c>
    </row>
    <row r="1152" spans="1:13">
      <c r="A1152" s="8">
        <v>42927</v>
      </c>
      <c r="B1152" s="9">
        <v>0.53402777777777777</v>
      </c>
      <c r="C1152" s="10" t="str">
        <f>"FES1162561621"</f>
        <v>FES1162561621</v>
      </c>
      <c r="D1152" s="10" t="s">
        <v>19</v>
      </c>
      <c r="E1152" s="10" t="s">
        <v>164</v>
      </c>
      <c r="F1152" s="10" t="str">
        <f>"2170578247 "</f>
        <v xml:space="preserve">2170578247 </v>
      </c>
      <c r="G1152" s="10" t="str">
        <f t="shared" si="44"/>
        <v>ON1</v>
      </c>
      <c r="H1152" s="10" t="s">
        <v>21</v>
      </c>
      <c r="I1152" s="10" t="s">
        <v>147</v>
      </c>
      <c r="J1152" s="10" t="str">
        <f>""</f>
        <v/>
      </c>
      <c r="K1152" s="10" t="str">
        <f>"PFES1162561621_0001"</f>
        <v>PFES1162561621_0001</v>
      </c>
      <c r="L1152" s="10">
        <v>1</v>
      </c>
      <c r="M1152" s="10">
        <v>1</v>
      </c>
    </row>
    <row r="1153" spans="1:13">
      <c r="A1153" s="8">
        <v>42927</v>
      </c>
      <c r="B1153" s="9">
        <v>0.53402777777777777</v>
      </c>
      <c r="C1153" s="10" t="str">
        <f>"FES1162561535"</f>
        <v>FES1162561535</v>
      </c>
      <c r="D1153" s="10" t="s">
        <v>19</v>
      </c>
      <c r="E1153" s="10" t="s">
        <v>447</v>
      </c>
      <c r="F1153" s="10" t="str">
        <f>"2170575882 "</f>
        <v xml:space="preserve">2170575882 </v>
      </c>
      <c r="G1153" s="10" t="str">
        <f t="shared" si="44"/>
        <v>ON1</v>
      </c>
      <c r="H1153" s="10" t="s">
        <v>21</v>
      </c>
      <c r="I1153" s="10" t="s">
        <v>259</v>
      </c>
      <c r="J1153" s="10" t="str">
        <f>""</f>
        <v/>
      </c>
      <c r="K1153" s="10" t="str">
        <f>"PFES1162561535_0001"</f>
        <v>PFES1162561535_0001</v>
      </c>
      <c r="L1153" s="10">
        <v>1</v>
      </c>
      <c r="M1153" s="10">
        <v>1</v>
      </c>
    </row>
    <row r="1154" spans="1:13">
      <c r="A1154" s="8">
        <v>42927</v>
      </c>
      <c r="B1154" s="9">
        <v>0.53402777777777777</v>
      </c>
      <c r="C1154" s="10" t="str">
        <f>"FES1162561651"</f>
        <v>FES1162561651</v>
      </c>
      <c r="D1154" s="10" t="s">
        <v>19</v>
      </c>
      <c r="E1154" s="10" t="s">
        <v>489</v>
      </c>
      <c r="F1154" s="10" t="str">
        <f>"2170575916 "</f>
        <v xml:space="preserve">2170575916 </v>
      </c>
      <c r="G1154" s="10" t="str">
        <f t="shared" si="44"/>
        <v>ON1</v>
      </c>
      <c r="H1154" s="10" t="s">
        <v>21</v>
      </c>
      <c r="I1154" s="10" t="s">
        <v>398</v>
      </c>
      <c r="J1154" s="10" t="str">
        <f>""</f>
        <v/>
      </c>
      <c r="K1154" s="10" t="str">
        <f>"PFES1162561651_0001"</f>
        <v>PFES1162561651_0001</v>
      </c>
      <c r="L1154" s="10">
        <v>1</v>
      </c>
      <c r="M1154" s="10">
        <v>1</v>
      </c>
    </row>
    <row r="1155" spans="1:13">
      <c r="A1155" s="8">
        <v>42927</v>
      </c>
      <c r="B1155" s="9">
        <v>0.53333333333333333</v>
      </c>
      <c r="C1155" s="10" t="str">
        <f>"FES1162561613"</f>
        <v>FES1162561613</v>
      </c>
      <c r="D1155" s="10" t="s">
        <v>19</v>
      </c>
      <c r="E1155" s="10" t="s">
        <v>708</v>
      </c>
      <c r="F1155" s="10" t="str">
        <f>"2170578079 "</f>
        <v xml:space="preserve">2170578079 </v>
      </c>
      <c r="G1155" s="10" t="str">
        <f t="shared" si="44"/>
        <v>ON1</v>
      </c>
      <c r="H1155" s="10" t="s">
        <v>21</v>
      </c>
      <c r="I1155" s="10" t="s">
        <v>130</v>
      </c>
      <c r="J1155" s="10" t="str">
        <f>""</f>
        <v/>
      </c>
      <c r="K1155" s="10" t="str">
        <f>"PFES1162561613_0001"</f>
        <v>PFES1162561613_0001</v>
      </c>
      <c r="L1155" s="10">
        <v>1</v>
      </c>
      <c r="M1155" s="10">
        <v>1</v>
      </c>
    </row>
    <row r="1156" spans="1:13">
      <c r="A1156" s="8">
        <v>42927</v>
      </c>
      <c r="B1156" s="9">
        <v>0.53333333333333333</v>
      </c>
      <c r="C1156" s="10" t="str">
        <f>"FES1162561583"</f>
        <v>FES1162561583</v>
      </c>
      <c r="D1156" s="10" t="s">
        <v>19</v>
      </c>
      <c r="E1156" s="10" t="s">
        <v>204</v>
      </c>
      <c r="F1156" s="10" t="str">
        <f>"2170576514 "</f>
        <v xml:space="preserve">2170576514 </v>
      </c>
      <c r="G1156" s="10" t="str">
        <f t="shared" si="44"/>
        <v>ON1</v>
      </c>
      <c r="H1156" s="10" t="s">
        <v>21</v>
      </c>
      <c r="I1156" s="10" t="s">
        <v>205</v>
      </c>
      <c r="J1156" s="10" t="str">
        <f>""</f>
        <v/>
      </c>
      <c r="K1156" s="10" t="str">
        <f>"PFES1162561583_0001"</f>
        <v>PFES1162561583_0001</v>
      </c>
      <c r="L1156" s="10">
        <v>1</v>
      </c>
      <c r="M1156" s="10">
        <v>1</v>
      </c>
    </row>
    <row r="1157" spans="1:13">
      <c r="A1157" s="8">
        <v>42927</v>
      </c>
      <c r="B1157" s="9">
        <v>0.53333333333333333</v>
      </c>
      <c r="C1157" s="10" t="str">
        <f>"FES1162561572"</f>
        <v>FES1162561572</v>
      </c>
      <c r="D1157" s="10" t="s">
        <v>19</v>
      </c>
      <c r="E1157" s="10" t="s">
        <v>550</v>
      </c>
      <c r="F1157" s="10" t="str">
        <f>"2170576415 "</f>
        <v xml:space="preserve">2170576415 </v>
      </c>
      <c r="G1157" s="10" t="str">
        <f t="shared" si="44"/>
        <v>ON1</v>
      </c>
      <c r="H1157" s="10" t="s">
        <v>21</v>
      </c>
      <c r="I1157" s="10" t="s">
        <v>161</v>
      </c>
      <c r="J1157" s="10" t="str">
        <f>""</f>
        <v/>
      </c>
      <c r="K1157" s="10" t="str">
        <f>"PFES1162561572_0001"</f>
        <v>PFES1162561572_0001</v>
      </c>
      <c r="L1157" s="10">
        <v>1</v>
      </c>
      <c r="M1157" s="10">
        <v>1</v>
      </c>
    </row>
    <row r="1158" spans="1:13">
      <c r="A1158" s="8">
        <v>42927</v>
      </c>
      <c r="B1158" s="9">
        <v>0.53333333333333333</v>
      </c>
      <c r="C1158" s="10" t="str">
        <f>"FES1162561617"</f>
        <v>FES1162561617</v>
      </c>
      <c r="D1158" s="10" t="s">
        <v>19</v>
      </c>
      <c r="E1158" s="10" t="s">
        <v>494</v>
      </c>
      <c r="F1158" s="10" t="str">
        <f>"2170578182 "</f>
        <v xml:space="preserve">2170578182 </v>
      </c>
      <c r="G1158" s="10" t="str">
        <f t="shared" si="44"/>
        <v>ON1</v>
      </c>
      <c r="H1158" s="10" t="s">
        <v>21</v>
      </c>
      <c r="I1158" s="10" t="s">
        <v>495</v>
      </c>
      <c r="J1158" s="10" t="str">
        <f>""</f>
        <v/>
      </c>
      <c r="K1158" s="10" t="str">
        <f>"PFES1162561617_0001"</f>
        <v>PFES1162561617_0001</v>
      </c>
      <c r="L1158" s="10">
        <v>1</v>
      </c>
      <c r="M1158" s="10">
        <v>1</v>
      </c>
    </row>
    <row r="1159" spans="1:13">
      <c r="A1159" s="8">
        <v>42927</v>
      </c>
      <c r="B1159" s="9">
        <v>0.53263888888888888</v>
      </c>
      <c r="C1159" s="10" t="str">
        <f>"FES1162561487"</f>
        <v>FES1162561487</v>
      </c>
      <c r="D1159" s="10" t="s">
        <v>19</v>
      </c>
      <c r="E1159" s="10" t="s">
        <v>447</v>
      </c>
      <c r="F1159" s="10" t="str">
        <f>"2170572525 "</f>
        <v xml:space="preserve">2170572525 </v>
      </c>
      <c r="G1159" s="10" t="str">
        <f t="shared" si="44"/>
        <v>ON1</v>
      </c>
      <c r="H1159" s="10" t="s">
        <v>21</v>
      </c>
      <c r="I1159" s="10" t="s">
        <v>259</v>
      </c>
      <c r="J1159" s="10" t="str">
        <f>""</f>
        <v/>
      </c>
      <c r="K1159" s="10" t="str">
        <f>"PFES1162561487_0001"</f>
        <v>PFES1162561487_0001</v>
      </c>
      <c r="L1159" s="10">
        <v>1</v>
      </c>
      <c r="M1159" s="10">
        <v>1</v>
      </c>
    </row>
    <row r="1160" spans="1:13">
      <c r="A1160" s="8">
        <v>42927</v>
      </c>
      <c r="B1160" s="9">
        <v>0.53263888888888888</v>
      </c>
      <c r="C1160" s="10" t="str">
        <f>"FES1162561650"</f>
        <v>FES1162561650</v>
      </c>
      <c r="D1160" s="10" t="s">
        <v>19</v>
      </c>
      <c r="E1160" s="10" t="s">
        <v>62</v>
      </c>
      <c r="F1160" s="10" t="str">
        <f>"2170575900 "</f>
        <v xml:space="preserve">2170575900 </v>
      </c>
      <c r="G1160" s="10" t="str">
        <f t="shared" si="44"/>
        <v>ON1</v>
      </c>
      <c r="H1160" s="10" t="s">
        <v>21</v>
      </c>
      <c r="I1160" s="10" t="s">
        <v>40</v>
      </c>
      <c r="J1160" s="10" t="str">
        <f>""</f>
        <v/>
      </c>
      <c r="K1160" s="10" t="str">
        <f>"PFES1162561650_0001"</f>
        <v>PFES1162561650_0001</v>
      </c>
      <c r="L1160" s="10">
        <v>1</v>
      </c>
      <c r="M1160" s="10">
        <v>1</v>
      </c>
    </row>
    <row r="1161" spans="1:13">
      <c r="A1161" s="8">
        <v>42927</v>
      </c>
      <c r="B1161" s="9">
        <v>0.53263888888888888</v>
      </c>
      <c r="C1161" s="10" t="str">
        <f>"FES1162561508"</f>
        <v>FES1162561508</v>
      </c>
      <c r="D1161" s="10" t="s">
        <v>19</v>
      </c>
      <c r="E1161" s="10" t="s">
        <v>709</v>
      </c>
      <c r="F1161" s="10" t="str">
        <f>"2170575630 "</f>
        <v xml:space="preserve">2170575630 </v>
      </c>
      <c r="G1161" s="10" t="str">
        <f t="shared" si="44"/>
        <v>ON1</v>
      </c>
      <c r="H1161" s="10" t="s">
        <v>21</v>
      </c>
      <c r="I1161" s="10" t="s">
        <v>224</v>
      </c>
      <c r="J1161" s="10" t="str">
        <f>""</f>
        <v/>
      </c>
      <c r="K1161" s="10" t="str">
        <f>"PFES1162561508_0001"</f>
        <v>PFES1162561508_0001</v>
      </c>
      <c r="L1161" s="10">
        <v>1</v>
      </c>
      <c r="M1161" s="10">
        <v>1</v>
      </c>
    </row>
    <row r="1162" spans="1:13">
      <c r="A1162" s="8">
        <v>42927</v>
      </c>
      <c r="B1162" s="9">
        <v>0.53194444444444444</v>
      </c>
      <c r="C1162" s="10" t="str">
        <f>"FES1162561493"</f>
        <v>FES1162561493</v>
      </c>
      <c r="D1162" s="10" t="s">
        <v>19</v>
      </c>
      <c r="E1162" s="10" t="s">
        <v>710</v>
      </c>
      <c r="F1162" s="10" t="str">
        <f>"2170575402 "</f>
        <v xml:space="preserve">2170575402 </v>
      </c>
      <c r="G1162" s="10" t="str">
        <f t="shared" si="44"/>
        <v>ON1</v>
      </c>
      <c r="H1162" s="10" t="s">
        <v>21</v>
      </c>
      <c r="I1162" s="10" t="s">
        <v>711</v>
      </c>
      <c r="J1162" s="10" t="str">
        <f>""</f>
        <v/>
      </c>
      <c r="K1162" s="10" t="str">
        <f>"PFES1162561493_0001"</f>
        <v>PFES1162561493_0001</v>
      </c>
      <c r="L1162" s="10">
        <v>1</v>
      </c>
      <c r="M1162" s="10">
        <v>1</v>
      </c>
    </row>
    <row r="1163" spans="1:13">
      <c r="A1163" s="8">
        <v>42927</v>
      </c>
      <c r="B1163" s="9">
        <v>0.53194444444444444</v>
      </c>
      <c r="C1163" s="10" t="str">
        <f>"FES1162561584"</f>
        <v>FES1162561584</v>
      </c>
      <c r="D1163" s="10" t="s">
        <v>19</v>
      </c>
      <c r="E1163" s="10" t="s">
        <v>195</v>
      </c>
      <c r="F1163" s="10" t="str">
        <f>"2170576625 "</f>
        <v xml:space="preserve">2170576625 </v>
      </c>
      <c r="G1163" s="10" t="str">
        <f t="shared" si="44"/>
        <v>ON1</v>
      </c>
      <c r="H1163" s="10" t="s">
        <v>21</v>
      </c>
      <c r="I1163" s="10" t="s">
        <v>196</v>
      </c>
      <c r="J1163" s="10" t="str">
        <f>""</f>
        <v/>
      </c>
      <c r="K1163" s="10" t="str">
        <f>"PFES1162561584_0001"</f>
        <v>PFES1162561584_0001</v>
      </c>
      <c r="L1163" s="10">
        <v>1</v>
      </c>
      <c r="M1163" s="10">
        <v>2</v>
      </c>
    </row>
    <row r="1164" spans="1:13">
      <c r="A1164" s="8">
        <v>42927</v>
      </c>
      <c r="B1164" s="9">
        <v>0.53194444444444444</v>
      </c>
      <c r="C1164" s="10" t="str">
        <f>"FES1162561612"</f>
        <v>FES1162561612</v>
      </c>
      <c r="D1164" s="10" t="s">
        <v>19</v>
      </c>
      <c r="E1164" s="10" t="s">
        <v>712</v>
      </c>
      <c r="F1164" s="10" t="str">
        <f>"2170578058 "</f>
        <v xml:space="preserve">2170578058 </v>
      </c>
      <c r="G1164" s="10" t="str">
        <f t="shared" si="44"/>
        <v>ON1</v>
      </c>
      <c r="H1164" s="10" t="s">
        <v>21</v>
      </c>
      <c r="I1164" s="10" t="s">
        <v>228</v>
      </c>
      <c r="J1164" s="10" t="str">
        <f>""</f>
        <v/>
      </c>
      <c r="K1164" s="10" t="str">
        <f>"PFES1162561612_0001"</f>
        <v>PFES1162561612_0001</v>
      </c>
      <c r="L1164" s="10">
        <v>1</v>
      </c>
      <c r="M1164" s="10">
        <v>1</v>
      </c>
    </row>
    <row r="1165" spans="1:13">
      <c r="A1165" s="8">
        <v>42927</v>
      </c>
      <c r="B1165" s="9">
        <v>0.53194444444444444</v>
      </c>
      <c r="C1165" s="10" t="str">
        <f>"FES1162561518"</f>
        <v>FES1162561518</v>
      </c>
      <c r="D1165" s="10" t="s">
        <v>19</v>
      </c>
      <c r="E1165" s="10" t="s">
        <v>39</v>
      </c>
      <c r="F1165" s="10" t="str">
        <f>"2170575704 "</f>
        <v xml:space="preserve">2170575704 </v>
      </c>
      <c r="G1165" s="10" t="str">
        <f t="shared" si="44"/>
        <v>ON1</v>
      </c>
      <c r="H1165" s="10" t="s">
        <v>21</v>
      </c>
      <c r="I1165" s="10" t="s">
        <v>40</v>
      </c>
      <c r="J1165" s="10" t="str">
        <f>""</f>
        <v/>
      </c>
      <c r="K1165" s="10" t="str">
        <f>"PFES1162561518_0001"</f>
        <v>PFES1162561518_0001</v>
      </c>
      <c r="L1165" s="10">
        <v>1</v>
      </c>
      <c r="M1165" s="10">
        <v>1.38</v>
      </c>
    </row>
    <row r="1166" spans="1:13">
      <c r="A1166" s="8">
        <v>42927</v>
      </c>
      <c r="B1166" s="9">
        <v>0.53125</v>
      </c>
      <c r="C1166" s="10" t="str">
        <f>"FES1162561662"</f>
        <v>FES1162561662</v>
      </c>
      <c r="D1166" s="10" t="s">
        <v>19</v>
      </c>
      <c r="E1166" s="10" t="s">
        <v>306</v>
      </c>
      <c r="F1166" s="10" t="str">
        <f>"2170578231 "</f>
        <v xml:space="preserve">2170578231 </v>
      </c>
      <c r="G1166" s="10" t="str">
        <f t="shared" si="44"/>
        <v>ON1</v>
      </c>
      <c r="H1166" s="10" t="s">
        <v>21</v>
      </c>
      <c r="I1166" s="10" t="s">
        <v>307</v>
      </c>
      <c r="J1166" s="10" t="str">
        <f>""</f>
        <v/>
      </c>
      <c r="K1166" s="10" t="str">
        <f>"PFES1162561662_0001"</f>
        <v>PFES1162561662_0001</v>
      </c>
      <c r="L1166" s="10">
        <v>1</v>
      </c>
      <c r="M1166" s="10">
        <v>1</v>
      </c>
    </row>
    <row r="1167" spans="1:13">
      <c r="A1167" s="8">
        <v>42927</v>
      </c>
      <c r="B1167" s="9">
        <v>0.53125</v>
      </c>
      <c r="C1167" s="10" t="str">
        <f>"FES1162561594"</f>
        <v>FES1162561594</v>
      </c>
      <c r="D1167" s="10" t="s">
        <v>19</v>
      </c>
      <c r="E1167" s="10" t="s">
        <v>320</v>
      </c>
      <c r="F1167" s="10" t="str">
        <f>"2170577192 "</f>
        <v xml:space="preserve">2170577192 </v>
      </c>
      <c r="G1167" s="10" t="str">
        <f t="shared" si="44"/>
        <v>ON1</v>
      </c>
      <c r="H1167" s="10" t="s">
        <v>21</v>
      </c>
      <c r="I1167" s="10" t="s">
        <v>32</v>
      </c>
      <c r="J1167" s="10" t="str">
        <f>""</f>
        <v/>
      </c>
      <c r="K1167" s="10" t="str">
        <f>"PFES1162561594_0001"</f>
        <v>PFES1162561594_0001</v>
      </c>
      <c r="L1167" s="10">
        <v>1</v>
      </c>
      <c r="M1167" s="10">
        <v>1</v>
      </c>
    </row>
    <row r="1168" spans="1:13">
      <c r="A1168" s="8">
        <v>42927</v>
      </c>
      <c r="B1168" s="9">
        <v>0.53125</v>
      </c>
      <c r="C1168" s="10" t="str">
        <f>"FES1162561497"</f>
        <v>FES1162561497</v>
      </c>
      <c r="D1168" s="10" t="s">
        <v>19</v>
      </c>
      <c r="E1168" s="10" t="s">
        <v>160</v>
      </c>
      <c r="F1168" s="10" t="str">
        <f>"2170574018 "</f>
        <v xml:space="preserve">2170574018 </v>
      </c>
      <c r="G1168" s="10" t="str">
        <f t="shared" si="44"/>
        <v>ON1</v>
      </c>
      <c r="H1168" s="10" t="s">
        <v>21</v>
      </c>
      <c r="I1168" s="10" t="s">
        <v>161</v>
      </c>
      <c r="J1168" s="10" t="str">
        <f>""</f>
        <v/>
      </c>
      <c r="K1168" s="10" t="str">
        <f>"PFES1162561497_0001"</f>
        <v>PFES1162561497_0001</v>
      </c>
      <c r="L1168" s="10">
        <v>1</v>
      </c>
      <c r="M1168" s="10">
        <v>1</v>
      </c>
    </row>
    <row r="1169" spans="1:13">
      <c r="A1169" s="8">
        <v>42927</v>
      </c>
      <c r="B1169" s="9">
        <v>0.53055555555555556</v>
      </c>
      <c r="C1169" s="10" t="str">
        <f>"FES1162561714"</f>
        <v>FES1162561714</v>
      </c>
      <c r="D1169" s="10" t="s">
        <v>19</v>
      </c>
      <c r="E1169" s="10" t="s">
        <v>713</v>
      </c>
      <c r="F1169" s="10" t="str">
        <f>"2170575350 "</f>
        <v xml:space="preserve">2170575350 </v>
      </c>
      <c r="G1169" s="10" t="str">
        <f t="shared" si="44"/>
        <v>ON1</v>
      </c>
      <c r="H1169" s="10" t="s">
        <v>21</v>
      </c>
      <c r="I1169" s="10" t="s">
        <v>500</v>
      </c>
      <c r="J1169" s="10" t="str">
        <f>""</f>
        <v/>
      </c>
      <c r="K1169" s="10" t="str">
        <f>"PFES1162561714_0001"</f>
        <v>PFES1162561714_0001</v>
      </c>
      <c r="L1169" s="10">
        <v>1</v>
      </c>
      <c r="M1169" s="10">
        <v>1</v>
      </c>
    </row>
    <row r="1170" spans="1:13">
      <c r="A1170" s="8">
        <v>42927</v>
      </c>
      <c r="B1170" s="9">
        <v>0.53055555555555556</v>
      </c>
      <c r="C1170" s="10" t="str">
        <f>"FES1162561668"</f>
        <v>FES1162561668</v>
      </c>
      <c r="D1170" s="10" t="s">
        <v>19</v>
      </c>
      <c r="E1170" s="10" t="s">
        <v>210</v>
      </c>
      <c r="F1170" s="10" t="str">
        <f>"2170578296 "</f>
        <v xml:space="preserve">2170578296 </v>
      </c>
      <c r="G1170" s="10" t="str">
        <f t="shared" si="44"/>
        <v>ON1</v>
      </c>
      <c r="H1170" s="10" t="s">
        <v>21</v>
      </c>
      <c r="I1170" s="10" t="s">
        <v>32</v>
      </c>
      <c r="J1170" s="10" t="str">
        <f>""</f>
        <v/>
      </c>
      <c r="K1170" s="10" t="str">
        <f>"PFES1162561668_0001"</f>
        <v>PFES1162561668_0001</v>
      </c>
      <c r="L1170" s="10">
        <v>1</v>
      </c>
      <c r="M1170" s="10">
        <v>1</v>
      </c>
    </row>
    <row r="1171" spans="1:13">
      <c r="A1171" s="8">
        <v>42927</v>
      </c>
      <c r="B1171" s="9">
        <v>0.53055555555555556</v>
      </c>
      <c r="C1171" s="10" t="str">
        <f>"FES1162561490"</f>
        <v>FES1162561490</v>
      </c>
      <c r="D1171" s="10" t="s">
        <v>19</v>
      </c>
      <c r="E1171" s="10" t="s">
        <v>62</v>
      </c>
      <c r="F1171" s="10" t="str">
        <f>"2170572973 "</f>
        <v xml:space="preserve">2170572973 </v>
      </c>
      <c r="G1171" s="10" t="str">
        <f t="shared" si="44"/>
        <v>ON1</v>
      </c>
      <c r="H1171" s="10" t="s">
        <v>21</v>
      </c>
      <c r="I1171" s="10" t="s">
        <v>40</v>
      </c>
      <c r="J1171" s="10" t="str">
        <f>""</f>
        <v/>
      </c>
      <c r="K1171" s="10" t="str">
        <f>"PFES1162561490_0001"</f>
        <v>PFES1162561490_0001</v>
      </c>
      <c r="L1171" s="10">
        <v>1</v>
      </c>
      <c r="M1171" s="10">
        <v>2</v>
      </c>
    </row>
    <row r="1172" spans="1:13">
      <c r="A1172" s="8">
        <v>42927</v>
      </c>
      <c r="B1172" s="9">
        <v>0.52986111111111112</v>
      </c>
      <c r="C1172" s="10" t="str">
        <f>"FES1162561531"</f>
        <v>FES1162561531</v>
      </c>
      <c r="D1172" s="10" t="s">
        <v>19</v>
      </c>
      <c r="E1172" s="10" t="s">
        <v>154</v>
      </c>
      <c r="F1172" s="10" t="str">
        <f>"2170575868 "</f>
        <v xml:space="preserve">2170575868 </v>
      </c>
      <c r="G1172" s="10" t="str">
        <f t="shared" si="44"/>
        <v>ON1</v>
      </c>
      <c r="H1172" s="10" t="s">
        <v>21</v>
      </c>
      <c r="I1172" s="10" t="s">
        <v>130</v>
      </c>
      <c r="J1172" s="10" t="str">
        <f>""</f>
        <v/>
      </c>
      <c r="K1172" s="10" t="str">
        <f>"PFES1162561531_0001"</f>
        <v>PFES1162561531_0001</v>
      </c>
      <c r="L1172" s="10">
        <v>1</v>
      </c>
      <c r="M1172" s="10">
        <v>3</v>
      </c>
    </row>
    <row r="1173" spans="1:13">
      <c r="A1173" s="8">
        <v>42927</v>
      </c>
      <c r="B1173" s="9">
        <v>0.52986111111111112</v>
      </c>
      <c r="C1173" s="10" t="str">
        <f>"FES1162561642"</f>
        <v>FES1162561642</v>
      </c>
      <c r="D1173" s="10" t="s">
        <v>19</v>
      </c>
      <c r="E1173" s="10" t="s">
        <v>127</v>
      </c>
      <c r="F1173" s="10" t="str">
        <f>"2170572997 "</f>
        <v xml:space="preserve">2170572997 </v>
      </c>
      <c r="G1173" s="10" t="str">
        <f t="shared" si="44"/>
        <v>ON1</v>
      </c>
      <c r="H1173" s="10" t="s">
        <v>21</v>
      </c>
      <c r="I1173" s="10" t="s">
        <v>128</v>
      </c>
      <c r="J1173" s="10" t="str">
        <f>""</f>
        <v/>
      </c>
      <c r="K1173" s="10" t="str">
        <f>"PFES1162561642_0001"</f>
        <v>PFES1162561642_0001</v>
      </c>
      <c r="L1173" s="10">
        <v>1</v>
      </c>
      <c r="M1173" s="10">
        <v>1</v>
      </c>
    </row>
    <row r="1174" spans="1:13">
      <c r="A1174" s="8">
        <v>42927</v>
      </c>
      <c r="B1174" s="9">
        <v>0.52986111111111112</v>
      </c>
      <c r="C1174" s="10" t="str">
        <f>"FES1162561649"</f>
        <v>FES1162561649</v>
      </c>
      <c r="D1174" s="10" t="s">
        <v>19</v>
      </c>
      <c r="E1174" s="10" t="s">
        <v>184</v>
      </c>
      <c r="F1174" s="10" t="str">
        <f>"217057582 "</f>
        <v xml:space="preserve">217057582 </v>
      </c>
      <c r="G1174" s="10" t="str">
        <f t="shared" si="44"/>
        <v>ON1</v>
      </c>
      <c r="H1174" s="10" t="s">
        <v>21</v>
      </c>
      <c r="I1174" s="10" t="s">
        <v>185</v>
      </c>
      <c r="J1174" s="10" t="str">
        <f>""</f>
        <v/>
      </c>
      <c r="K1174" s="10" t="str">
        <f>"PFES1162561649_0001"</f>
        <v>PFES1162561649_0001</v>
      </c>
      <c r="L1174" s="10">
        <v>1</v>
      </c>
      <c r="M1174" s="10">
        <v>1</v>
      </c>
    </row>
    <row r="1175" spans="1:13">
      <c r="A1175" s="8">
        <v>42927</v>
      </c>
      <c r="B1175" s="9">
        <v>0.52986111111111112</v>
      </c>
      <c r="C1175" s="10" t="str">
        <f>"FES1162561515"</f>
        <v>FES1162561515</v>
      </c>
      <c r="D1175" s="10" t="s">
        <v>19</v>
      </c>
      <c r="E1175" s="10" t="s">
        <v>51</v>
      </c>
      <c r="F1175" s="10" t="str">
        <f>"217057057701 "</f>
        <v xml:space="preserve">217057057701 </v>
      </c>
      <c r="G1175" s="10" t="str">
        <f t="shared" si="44"/>
        <v>ON1</v>
      </c>
      <c r="H1175" s="10" t="s">
        <v>21</v>
      </c>
      <c r="I1175" s="10" t="s">
        <v>52</v>
      </c>
      <c r="J1175" s="10" t="str">
        <f>""</f>
        <v/>
      </c>
      <c r="K1175" s="10" t="str">
        <f>"PFES1162561515_0001"</f>
        <v>PFES1162561515_0001</v>
      </c>
      <c r="L1175" s="10">
        <v>1</v>
      </c>
      <c r="M1175" s="10">
        <v>3</v>
      </c>
    </row>
    <row r="1176" spans="1:13">
      <c r="A1176" s="8">
        <v>42927</v>
      </c>
      <c r="B1176" s="9">
        <v>0.52916666666666667</v>
      </c>
      <c r="C1176" s="10" t="str">
        <f>"FES1162561504"</f>
        <v>FES1162561504</v>
      </c>
      <c r="D1176" s="10" t="s">
        <v>19</v>
      </c>
      <c r="E1176" s="10" t="s">
        <v>249</v>
      </c>
      <c r="F1176" s="10" t="str">
        <f>"2170574772 "</f>
        <v xml:space="preserve">2170574772 </v>
      </c>
      <c r="G1176" s="10" t="str">
        <f t="shared" si="44"/>
        <v>ON1</v>
      </c>
      <c r="H1176" s="10" t="s">
        <v>21</v>
      </c>
      <c r="I1176" s="10" t="s">
        <v>166</v>
      </c>
      <c r="J1176" s="10" t="str">
        <f>""</f>
        <v/>
      </c>
      <c r="K1176" s="10" t="str">
        <f>"PFES1162561504_0001"</f>
        <v>PFES1162561504_0001</v>
      </c>
      <c r="L1176" s="10">
        <v>1</v>
      </c>
      <c r="M1176" s="10">
        <v>3</v>
      </c>
    </row>
    <row r="1177" spans="1:13">
      <c r="A1177" s="8">
        <v>42927</v>
      </c>
      <c r="B1177" s="9">
        <v>0.52847222222222223</v>
      </c>
      <c r="C1177" s="10" t="str">
        <f>"FES1162561706"</f>
        <v>FES1162561706</v>
      </c>
      <c r="D1177" s="10" t="s">
        <v>19</v>
      </c>
      <c r="E1177" s="10" t="s">
        <v>436</v>
      </c>
      <c r="F1177" s="10" t="str">
        <f>"2170578343 "</f>
        <v xml:space="preserve">2170578343 </v>
      </c>
      <c r="G1177" s="10" t="str">
        <f t="shared" si="44"/>
        <v>ON1</v>
      </c>
      <c r="H1177" s="10" t="s">
        <v>21</v>
      </c>
      <c r="I1177" s="10" t="s">
        <v>252</v>
      </c>
      <c r="J1177" s="10" t="str">
        <f>""</f>
        <v/>
      </c>
      <c r="K1177" s="10" t="str">
        <f>"PFES1162561706_0001"</f>
        <v>PFES1162561706_0001</v>
      </c>
      <c r="L1177" s="10">
        <v>1</v>
      </c>
      <c r="M1177" s="10">
        <v>4</v>
      </c>
    </row>
    <row r="1178" spans="1:13">
      <c r="A1178" s="8">
        <v>42927</v>
      </c>
      <c r="B1178" s="9">
        <v>0.52777777777777779</v>
      </c>
      <c r="C1178" s="10" t="str">
        <f>"FES1162561551"</f>
        <v>FES1162561551</v>
      </c>
      <c r="D1178" s="10" t="s">
        <v>19</v>
      </c>
      <c r="E1178" s="10" t="s">
        <v>237</v>
      </c>
      <c r="F1178" s="10" t="str">
        <f>"2170576044 "</f>
        <v xml:space="preserve">2170576044 </v>
      </c>
      <c r="G1178" s="10" t="str">
        <f t="shared" si="44"/>
        <v>ON1</v>
      </c>
      <c r="H1178" s="10" t="s">
        <v>21</v>
      </c>
      <c r="I1178" s="10" t="s">
        <v>238</v>
      </c>
      <c r="J1178" s="10" t="str">
        <f>""</f>
        <v/>
      </c>
      <c r="K1178" s="10" t="str">
        <f>"PFES1162561551_0001"</f>
        <v>PFES1162561551_0001</v>
      </c>
      <c r="L1178" s="10">
        <v>1</v>
      </c>
      <c r="M1178" s="10">
        <v>1</v>
      </c>
    </row>
    <row r="1179" spans="1:13">
      <c r="A1179" s="8">
        <v>42927</v>
      </c>
      <c r="B1179" s="9">
        <v>0.50763888888888886</v>
      </c>
      <c r="C1179" s="10" t="str">
        <f>"009935791627"</f>
        <v>009935791627</v>
      </c>
      <c r="D1179" s="10" t="s">
        <v>19</v>
      </c>
      <c r="E1179" s="10" t="s">
        <v>80</v>
      </c>
      <c r="F1179" s="10" t="str">
        <f>"1162559812 "</f>
        <v xml:space="preserve">1162559812 </v>
      </c>
      <c r="G1179" s="10" t="str">
        <f t="shared" si="44"/>
        <v>ON1</v>
      </c>
      <c r="H1179" s="10" t="s">
        <v>21</v>
      </c>
      <c r="I1179" s="10" t="s">
        <v>36</v>
      </c>
      <c r="J1179" s="10" t="str">
        <f>""</f>
        <v/>
      </c>
      <c r="K1179" s="10" t="str">
        <f>"P009935791627_0001"</f>
        <v>P009935791627_0001</v>
      </c>
      <c r="L1179" s="10">
        <v>1</v>
      </c>
      <c r="M1179" s="10">
        <v>4</v>
      </c>
    </row>
    <row r="1180" spans="1:13">
      <c r="A1180" s="8">
        <v>42927</v>
      </c>
      <c r="B1180" s="9">
        <v>0.47638888888888892</v>
      </c>
      <c r="C1180" s="10" t="str">
        <f>"FES1162561512"</f>
        <v>FES1162561512</v>
      </c>
      <c r="D1180" s="10" t="s">
        <v>19</v>
      </c>
      <c r="E1180" s="10" t="s">
        <v>255</v>
      </c>
      <c r="F1180" s="10" t="str">
        <f>"2170575680 "</f>
        <v xml:space="preserve">2170575680 </v>
      </c>
      <c r="G1180" s="10" t="str">
        <f t="shared" si="44"/>
        <v>ON1</v>
      </c>
      <c r="H1180" s="10" t="s">
        <v>21</v>
      </c>
      <c r="I1180" s="10" t="s">
        <v>256</v>
      </c>
      <c r="J1180" s="10" t="str">
        <f>""</f>
        <v/>
      </c>
      <c r="K1180" s="10" t="str">
        <f>"PFES1162561512_0001"</f>
        <v>PFES1162561512_0001</v>
      </c>
      <c r="L1180" s="10">
        <v>1</v>
      </c>
      <c r="M1180" s="10">
        <v>1</v>
      </c>
    </row>
    <row r="1181" spans="1:13">
      <c r="A1181" s="8">
        <v>42927</v>
      </c>
      <c r="B1181" s="9">
        <v>0.47569444444444442</v>
      </c>
      <c r="C1181" s="10" t="str">
        <f>"FES1162561527"</f>
        <v>FES1162561527</v>
      </c>
      <c r="D1181" s="10" t="s">
        <v>19</v>
      </c>
      <c r="E1181" s="10" t="s">
        <v>255</v>
      </c>
      <c r="F1181" s="10" t="str">
        <f>"2170575825 "</f>
        <v xml:space="preserve">2170575825 </v>
      </c>
      <c r="G1181" s="10" t="str">
        <f t="shared" si="44"/>
        <v>ON1</v>
      </c>
      <c r="H1181" s="10" t="s">
        <v>21</v>
      </c>
      <c r="I1181" s="10" t="s">
        <v>256</v>
      </c>
      <c r="J1181" s="10" t="str">
        <f>""</f>
        <v/>
      </c>
      <c r="K1181" s="10" t="str">
        <f>"PFES1162561527_0001"</f>
        <v>PFES1162561527_0001</v>
      </c>
      <c r="L1181" s="10">
        <v>1</v>
      </c>
      <c r="M1181" s="10">
        <v>12</v>
      </c>
    </row>
    <row r="1182" spans="1:13">
      <c r="A1182" s="8">
        <v>42927</v>
      </c>
      <c r="B1182" s="9">
        <v>0.47430555555555554</v>
      </c>
      <c r="C1182" s="10" t="str">
        <f>"FES1162561499"</f>
        <v>FES1162561499</v>
      </c>
      <c r="D1182" s="10" t="s">
        <v>19</v>
      </c>
      <c r="E1182" s="10" t="s">
        <v>41</v>
      </c>
      <c r="F1182" s="10" t="str">
        <f>"2170574186 "</f>
        <v xml:space="preserve">2170574186 </v>
      </c>
      <c r="G1182" s="10" t="str">
        <f t="shared" si="44"/>
        <v>ON1</v>
      </c>
      <c r="H1182" s="10" t="s">
        <v>21</v>
      </c>
      <c r="I1182" s="10" t="s">
        <v>42</v>
      </c>
      <c r="J1182" s="10" t="str">
        <f>""</f>
        <v/>
      </c>
      <c r="K1182" s="10" t="str">
        <f>"PFES1162561499_0001"</f>
        <v>PFES1162561499_0001</v>
      </c>
      <c r="L1182" s="10">
        <v>1</v>
      </c>
      <c r="M1182" s="10">
        <v>2</v>
      </c>
    </row>
    <row r="1183" spans="1:13">
      <c r="A1183" s="8">
        <v>42927</v>
      </c>
      <c r="B1183" s="9">
        <v>0.47222222222222227</v>
      </c>
      <c r="C1183" s="10" t="str">
        <f>"FES1162561672"</f>
        <v>FES1162561672</v>
      </c>
      <c r="D1183" s="10" t="s">
        <v>19</v>
      </c>
      <c r="E1183" s="10" t="s">
        <v>714</v>
      </c>
      <c r="F1183" s="10" t="str">
        <f>"2170578302 "</f>
        <v xml:space="preserve">2170578302 </v>
      </c>
      <c r="G1183" s="10" t="str">
        <f>"DBC"</f>
        <v>DBC</v>
      </c>
      <c r="H1183" s="10" t="s">
        <v>21</v>
      </c>
      <c r="I1183" s="10" t="s">
        <v>261</v>
      </c>
      <c r="J1183" s="10" t="str">
        <f>""</f>
        <v/>
      </c>
      <c r="K1183" s="10" t="str">
        <f>"PFES1162561672_0001"</f>
        <v>PFES1162561672_0001</v>
      </c>
      <c r="L1183" s="10">
        <v>5</v>
      </c>
      <c r="M1183" s="10">
        <v>76</v>
      </c>
    </row>
    <row r="1184" spans="1:13">
      <c r="A1184" s="8">
        <v>42927</v>
      </c>
      <c r="B1184" s="9">
        <v>0.47222222222222227</v>
      </c>
      <c r="C1184" s="10" t="str">
        <f>"FES1162561672"</f>
        <v>FES1162561672</v>
      </c>
      <c r="D1184" s="10" t="s">
        <v>19</v>
      </c>
      <c r="E1184" s="10" t="s">
        <v>714</v>
      </c>
      <c r="F1184" s="10" t="str">
        <f t="shared" ref="F1184:F1187" si="45">"2170578302 "</f>
        <v xml:space="preserve">2170578302 </v>
      </c>
      <c r="G1184" s="10" t="str">
        <f t="shared" ref="G1184:G1187" si="46">"DBC"</f>
        <v>DBC</v>
      </c>
      <c r="H1184" s="10" t="s">
        <v>21</v>
      </c>
      <c r="I1184" s="10" t="s">
        <v>261</v>
      </c>
      <c r="J1184" s="10"/>
      <c r="K1184" s="10" t="str">
        <f>"PFES1162561672_0002"</f>
        <v>PFES1162561672_0002</v>
      </c>
      <c r="L1184" s="10">
        <v>5</v>
      </c>
      <c r="M1184" s="10">
        <v>76</v>
      </c>
    </row>
    <row r="1185" spans="1:13">
      <c r="A1185" s="8">
        <v>42927</v>
      </c>
      <c r="B1185" s="9">
        <v>0.47222222222222227</v>
      </c>
      <c r="C1185" s="10" t="str">
        <f>"FES1162561672"</f>
        <v>FES1162561672</v>
      </c>
      <c r="D1185" s="10" t="s">
        <v>19</v>
      </c>
      <c r="E1185" s="10" t="s">
        <v>714</v>
      </c>
      <c r="F1185" s="10" t="str">
        <f t="shared" si="45"/>
        <v xml:space="preserve">2170578302 </v>
      </c>
      <c r="G1185" s="10" t="str">
        <f t="shared" si="46"/>
        <v>DBC</v>
      </c>
      <c r="H1185" s="10" t="s">
        <v>21</v>
      </c>
      <c r="I1185" s="10" t="s">
        <v>261</v>
      </c>
      <c r="J1185" s="10"/>
      <c r="K1185" s="10" t="str">
        <f>"PFES1162561672_0003"</f>
        <v>PFES1162561672_0003</v>
      </c>
      <c r="L1185" s="10">
        <v>5</v>
      </c>
      <c r="M1185" s="10">
        <v>76</v>
      </c>
    </row>
    <row r="1186" spans="1:13">
      <c r="A1186" s="8">
        <v>42927</v>
      </c>
      <c r="B1186" s="9">
        <v>0.47222222222222227</v>
      </c>
      <c r="C1186" s="10" t="str">
        <f>"FES1162561672"</f>
        <v>FES1162561672</v>
      </c>
      <c r="D1186" s="10" t="s">
        <v>19</v>
      </c>
      <c r="E1186" s="10" t="s">
        <v>714</v>
      </c>
      <c r="F1186" s="10" t="str">
        <f t="shared" si="45"/>
        <v xml:space="preserve">2170578302 </v>
      </c>
      <c r="G1186" s="10" t="str">
        <f t="shared" si="46"/>
        <v>DBC</v>
      </c>
      <c r="H1186" s="10" t="s">
        <v>21</v>
      </c>
      <c r="I1186" s="10" t="s">
        <v>261</v>
      </c>
      <c r="J1186" s="10"/>
      <c r="K1186" s="10" t="str">
        <f>"PFES1162561672_0004"</f>
        <v>PFES1162561672_0004</v>
      </c>
      <c r="L1186" s="10">
        <v>5</v>
      </c>
      <c r="M1186" s="10">
        <v>76</v>
      </c>
    </row>
    <row r="1187" spans="1:13">
      <c r="A1187" s="8">
        <v>42927</v>
      </c>
      <c r="B1187" s="9">
        <v>0.47222222222222227</v>
      </c>
      <c r="C1187" s="10" t="str">
        <f>"FES1162561672"</f>
        <v>FES1162561672</v>
      </c>
      <c r="D1187" s="10" t="s">
        <v>19</v>
      </c>
      <c r="E1187" s="10" t="s">
        <v>714</v>
      </c>
      <c r="F1187" s="10" t="str">
        <f t="shared" si="45"/>
        <v xml:space="preserve">2170578302 </v>
      </c>
      <c r="G1187" s="10" t="str">
        <f t="shared" si="46"/>
        <v>DBC</v>
      </c>
      <c r="H1187" s="10" t="s">
        <v>21</v>
      </c>
      <c r="I1187" s="10" t="s">
        <v>261</v>
      </c>
      <c r="J1187" s="10"/>
      <c r="K1187" s="10" t="str">
        <f>"PFES1162561672_0005"</f>
        <v>PFES1162561672_0005</v>
      </c>
      <c r="L1187" s="10">
        <v>5</v>
      </c>
      <c r="M1187" s="10">
        <v>76</v>
      </c>
    </row>
    <row r="1188" spans="1:13">
      <c r="A1188" s="8">
        <v>42927</v>
      </c>
      <c r="B1188" s="9">
        <v>0.47152777777777777</v>
      </c>
      <c r="C1188" s="10" t="str">
        <f>"FES1162561675"</f>
        <v>FES1162561675</v>
      </c>
      <c r="D1188" s="10" t="s">
        <v>19</v>
      </c>
      <c r="E1188" s="10" t="s">
        <v>714</v>
      </c>
      <c r="F1188" s="10" t="str">
        <f>"2170578303 "</f>
        <v xml:space="preserve">2170578303 </v>
      </c>
      <c r="G1188" s="10" t="str">
        <f t="shared" ref="G1188:G1199" si="47">"ON1"</f>
        <v>ON1</v>
      </c>
      <c r="H1188" s="10" t="s">
        <v>21</v>
      </c>
      <c r="I1188" s="10" t="s">
        <v>261</v>
      </c>
      <c r="J1188" s="10" t="str">
        <f>""</f>
        <v/>
      </c>
      <c r="K1188" s="10" t="str">
        <f>"PFES1162561675_0001"</f>
        <v>PFES1162561675_0001</v>
      </c>
      <c r="L1188" s="10">
        <v>1</v>
      </c>
      <c r="M1188" s="10">
        <v>1</v>
      </c>
    </row>
    <row r="1189" spans="1:13">
      <c r="A1189" s="8">
        <v>42927</v>
      </c>
      <c r="B1189" s="9">
        <v>0.45277777777777778</v>
      </c>
      <c r="C1189" s="10" t="str">
        <f>"FES1162561420"</f>
        <v>FES1162561420</v>
      </c>
      <c r="D1189" s="10" t="s">
        <v>19</v>
      </c>
      <c r="E1189" s="10" t="s">
        <v>703</v>
      </c>
      <c r="F1189" s="10" t="str">
        <f>"2170578198 "</f>
        <v xml:space="preserve">2170578198 </v>
      </c>
      <c r="G1189" s="10" t="str">
        <f t="shared" si="47"/>
        <v>ON1</v>
      </c>
      <c r="H1189" s="10" t="s">
        <v>21</v>
      </c>
      <c r="I1189" s="10" t="s">
        <v>704</v>
      </c>
      <c r="J1189" s="10" t="str">
        <f>""</f>
        <v/>
      </c>
      <c r="K1189" s="10" t="str">
        <f>"PFES1162561420_0001"</f>
        <v>PFES1162561420_0001</v>
      </c>
      <c r="L1189" s="10">
        <v>1</v>
      </c>
      <c r="M1189" s="10">
        <v>2</v>
      </c>
    </row>
    <row r="1190" spans="1:13">
      <c r="A1190" s="8">
        <v>42927</v>
      </c>
      <c r="B1190" s="9">
        <v>0.45208333333333334</v>
      </c>
      <c r="C1190" s="10" t="str">
        <f>"FES1162561452"</f>
        <v>FES1162561452</v>
      </c>
      <c r="D1190" s="10" t="s">
        <v>19</v>
      </c>
      <c r="E1190" s="10" t="s">
        <v>527</v>
      </c>
      <c r="F1190" s="10" t="str">
        <f>"2170578233 "</f>
        <v xml:space="preserve">2170578233 </v>
      </c>
      <c r="G1190" s="10" t="str">
        <f t="shared" si="47"/>
        <v>ON1</v>
      </c>
      <c r="H1190" s="10" t="s">
        <v>21</v>
      </c>
      <c r="I1190" s="10" t="s">
        <v>217</v>
      </c>
      <c r="J1190" s="10" t="str">
        <f>""</f>
        <v/>
      </c>
      <c r="K1190" s="10" t="str">
        <f>"PFES1162561452_0001"</f>
        <v>PFES1162561452_0001</v>
      </c>
      <c r="L1190" s="10">
        <v>1</v>
      </c>
      <c r="M1190" s="10">
        <v>1</v>
      </c>
    </row>
    <row r="1191" spans="1:13">
      <c r="A1191" s="8">
        <v>42927</v>
      </c>
      <c r="B1191" s="9">
        <v>0.4513888888888889</v>
      </c>
      <c r="C1191" s="10" t="str">
        <f>"FES1162561457"</f>
        <v>FES1162561457</v>
      </c>
      <c r="D1191" s="10" t="s">
        <v>19</v>
      </c>
      <c r="E1191" s="10" t="s">
        <v>527</v>
      </c>
      <c r="F1191" s="10" t="str">
        <f>"2170578240 "</f>
        <v xml:space="preserve">2170578240 </v>
      </c>
      <c r="G1191" s="10" t="str">
        <f t="shared" si="47"/>
        <v>ON1</v>
      </c>
      <c r="H1191" s="10" t="s">
        <v>21</v>
      </c>
      <c r="I1191" s="10" t="s">
        <v>217</v>
      </c>
      <c r="J1191" s="10" t="str">
        <f>""</f>
        <v/>
      </c>
      <c r="K1191" s="10" t="str">
        <f>"PFES1162561457_0001"</f>
        <v>PFES1162561457_0001</v>
      </c>
      <c r="L1191" s="10">
        <v>1</v>
      </c>
      <c r="M1191" s="10">
        <v>1</v>
      </c>
    </row>
    <row r="1192" spans="1:13">
      <c r="A1192" s="8">
        <v>42927</v>
      </c>
      <c r="B1192" s="9">
        <v>0.45</v>
      </c>
      <c r="C1192" s="10" t="str">
        <f>"FES1162561449"</f>
        <v>FES1162561449</v>
      </c>
      <c r="D1192" s="10" t="s">
        <v>19</v>
      </c>
      <c r="E1192" s="10" t="s">
        <v>715</v>
      </c>
      <c r="F1192" s="10" t="str">
        <f>"2170578229 "</f>
        <v xml:space="preserve">2170578229 </v>
      </c>
      <c r="G1192" s="10" t="str">
        <f t="shared" si="47"/>
        <v>ON1</v>
      </c>
      <c r="H1192" s="10" t="s">
        <v>21</v>
      </c>
      <c r="I1192" s="10" t="s">
        <v>32</v>
      </c>
      <c r="J1192" s="10" t="str">
        <f>""</f>
        <v/>
      </c>
      <c r="K1192" s="10" t="str">
        <f>"PFES1162561449_0001"</f>
        <v>PFES1162561449_0001</v>
      </c>
      <c r="L1192" s="10">
        <v>1</v>
      </c>
      <c r="M1192" s="10">
        <v>1</v>
      </c>
    </row>
    <row r="1193" spans="1:13">
      <c r="A1193" s="8">
        <v>42927</v>
      </c>
      <c r="B1193" s="9">
        <v>0.44930555555555557</v>
      </c>
      <c r="C1193" s="10" t="str">
        <f>"FES1162561453"</f>
        <v>FES1162561453</v>
      </c>
      <c r="D1193" s="10" t="s">
        <v>19</v>
      </c>
      <c r="E1193" s="10" t="s">
        <v>527</v>
      </c>
      <c r="F1193" s="10" t="str">
        <f>"2170578234 "</f>
        <v xml:space="preserve">2170578234 </v>
      </c>
      <c r="G1193" s="10" t="str">
        <f t="shared" si="47"/>
        <v>ON1</v>
      </c>
      <c r="H1193" s="10" t="s">
        <v>21</v>
      </c>
      <c r="I1193" s="10" t="s">
        <v>217</v>
      </c>
      <c r="J1193" s="10" t="str">
        <f>""</f>
        <v/>
      </c>
      <c r="K1193" s="10" t="str">
        <f>"PFES1162561453_0001"</f>
        <v>PFES1162561453_0001</v>
      </c>
      <c r="L1193" s="10">
        <v>1</v>
      </c>
      <c r="M1193" s="10">
        <v>1</v>
      </c>
    </row>
    <row r="1194" spans="1:13">
      <c r="A1194" s="8">
        <v>42927</v>
      </c>
      <c r="B1194" s="9">
        <v>0.37708333333333338</v>
      </c>
      <c r="C1194" s="10" t="str">
        <f>"FES1162561476"</f>
        <v>FES1162561476</v>
      </c>
      <c r="D1194" s="10" t="s">
        <v>19</v>
      </c>
      <c r="E1194" s="10" t="s">
        <v>716</v>
      </c>
      <c r="F1194" s="10" t="str">
        <f>"2170578260 "</f>
        <v xml:space="preserve">2170578260 </v>
      </c>
      <c r="G1194" s="10" t="str">
        <f t="shared" si="47"/>
        <v>ON1</v>
      </c>
      <c r="H1194" s="10" t="s">
        <v>21</v>
      </c>
      <c r="I1194" s="10" t="s">
        <v>700</v>
      </c>
      <c r="J1194" s="10" t="str">
        <f>""</f>
        <v/>
      </c>
      <c r="K1194" s="10" t="str">
        <f>"PFES1162561476_0001"</f>
        <v>PFES1162561476_0001</v>
      </c>
      <c r="L1194" s="10">
        <v>1</v>
      </c>
      <c r="M1194" s="10">
        <v>4</v>
      </c>
    </row>
    <row r="1195" spans="1:13">
      <c r="A1195" s="8">
        <v>42927</v>
      </c>
      <c r="B1195" s="9">
        <v>0.37638888888888888</v>
      </c>
      <c r="C1195" s="10" t="str">
        <f>"FES1162561423"</f>
        <v>FES1162561423</v>
      </c>
      <c r="D1195" s="10" t="s">
        <v>19</v>
      </c>
      <c r="E1195" s="10" t="s">
        <v>717</v>
      </c>
      <c r="F1195" s="10" t="str">
        <f>"2170578201 "</f>
        <v xml:space="preserve">2170578201 </v>
      </c>
      <c r="G1195" s="10" t="str">
        <f t="shared" si="47"/>
        <v>ON1</v>
      </c>
      <c r="H1195" s="10" t="s">
        <v>21</v>
      </c>
      <c r="I1195" s="10" t="s">
        <v>534</v>
      </c>
      <c r="J1195" s="10" t="str">
        <f>""</f>
        <v/>
      </c>
      <c r="K1195" s="10" t="str">
        <f>"PFES1162561423_0001"</f>
        <v>PFES1162561423_0001</v>
      </c>
      <c r="L1195" s="10">
        <v>1</v>
      </c>
      <c r="M1195" s="10">
        <v>6</v>
      </c>
    </row>
    <row r="1196" spans="1:13">
      <c r="A1196" s="8">
        <v>42927</v>
      </c>
      <c r="B1196" s="9">
        <v>0.3756944444444445</v>
      </c>
      <c r="C1196" s="10" t="str">
        <f>"FES1162561392"</f>
        <v>FES1162561392</v>
      </c>
      <c r="D1196" s="10" t="s">
        <v>19</v>
      </c>
      <c r="E1196" s="10" t="s">
        <v>65</v>
      </c>
      <c r="F1196" s="10" t="str">
        <f>"2170571229 "</f>
        <v xml:space="preserve">2170571229 </v>
      </c>
      <c r="G1196" s="10" t="str">
        <f t="shared" si="47"/>
        <v>ON1</v>
      </c>
      <c r="H1196" s="10" t="s">
        <v>21</v>
      </c>
      <c r="I1196" s="10" t="s">
        <v>66</v>
      </c>
      <c r="J1196" s="10" t="str">
        <f>""</f>
        <v/>
      </c>
      <c r="K1196" s="10" t="str">
        <f>"PFES1162561392_0001"</f>
        <v>PFES1162561392_0001</v>
      </c>
      <c r="L1196" s="10">
        <v>1</v>
      </c>
      <c r="M1196" s="10">
        <v>6</v>
      </c>
    </row>
    <row r="1197" spans="1:13">
      <c r="A1197" s="8">
        <v>42927</v>
      </c>
      <c r="B1197" s="9">
        <v>0.3743055555555555</v>
      </c>
      <c r="C1197" s="10" t="str">
        <f>"FES1162561458"</f>
        <v>FES1162561458</v>
      </c>
      <c r="D1197" s="10" t="s">
        <v>19</v>
      </c>
      <c r="E1197" s="10" t="s">
        <v>718</v>
      </c>
      <c r="F1197" s="10" t="str">
        <f>"2170577907 "</f>
        <v xml:space="preserve">2170577907 </v>
      </c>
      <c r="G1197" s="10" t="str">
        <f t="shared" si="47"/>
        <v>ON1</v>
      </c>
      <c r="H1197" s="10" t="s">
        <v>21</v>
      </c>
      <c r="I1197" s="10" t="s">
        <v>719</v>
      </c>
      <c r="J1197" s="10" t="str">
        <f>""</f>
        <v/>
      </c>
      <c r="K1197" s="10" t="str">
        <f>"PFES1162561458_0001"</f>
        <v>PFES1162561458_0001</v>
      </c>
      <c r="L1197" s="10">
        <v>3</v>
      </c>
      <c r="M1197" s="10">
        <v>24</v>
      </c>
    </row>
    <row r="1198" spans="1:13">
      <c r="A1198" s="8">
        <v>42927</v>
      </c>
      <c r="B1198" s="9">
        <v>0.3743055555555555</v>
      </c>
      <c r="C1198" s="10" t="str">
        <f>"FES1162561458"</f>
        <v>FES1162561458</v>
      </c>
      <c r="D1198" s="10" t="s">
        <v>19</v>
      </c>
      <c r="E1198" s="10" t="s">
        <v>718</v>
      </c>
      <c r="F1198" s="10" t="str">
        <f t="shared" ref="F1198:F1199" si="48">"2170577907 "</f>
        <v xml:space="preserve">2170577907 </v>
      </c>
      <c r="G1198" s="10" t="str">
        <f t="shared" si="47"/>
        <v>ON1</v>
      </c>
      <c r="H1198" s="10" t="s">
        <v>21</v>
      </c>
      <c r="I1198" s="10" t="s">
        <v>719</v>
      </c>
      <c r="J1198" s="10"/>
      <c r="K1198" s="10" t="str">
        <f>"PFES1162561458_0002"</f>
        <v>PFES1162561458_0002</v>
      </c>
      <c r="L1198" s="10">
        <v>3</v>
      </c>
      <c r="M1198" s="10">
        <v>24</v>
      </c>
    </row>
    <row r="1199" spans="1:13">
      <c r="A1199" s="8">
        <v>42927</v>
      </c>
      <c r="B1199" s="9">
        <v>0.3743055555555555</v>
      </c>
      <c r="C1199" s="10" t="str">
        <f>"FES1162561458"</f>
        <v>FES1162561458</v>
      </c>
      <c r="D1199" s="10" t="s">
        <v>19</v>
      </c>
      <c r="E1199" s="10" t="s">
        <v>718</v>
      </c>
      <c r="F1199" s="10" t="str">
        <f t="shared" si="48"/>
        <v xml:space="preserve">2170577907 </v>
      </c>
      <c r="G1199" s="10" t="str">
        <f t="shared" si="47"/>
        <v>ON1</v>
      </c>
      <c r="H1199" s="10" t="s">
        <v>21</v>
      </c>
      <c r="I1199" s="10" t="s">
        <v>719</v>
      </c>
      <c r="J1199" s="10"/>
      <c r="K1199" s="10" t="str">
        <f>"PFES1162561458_0003"</f>
        <v>PFES1162561458_0003</v>
      </c>
      <c r="L1199" s="10">
        <v>3</v>
      </c>
      <c r="M1199" s="10">
        <v>24</v>
      </c>
    </row>
    <row r="1200" spans="1:13">
      <c r="A1200" s="8">
        <v>42927</v>
      </c>
      <c r="B1200" s="9">
        <v>0.37152777777777773</v>
      </c>
      <c r="C1200" s="10" t="str">
        <f>"FES1162561404"</f>
        <v>FES1162561404</v>
      </c>
      <c r="D1200" s="10" t="s">
        <v>19</v>
      </c>
      <c r="E1200" s="10" t="s">
        <v>446</v>
      </c>
      <c r="F1200" s="10" t="str">
        <f>"2170577956 "</f>
        <v xml:space="preserve">2170577956 </v>
      </c>
      <c r="G1200" s="10" t="str">
        <f>"ON1"</f>
        <v>ON1</v>
      </c>
      <c r="H1200" s="10" t="s">
        <v>21</v>
      </c>
      <c r="I1200" s="10" t="s">
        <v>86</v>
      </c>
      <c r="J1200" s="10" t="str">
        <f>""</f>
        <v/>
      </c>
      <c r="K1200" s="10" t="str">
        <f>"PFES1162561404_0001"</f>
        <v>PFES1162561404_0001</v>
      </c>
      <c r="L1200" s="10">
        <v>1</v>
      </c>
      <c r="M1200" s="10">
        <v>11</v>
      </c>
    </row>
    <row r="1201" spans="1:13">
      <c r="A1201" s="8">
        <v>42928</v>
      </c>
      <c r="B1201" s="9">
        <v>0.59861111111111109</v>
      </c>
      <c r="C1201" s="10" t="str">
        <f>"FES1162562000"</f>
        <v>FES1162562000</v>
      </c>
      <c r="D1201" s="10" t="s">
        <v>19</v>
      </c>
      <c r="E1201" s="10" t="s">
        <v>146</v>
      </c>
      <c r="F1201" s="10" t="str">
        <f>"2170578339 "</f>
        <v xml:space="preserve">2170578339 </v>
      </c>
      <c r="G1201" s="10" t="str">
        <f t="shared" ref="G1201:G1217" si="49">"ON1"</f>
        <v>ON1</v>
      </c>
      <c r="H1201" s="10" t="s">
        <v>21</v>
      </c>
      <c r="I1201" s="10" t="s">
        <v>147</v>
      </c>
      <c r="J1201" s="10" t="str">
        <f>""</f>
        <v/>
      </c>
      <c r="K1201" s="10" t="str">
        <f>"PFES1162562000_0001"</f>
        <v>PFES1162562000_0001</v>
      </c>
      <c r="L1201" s="10">
        <v>1</v>
      </c>
      <c r="M1201" s="10">
        <v>5</v>
      </c>
    </row>
    <row r="1202" spans="1:13">
      <c r="A1202" s="8">
        <v>42928</v>
      </c>
      <c r="B1202" s="9">
        <v>0.59861111111111109</v>
      </c>
      <c r="C1202" s="10" t="str">
        <f>"FES1162561989"</f>
        <v>FES1162561989</v>
      </c>
      <c r="D1202" s="10" t="s">
        <v>19</v>
      </c>
      <c r="E1202" s="10" t="s">
        <v>720</v>
      </c>
      <c r="F1202" s="10" t="str">
        <f>"2170578485 "</f>
        <v xml:space="preserve">2170578485 </v>
      </c>
      <c r="G1202" s="10" t="str">
        <f t="shared" si="49"/>
        <v>ON1</v>
      </c>
      <c r="H1202" s="10" t="s">
        <v>21</v>
      </c>
      <c r="I1202" s="10" t="s">
        <v>177</v>
      </c>
      <c r="J1202" s="10" t="str">
        <f>"FRAGILE - OILS INSIDE THE BOX"</f>
        <v>FRAGILE - OILS INSIDE THE BOX</v>
      </c>
      <c r="K1202" s="10" t="str">
        <f>"PFES1162561989_0001"</f>
        <v>PFES1162561989_0001</v>
      </c>
      <c r="L1202" s="10">
        <v>1</v>
      </c>
      <c r="M1202" s="10">
        <v>1</v>
      </c>
    </row>
    <row r="1203" spans="1:13">
      <c r="A1203" s="8">
        <v>42928</v>
      </c>
      <c r="B1203" s="9">
        <v>0.59791666666666665</v>
      </c>
      <c r="C1203" s="10" t="str">
        <f>"FES1162562081"</f>
        <v>FES1162562081</v>
      </c>
      <c r="D1203" s="10" t="s">
        <v>19</v>
      </c>
      <c r="E1203" s="10" t="s">
        <v>146</v>
      </c>
      <c r="F1203" s="10" t="str">
        <f>"2170578492 "</f>
        <v xml:space="preserve">2170578492 </v>
      </c>
      <c r="G1203" s="10" t="str">
        <f t="shared" si="49"/>
        <v>ON1</v>
      </c>
      <c r="H1203" s="10" t="s">
        <v>21</v>
      </c>
      <c r="I1203" s="10" t="s">
        <v>147</v>
      </c>
      <c r="J1203" s="10" t="str">
        <f>""</f>
        <v/>
      </c>
      <c r="K1203" s="10" t="str">
        <f>"PFES1162562081_0001"</f>
        <v>PFES1162562081_0001</v>
      </c>
      <c r="L1203" s="10">
        <v>1</v>
      </c>
      <c r="M1203" s="10">
        <v>2</v>
      </c>
    </row>
    <row r="1204" spans="1:13">
      <c r="A1204" s="8">
        <v>42928</v>
      </c>
      <c r="B1204" s="9">
        <v>0.59722222222222221</v>
      </c>
      <c r="C1204" s="10" t="str">
        <f>"FES1162562009"</f>
        <v>FES1162562009</v>
      </c>
      <c r="D1204" s="10" t="s">
        <v>19</v>
      </c>
      <c r="E1204" s="10" t="s">
        <v>303</v>
      </c>
      <c r="F1204" s="10" t="str">
        <f>"2170577111 "</f>
        <v xml:space="preserve">2170577111 </v>
      </c>
      <c r="G1204" s="10" t="str">
        <f t="shared" si="49"/>
        <v>ON1</v>
      </c>
      <c r="H1204" s="10" t="s">
        <v>21</v>
      </c>
      <c r="I1204" s="10" t="s">
        <v>119</v>
      </c>
      <c r="J1204" s="10" t="str">
        <f>""</f>
        <v/>
      </c>
      <c r="K1204" s="10" t="str">
        <f>"PFES1162562009_0001"</f>
        <v>PFES1162562009_0001</v>
      </c>
      <c r="L1204" s="10">
        <v>1</v>
      </c>
      <c r="M1204" s="10">
        <v>1</v>
      </c>
    </row>
    <row r="1205" spans="1:13">
      <c r="A1205" s="8">
        <v>42928</v>
      </c>
      <c r="B1205" s="9">
        <v>0.59722222222222221</v>
      </c>
      <c r="C1205" s="10" t="str">
        <f>"FES1162562031"</f>
        <v>FES1162562031</v>
      </c>
      <c r="D1205" s="10" t="s">
        <v>19</v>
      </c>
      <c r="E1205" s="10" t="s">
        <v>721</v>
      </c>
      <c r="F1205" s="10" t="str">
        <f>"2170578637 "</f>
        <v xml:space="preserve">2170578637 </v>
      </c>
      <c r="G1205" s="10" t="str">
        <f t="shared" si="49"/>
        <v>ON1</v>
      </c>
      <c r="H1205" s="10" t="s">
        <v>21</v>
      </c>
      <c r="I1205" s="10" t="s">
        <v>302</v>
      </c>
      <c r="J1205" s="10" t="str">
        <f>""</f>
        <v/>
      </c>
      <c r="K1205" s="10" t="str">
        <f>"PFES1162562031_0001"</f>
        <v>PFES1162562031_0001</v>
      </c>
      <c r="L1205" s="10">
        <v>1</v>
      </c>
      <c r="M1205" s="10">
        <v>1</v>
      </c>
    </row>
    <row r="1206" spans="1:13">
      <c r="A1206" s="8">
        <v>42928</v>
      </c>
      <c r="B1206" s="9">
        <v>0.59652777777777777</v>
      </c>
      <c r="C1206" s="10" t="str">
        <f>"FES1162562137"</f>
        <v>FES1162562137</v>
      </c>
      <c r="D1206" s="10" t="s">
        <v>19</v>
      </c>
      <c r="E1206" s="10" t="s">
        <v>541</v>
      </c>
      <c r="F1206" s="10" t="str">
        <f>"2170578143 "</f>
        <v xml:space="preserve">2170578143 </v>
      </c>
      <c r="G1206" s="10" t="str">
        <f t="shared" si="49"/>
        <v>ON1</v>
      </c>
      <c r="H1206" s="10" t="s">
        <v>21</v>
      </c>
      <c r="I1206" s="10" t="s">
        <v>542</v>
      </c>
      <c r="J1206" s="10" t="str">
        <f>""</f>
        <v/>
      </c>
      <c r="K1206" s="10" t="str">
        <f>"PFES1162562137_0001"</f>
        <v>PFES1162562137_0001</v>
      </c>
      <c r="L1206" s="10">
        <v>1</v>
      </c>
      <c r="M1206" s="10">
        <v>1</v>
      </c>
    </row>
    <row r="1207" spans="1:13">
      <c r="A1207" s="8">
        <v>42928</v>
      </c>
      <c r="B1207" s="9">
        <v>0.59652777777777777</v>
      </c>
      <c r="C1207" s="10" t="str">
        <f>"FES1162561981"</f>
        <v>FES1162561981</v>
      </c>
      <c r="D1207" s="10" t="s">
        <v>19</v>
      </c>
      <c r="E1207" s="10" t="s">
        <v>625</v>
      </c>
      <c r="F1207" s="10" t="str">
        <f>"2170578588 "</f>
        <v xml:space="preserve">2170578588 </v>
      </c>
      <c r="G1207" s="10" t="str">
        <f t="shared" si="49"/>
        <v>ON1</v>
      </c>
      <c r="H1207" s="10" t="s">
        <v>21</v>
      </c>
      <c r="I1207" s="10" t="s">
        <v>330</v>
      </c>
      <c r="J1207" s="10" t="str">
        <f>""</f>
        <v/>
      </c>
      <c r="K1207" s="10" t="str">
        <f>"PFES1162561981_0001"</f>
        <v>PFES1162561981_0001</v>
      </c>
      <c r="L1207" s="10">
        <v>1</v>
      </c>
      <c r="M1207" s="10">
        <v>2</v>
      </c>
    </row>
    <row r="1208" spans="1:13">
      <c r="A1208" s="8">
        <v>42928</v>
      </c>
      <c r="B1208" s="9">
        <v>0.59583333333333333</v>
      </c>
      <c r="C1208" s="10" t="str">
        <f>"FES1162561972"</f>
        <v>FES1162561972</v>
      </c>
      <c r="D1208" s="10" t="s">
        <v>19</v>
      </c>
      <c r="E1208" s="10" t="s">
        <v>589</v>
      </c>
      <c r="F1208" s="10" t="str">
        <f>"2170578580 "</f>
        <v xml:space="preserve">2170578580 </v>
      </c>
      <c r="G1208" s="10" t="str">
        <f t="shared" si="49"/>
        <v>ON1</v>
      </c>
      <c r="H1208" s="10" t="s">
        <v>21</v>
      </c>
      <c r="I1208" s="10" t="s">
        <v>330</v>
      </c>
      <c r="J1208" s="10" t="str">
        <f>""</f>
        <v/>
      </c>
      <c r="K1208" s="10" t="str">
        <f>"PFES1162561972_0001"</f>
        <v>PFES1162561972_0001</v>
      </c>
      <c r="L1208" s="10">
        <v>1</v>
      </c>
      <c r="M1208" s="10">
        <v>1</v>
      </c>
    </row>
    <row r="1209" spans="1:13">
      <c r="A1209" s="8">
        <v>42928</v>
      </c>
      <c r="B1209" s="9">
        <v>0.59375</v>
      </c>
      <c r="C1209" s="10" t="str">
        <f>"FES1162562092"</f>
        <v>FES1162562092</v>
      </c>
      <c r="D1209" s="10" t="s">
        <v>19</v>
      </c>
      <c r="E1209" s="10" t="s">
        <v>722</v>
      </c>
      <c r="F1209" s="10" t="str">
        <f>"2170578249 "</f>
        <v xml:space="preserve">2170578249 </v>
      </c>
      <c r="G1209" s="10" t="str">
        <f t="shared" si="49"/>
        <v>ON1</v>
      </c>
      <c r="H1209" s="10" t="s">
        <v>21</v>
      </c>
      <c r="I1209" s="10" t="s">
        <v>157</v>
      </c>
      <c r="J1209" s="10" t="str">
        <f>""</f>
        <v/>
      </c>
      <c r="K1209" s="10" t="str">
        <f>"PFES1162562092_0001"</f>
        <v>PFES1162562092_0001</v>
      </c>
      <c r="L1209" s="10">
        <v>1</v>
      </c>
      <c r="M1209" s="10">
        <v>2</v>
      </c>
    </row>
    <row r="1210" spans="1:13">
      <c r="A1210" s="8">
        <v>42928</v>
      </c>
      <c r="B1210" s="9">
        <v>0.59375</v>
      </c>
      <c r="C1210" s="10" t="str">
        <f>"FES1162562015"</f>
        <v>FES1162562015</v>
      </c>
      <c r="D1210" s="10" t="s">
        <v>19</v>
      </c>
      <c r="E1210" s="10" t="s">
        <v>369</v>
      </c>
      <c r="F1210" s="10" t="str">
        <f>"2170578620 "</f>
        <v xml:space="preserve">2170578620 </v>
      </c>
      <c r="G1210" s="10" t="str">
        <f t="shared" si="49"/>
        <v>ON1</v>
      </c>
      <c r="H1210" s="10" t="s">
        <v>21</v>
      </c>
      <c r="I1210" s="10" t="s">
        <v>183</v>
      </c>
      <c r="J1210" s="10" t="str">
        <f>""</f>
        <v/>
      </c>
      <c r="K1210" s="10" t="str">
        <f>"PFES1162562015_0001"</f>
        <v>PFES1162562015_0001</v>
      </c>
      <c r="L1210" s="10">
        <v>1</v>
      </c>
      <c r="M1210" s="10">
        <v>2</v>
      </c>
    </row>
    <row r="1211" spans="1:13">
      <c r="A1211" s="8">
        <v>42928</v>
      </c>
      <c r="B1211" s="9">
        <v>0.59375</v>
      </c>
      <c r="C1211" s="10" t="str">
        <f>"FES1162562011"</f>
        <v>FES1162562011</v>
      </c>
      <c r="D1211" s="10" t="s">
        <v>19</v>
      </c>
      <c r="E1211" s="10" t="s">
        <v>175</v>
      </c>
      <c r="F1211" s="10" t="str">
        <f>"2170578616 "</f>
        <v xml:space="preserve">2170578616 </v>
      </c>
      <c r="G1211" s="10" t="str">
        <f t="shared" si="49"/>
        <v>ON1</v>
      </c>
      <c r="H1211" s="10" t="s">
        <v>21</v>
      </c>
      <c r="I1211" s="10" t="s">
        <v>168</v>
      </c>
      <c r="J1211" s="10" t="str">
        <f>""</f>
        <v/>
      </c>
      <c r="K1211" s="10" t="str">
        <f>"PFES1162562011_0001"</f>
        <v>PFES1162562011_0001</v>
      </c>
      <c r="L1211" s="10">
        <v>1</v>
      </c>
      <c r="M1211" s="10">
        <v>2</v>
      </c>
    </row>
    <row r="1212" spans="1:13">
      <c r="A1212" s="8">
        <v>42928</v>
      </c>
      <c r="B1212" s="9">
        <v>0.59305555555555556</v>
      </c>
      <c r="C1212" s="10" t="str">
        <f>"FES1162562121"</f>
        <v>FES1162562121</v>
      </c>
      <c r="D1212" s="10" t="s">
        <v>19</v>
      </c>
      <c r="E1212" s="10" t="s">
        <v>381</v>
      </c>
      <c r="F1212" s="10" t="str">
        <f>"2170578729 "</f>
        <v xml:space="preserve">2170578729 </v>
      </c>
      <c r="G1212" s="10" t="str">
        <f t="shared" si="49"/>
        <v>ON1</v>
      </c>
      <c r="H1212" s="10" t="s">
        <v>21</v>
      </c>
      <c r="I1212" s="10" t="s">
        <v>149</v>
      </c>
      <c r="J1212" s="10" t="str">
        <f>""</f>
        <v/>
      </c>
      <c r="K1212" s="10" t="str">
        <f>"PFES1162562121_0001"</f>
        <v>PFES1162562121_0001</v>
      </c>
      <c r="L1212" s="10">
        <v>1</v>
      </c>
      <c r="M1212" s="10">
        <v>2</v>
      </c>
    </row>
    <row r="1213" spans="1:13">
      <c r="A1213" s="8">
        <v>42928</v>
      </c>
      <c r="B1213" s="9">
        <v>0.59305555555555556</v>
      </c>
      <c r="C1213" s="10" t="str">
        <f>"FES1162562080"</f>
        <v>FES1162562080</v>
      </c>
      <c r="D1213" s="10" t="s">
        <v>19</v>
      </c>
      <c r="E1213" s="10" t="s">
        <v>378</v>
      </c>
      <c r="F1213" s="10" t="str">
        <f>"2170578265 "</f>
        <v xml:space="preserve">2170578265 </v>
      </c>
      <c r="G1213" s="10" t="str">
        <f t="shared" si="49"/>
        <v>ON1</v>
      </c>
      <c r="H1213" s="10" t="s">
        <v>21</v>
      </c>
      <c r="I1213" s="10" t="s">
        <v>36</v>
      </c>
      <c r="J1213" s="10" t="str">
        <f>""</f>
        <v/>
      </c>
      <c r="K1213" s="10" t="str">
        <f>"PFES1162562080_0001"</f>
        <v>PFES1162562080_0001</v>
      </c>
      <c r="L1213" s="10">
        <v>1</v>
      </c>
      <c r="M1213" s="10">
        <v>3</v>
      </c>
    </row>
    <row r="1214" spans="1:13">
      <c r="A1214" s="8">
        <v>42928</v>
      </c>
      <c r="B1214" s="9">
        <v>0.59236111111111112</v>
      </c>
      <c r="C1214" s="10" t="str">
        <f>"FES1162561852"</f>
        <v>FES1162561852</v>
      </c>
      <c r="D1214" s="10" t="s">
        <v>19</v>
      </c>
      <c r="E1214" s="10" t="s">
        <v>723</v>
      </c>
      <c r="F1214" s="10" t="str">
        <f>"217057468+9 "</f>
        <v xml:space="preserve">217057468+9 </v>
      </c>
      <c r="G1214" s="10" t="str">
        <f t="shared" si="49"/>
        <v>ON1</v>
      </c>
      <c r="H1214" s="10" t="s">
        <v>21</v>
      </c>
      <c r="I1214" s="10" t="s">
        <v>724</v>
      </c>
      <c r="J1214" s="10" t="str">
        <f>""</f>
        <v/>
      </c>
      <c r="K1214" s="10" t="str">
        <f>"PFES1162561852_0001"</f>
        <v>PFES1162561852_0001</v>
      </c>
      <c r="L1214" s="10">
        <v>1</v>
      </c>
      <c r="M1214" s="10">
        <v>3</v>
      </c>
    </row>
    <row r="1215" spans="1:13">
      <c r="A1215" s="8">
        <v>42928</v>
      </c>
      <c r="B1215" s="9">
        <v>0.59236111111111112</v>
      </c>
      <c r="C1215" s="10" t="str">
        <f>"FES1162562126"</f>
        <v>FES1162562126</v>
      </c>
      <c r="D1215" s="10" t="s">
        <v>19</v>
      </c>
      <c r="E1215" s="10" t="s">
        <v>725</v>
      </c>
      <c r="F1215" s="10" t="str">
        <f>"2170578734 "</f>
        <v xml:space="preserve">2170578734 </v>
      </c>
      <c r="G1215" s="10" t="str">
        <f t="shared" si="49"/>
        <v>ON1</v>
      </c>
      <c r="H1215" s="10" t="s">
        <v>21</v>
      </c>
      <c r="I1215" s="10" t="s">
        <v>726</v>
      </c>
      <c r="J1215" s="10" t="str">
        <f>""</f>
        <v/>
      </c>
      <c r="K1215" s="10" t="str">
        <f>"PFES1162562126_0001"</f>
        <v>PFES1162562126_0001</v>
      </c>
      <c r="L1215" s="10">
        <v>1</v>
      </c>
      <c r="M1215" s="10">
        <v>2</v>
      </c>
    </row>
    <row r="1216" spans="1:13">
      <c r="A1216" s="8">
        <v>42928</v>
      </c>
      <c r="B1216" s="9">
        <v>0.59166666666666667</v>
      </c>
      <c r="C1216" s="10" t="str">
        <f>"FES1162562095"</f>
        <v>FES1162562095</v>
      </c>
      <c r="D1216" s="10" t="s">
        <v>19</v>
      </c>
      <c r="E1216" s="10" t="s">
        <v>489</v>
      </c>
      <c r="F1216" s="10" t="str">
        <f>"2170578700 "</f>
        <v xml:space="preserve">2170578700 </v>
      </c>
      <c r="G1216" s="10" t="str">
        <f t="shared" si="49"/>
        <v>ON1</v>
      </c>
      <c r="H1216" s="10" t="s">
        <v>21</v>
      </c>
      <c r="I1216" s="10" t="s">
        <v>398</v>
      </c>
      <c r="J1216" s="10" t="str">
        <f>""</f>
        <v/>
      </c>
      <c r="K1216" s="10" t="str">
        <f>"PFES1162562095_0001"</f>
        <v>PFES1162562095_0001</v>
      </c>
      <c r="L1216" s="10">
        <v>1</v>
      </c>
      <c r="M1216" s="10">
        <v>2</v>
      </c>
    </row>
    <row r="1217" spans="1:13">
      <c r="A1217" s="8">
        <v>42928</v>
      </c>
      <c r="B1217" s="9">
        <v>0.59166666666666667</v>
      </c>
      <c r="C1217" s="10" t="str">
        <f>"FES1162561202"</f>
        <v>FES1162561202</v>
      </c>
      <c r="D1217" s="10" t="s">
        <v>19</v>
      </c>
      <c r="E1217" s="10" t="s">
        <v>118</v>
      </c>
      <c r="F1217" s="10" t="str">
        <f>"2170575875 "</f>
        <v xml:space="preserve">2170575875 </v>
      </c>
      <c r="G1217" s="10" t="str">
        <f t="shared" si="49"/>
        <v>ON1</v>
      </c>
      <c r="H1217" s="10" t="s">
        <v>21</v>
      </c>
      <c r="I1217" s="10" t="s">
        <v>119</v>
      </c>
      <c r="J1217" s="10" t="str">
        <f>""</f>
        <v/>
      </c>
      <c r="K1217" s="10" t="str">
        <f>"PFES1162561202_0001"</f>
        <v>PFES1162561202_0001</v>
      </c>
      <c r="L1217" s="10">
        <v>1</v>
      </c>
      <c r="M1217" s="10">
        <v>1</v>
      </c>
    </row>
    <row r="1218" spans="1:13">
      <c r="A1218" s="8">
        <v>42928</v>
      </c>
      <c r="B1218" s="9">
        <v>0.59166666666666667</v>
      </c>
      <c r="C1218" s="10" t="str">
        <f>"FES1162561999"</f>
        <v>FES1162561999</v>
      </c>
      <c r="D1218" s="10" t="s">
        <v>19</v>
      </c>
      <c r="E1218" s="10" t="s">
        <v>727</v>
      </c>
      <c r="F1218" s="10" t="str">
        <f>"2170577830 "</f>
        <v xml:space="preserve">2170577830 </v>
      </c>
      <c r="G1218" s="10" t="str">
        <f>"DBC"</f>
        <v>DBC</v>
      </c>
      <c r="H1218" s="10" t="s">
        <v>21</v>
      </c>
      <c r="I1218" s="10" t="s">
        <v>728</v>
      </c>
      <c r="J1218" s="10" t="str">
        <f>""</f>
        <v/>
      </c>
      <c r="K1218" s="10" t="str">
        <f>"PFES1162561999_0001"</f>
        <v>PFES1162561999_0001</v>
      </c>
      <c r="L1218" s="10">
        <v>2</v>
      </c>
      <c r="M1218" s="10">
        <v>36</v>
      </c>
    </row>
    <row r="1219" spans="1:13">
      <c r="A1219" s="8">
        <v>42928</v>
      </c>
      <c r="B1219" s="9">
        <v>0.59166666666666667</v>
      </c>
      <c r="C1219" s="10" t="str">
        <f>"FES1162561999"</f>
        <v>FES1162561999</v>
      </c>
      <c r="D1219" s="10" t="s">
        <v>19</v>
      </c>
      <c r="E1219" s="10" t="s">
        <v>727</v>
      </c>
      <c r="F1219" s="10" t="str">
        <f>"2170577830 "</f>
        <v xml:space="preserve">2170577830 </v>
      </c>
      <c r="G1219" s="10" t="str">
        <f>"DBC"</f>
        <v>DBC</v>
      </c>
      <c r="H1219" s="10" t="s">
        <v>21</v>
      </c>
      <c r="I1219" s="10" t="s">
        <v>728</v>
      </c>
      <c r="J1219" s="10"/>
      <c r="K1219" s="10" t="str">
        <f>"PFES1162561999_0002"</f>
        <v>PFES1162561999_0002</v>
      </c>
      <c r="L1219" s="10">
        <v>2</v>
      </c>
      <c r="M1219" s="10">
        <v>36</v>
      </c>
    </row>
    <row r="1220" spans="1:13">
      <c r="A1220" s="8">
        <v>42928</v>
      </c>
      <c r="B1220" s="9">
        <v>0.59097222222222223</v>
      </c>
      <c r="C1220" s="10" t="str">
        <f>"FES1162561936"</f>
        <v>FES1162561936</v>
      </c>
      <c r="D1220" s="10" t="s">
        <v>19</v>
      </c>
      <c r="E1220" s="10" t="s">
        <v>729</v>
      </c>
      <c r="F1220" s="10" t="str">
        <f>"2170577164 "</f>
        <v xml:space="preserve">2170577164 </v>
      </c>
      <c r="G1220" s="10" t="str">
        <f t="shared" ref="G1220:G1239" si="50">"ON1"</f>
        <v>ON1</v>
      </c>
      <c r="H1220" s="10" t="s">
        <v>21</v>
      </c>
      <c r="I1220" s="10" t="s">
        <v>730</v>
      </c>
      <c r="J1220" s="10" t="str">
        <f>""</f>
        <v/>
      </c>
      <c r="K1220" s="10" t="str">
        <f>"PFES1162561936_0001"</f>
        <v>PFES1162561936_0001</v>
      </c>
      <c r="L1220" s="10">
        <v>1</v>
      </c>
      <c r="M1220" s="10">
        <v>3</v>
      </c>
    </row>
    <row r="1221" spans="1:13">
      <c r="A1221" s="8">
        <v>42928</v>
      </c>
      <c r="B1221" s="9">
        <v>0.59097222222222223</v>
      </c>
      <c r="C1221" s="10" t="str">
        <f>"FES1162561263"</f>
        <v>FES1162561263</v>
      </c>
      <c r="D1221" s="10" t="s">
        <v>19</v>
      </c>
      <c r="E1221" s="10" t="s">
        <v>144</v>
      </c>
      <c r="F1221" s="10" t="str">
        <f>"2170576988 "</f>
        <v xml:space="preserve">2170576988 </v>
      </c>
      <c r="G1221" s="10" t="str">
        <f t="shared" si="50"/>
        <v>ON1</v>
      </c>
      <c r="H1221" s="10" t="s">
        <v>21</v>
      </c>
      <c r="I1221" s="10" t="s">
        <v>145</v>
      </c>
      <c r="J1221" s="10" t="str">
        <f>""</f>
        <v/>
      </c>
      <c r="K1221" s="10" t="str">
        <f>"PFES1162561263_0001"</f>
        <v>PFES1162561263_0001</v>
      </c>
      <c r="L1221" s="10">
        <v>1</v>
      </c>
      <c r="M1221" s="10">
        <v>4</v>
      </c>
    </row>
    <row r="1222" spans="1:13">
      <c r="A1222" s="8">
        <v>42928</v>
      </c>
      <c r="B1222" s="9">
        <v>0.59027777777777779</v>
      </c>
      <c r="C1222" s="10" t="str">
        <f>"FES1162561985"</f>
        <v>FES1162561985</v>
      </c>
      <c r="D1222" s="10" t="s">
        <v>19</v>
      </c>
      <c r="E1222" s="10" t="s">
        <v>180</v>
      </c>
      <c r="F1222" s="10" t="str">
        <f>"2170578594 "</f>
        <v xml:space="preserve">2170578594 </v>
      </c>
      <c r="G1222" s="10" t="str">
        <f t="shared" si="50"/>
        <v>ON1</v>
      </c>
      <c r="H1222" s="10" t="s">
        <v>21</v>
      </c>
      <c r="I1222" s="10" t="s">
        <v>168</v>
      </c>
      <c r="J1222" s="10" t="str">
        <f>""</f>
        <v/>
      </c>
      <c r="K1222" s="10" t="str">
        <f>"PFES1162561985_0001"</f>
        <v>PFES1162561985_0001</v>
      </c>
      <c r="L1222" s="10">
        <v>1</v>
      </c>
      <c r="M1222" s="10">
        <v>1</v>
      </c>
    </row>
    <row r="1223" spans="1:13">
      <c r="A1223" s="8">
        <v>42928</v>
      </c>
      <c r="B1223" s="9">
        <v>0.59027777777777779</v>
      </c>
      <c r="C1223" s="10" t="str">
        <f>"FES1162561926"</f>
        <v>FES1162561926</v>
      </c>
      <c r="D1223" s="10" t="s">
        <v>19</v>
      </c>
      <c r="E1223" s="10" t="s">
        <v>141</v>
      </c>
      <c r="F1223" s="10" t="str">
        <f>"2170576669 "</f>
        <v xml:space="preserve">2170576669 </v>
      </c>
      <c r="G1223" s="10" t="str">
        <f t="shared" si="50"/>
        <v>ON1</v>
      </c>
      <c r="H1223" s="10" t="s">
        <v>21</v>
      </c>
      <c r="I1223" s="10" t="s">
        <v>142</v>
      </c>
      <c r="J1223" s="10" t="str">
        <f>""</f>
        <v/>
      </c>
      <c r="K1223" s="10" t="str">
        <f>"PFES1162561926_0001"</f>
        <v>PFES1162561926_0001</v>
      </c>
      <c r="L1223" s="10">
        <v>1</v>
      </c>
      <c r="M1223" s="10">
        <v>1</v>
      </c>
    </row>
    <row r="1224" spans="1:13">
      <c r="A1224" s="8">
        <v>42928</v>
      </c>
      <c r="B1224" s="9">
        <v>0.59027777777777779</v>
      </c>
      <c r="C1224" s="10" t="str">
        <f>"FES1162562001"</f>
        <v>FES1162562001</v>
      </c>
      <c r="D1224" s="10" t="s">
        <v>19</v>
      </c>
      <c r="E1224" s="10" t="s">
        <v>731</v>
      </c>
      <c r="F1224" s="10" t="str">
        <f>"2170578603 "</f>
        <v xml:space="preserve">2170578603 </v>
      </c>
      <c r="G1224" s="10" t="str">
        <f t="shared" si="50"/>
        <v>ON1</v>
      </c>
      <c r="H1224" s="10" t="s">
        <v>21</v>
      </c>
      <c r="I1224" s="10" t="s">
        <v>22</v>
      </c>
      <c r="J1224" s="10" t="str">
        <f>""</f>
        <v/>
      </c>
      <c r="K1224" s="10" t="str">
        <f>"PFES1162562001_0001"</f>
        <v>PFES1162562001_0001</v>
      </c>
      <c r="L1224" s="10">
        <v>1</v>
      </c>
      <c r="M1224" s="10">
        <v>1</v>
      </c>
    </row>
    <row r="1225" spans="1:13">
      <c r="A1225" s="8">
        <v>42928</v>
      </c>
      <c r="B1225" s="9">
        <v>0.58958333333333335</v>
      </c>
      <c r="C1225" s="10" t="str">
        <f>"FES1162561953"</f>
        <v>FES1162561953</v>
      </c>
      <c r="D1225" s="10" t="s">
        <v>19</v>
      </c>
      <c r="E1225" s="10" t="s">
        <v>266</v>
      </c>
      <c r="F1225" s="10" t="str">
        <f>"2170578555 "</f>
        <v xml:space="preserve">2170578555 </v>
      </c>
      <c r="G1225" s="10" t="str">
        <f t="shared" si="50"/>
        <v>ON1</v>
      </c>
      <c r="H1225" s="10" t="s">
        <v>21</v>
      </c>
      <c r="I1225" s="10" t="s">
        <v>290</v>
      </c>
      <c r="J1225" s="10" t="str">
        <f>""</f>
        <v/>
      </c>
      <c r="K1225" s="10" t="str">
        <f>"PFES1162561953_0001"</f>
        <v>PFES1162561953_0001</v>
      </c>
      <c r="L1225" s="10">
        <v>1</v>
      </c>
      <c r="M1225" s="10">
        <v>1</v>
      </c>
    </row>
    <row r="1226" spans="1:13">
      <c r="A1226" s="8">
        <v>42928</v>
      </c>
      <c r="B1226" s="9">
        <v>0.58958333333333335</v>
      </c>
      <c r="C1226" s="10" t="str">
        <f>"FES1162562134"</f>
        <v>FES1162562134</v>
      </c>
      <c r="D1226" s="10" t="s">
        <v>19</v>
      </c>
      <c r="E1226" s="10" t="s">
        <v>732</v>
      </c>
      <c r="F1226" s="10" t="str">
        <f>"2170578739 "</f>
        <v xml:space="preserve">2170578739 </v>
      </c>
      <c r="G1226" s="10" t="str">
        <f t="shared" si="50"/>
        <v>ON1</v>
      </c>
      <c r="H1226" s="10" t="s">
        <v>21</v>
      </c>
      <c r="I1226" s="10" t="s">
        <v>656</v>
      </c>
      <c r="J1226" s="10" t="str">
        <f>""</f>
        <v/>
      </c>
      <c r="K1226" s="10" t="str">
        <f>"PFES1162562134_0001"</f>
        <v>PFES1162562134_0001</v>
      </c>
      <c r="L1226" s="10">
        <v>1</v>
      </c>
      <c r="M1226" s="10">
        <v>1</v>
      </c>
    </row>
    <row r="1227" spans="1:13">
      <c r="A1227" s="8">
        <v>42928</v>
      </c>
      <c r="B1227" s="9">
        <v>0.58958333333333335</v>
      </c>
      <c r="C1227" s="10" t="str">
        <f>"FES1162561996"</f>
        <v>FES1162561996</v>
      </c>
      <c r="D1227" s="10" t="s">
        <v>19</v>
      </c>
      <c r="E1227" s="10" t="s">
        <v>57</v>
      </c>
      <c r="F1227" s="10" t="str">
        <f>"21705786000 "</f>
        <v xml:space="preserve">21705786000 </v>
      </c>
      <c r="G1227" s="10" t="str">
        <f t="shared" si="50"/>
        <v>ON1</v>
      </c>
      <c r="H1227" s="10" t="s">
        <v>21</v>
      </c>
      <c r="I1227" s="10" t="s">
        <v>58</v>
      </c>
      <c r="J1227" s="10" t="str">
        <f>""</f>
        <v/>
      </c>
      <c r="K1227" s="10" t="str">
        <f>"PFES1162561996_0001"</f>
        <v>PFES1162561996_0001</v>
      </c>
      <c r="L1227" s="10">
        <v>1</v>
      </c>
      <c r="M1227" s="10">
        <v>1</v>
      </c>
    </row>
    <row r="1228" spans="1:13">
      <c r="A1228" s="8">
        <v>42928</v>
      </c>
      <c r="B1228" s="9">
        <v>0.58888888888888891</v>
      </c>
      <c r="C1228" s="10" t="str">
        <f>"FES1162562029"</f>
        <v>FES1162562029</v>
      </c>
      <c r="D1228" s="10" t="s">
        <v>19</v>
      </c>
      <c r="E1228" s="10" t="s">
        <v>180</v>
      </c>
      <c r="F1228" s="10" t="str">
        <f>"2170578634 "</f>
        <v xml:space="preserve">2170578634 </v>
      </c>
      <c r="G1228" s="10" t="str">
        <f t="shared" si="50"/>
        <v>ON1</v>
      </c>
      <c r="H1228" s="10" t="s">
        <v>21</v>
      </c>
      <c r="I1228" s="10" t="s">
        <v>168</v>
      </c>
      <c r="J1228" s="10" t="str">
        <f>""</f>
        <v/>
      </c>
      <c r="K1228" s="10" t="str">
        <f>"PFES1162562029_0001"</f>
        <v>PFES1162562029_0001</v>
      </c>
      <c r="L1228" s="10">
        <v>1</v>
      </c>
      <c r="M1228" s="10">
        <v>1</v>
      </c>
    </row>
    <row r="1229" spans="1:13">
      <c r="A1229" s="8">
        <v>42928</v>
      </c>
      <c r="B1229" s="9">
        <v>0.58819444444444446</v>
      </c>
      <c r="C1229" s="10" t="str">
        <f>"FES1162562124"</f>
        <v>FES1162562124</v>
      </c>
      <c r="D1229" s="10" t="s">
        <v>19</v>
      </c>
      <c r="E1229" s="10" t="s">
        <v>733</v>
      </c>
      <c r="F1229" s="10" t="str">
        <f>"2170578732 "</f>
        <v xml:space="preserve">2170578732 </v>
      </c>
      <c r="G1229" s="10" t="str">
        <f t="shared" si="50"/>
        <v>ON1</v>
      </c>
      <c r="H1229" s="10" t="s">
        <v>21</v>
      </c>
      <c r="I1229" s="10" t="s">
        <v>177</v>
      </c>
      <c r="J1229" s="10" t="str">
        <f>""</f>
        <v/>
      </c>
      <c r="K1229" s="10" t="str">
        <f>"PFES1162562124_0001"</f>
        <v>PFES1162562124_0001</v>
      </c>
      <c r="L1229" s="10">
        <v>1</v>
      </c>
      <c r="M1229" s="10">
        <v>2</v>
      </c>
    </row>
    <row r="1230" spans="1:13">
      <c r="A1230" s="8">
        <v>42928</v>
      </c>
      <c r="B1230" s="9">
        <v>0.58472222222222225</v>
      </c>
      <c r="C1230" s="10" t="str">
        <f>"FES1162562115"</f>
        <v>FES1162562115</v>
      </c>
      <c r="D1230" s="10" t="s">
        <v>19</v>
      </c>
      <c r="E1230" s="10" t="s">
        <v>381</v>
      </c>
      <c r="F1230" s="10" t="str">
        <f>"2170578723 "</f>
        <v xml:space="preserve">2170578723 </v>
      </c>
      <c r="G1230" s="10" t="str">
        <f t="shared" si="50"/>
        <v>ON1</v>
      </c>
      <c r="H1230" s="10" t="s">
        <v>21</v>
      </c>
      <c r="I1230" s="10" t="s">
        <v>149</v>
      </c>
      <c r="J1230" s="10" t="str">
        <f>""</f>
        <v/>
      </c>
      <c r="K1230" s="10" t="str">
        <f>"PFES1162562115_0001"</f>
        <v>PFES1162562115_0001</v>
      </c>
      <c r="L1230" s="10">
        <v>1</v>
      </c>
      <c r="M1230" s="10">
        <v>2</v>
      </c>
    </row>
    <row r="1231" spans="1:13">
      <c r="A1231" s="8">
        <v>42928</v>
      </c>
      <c r="B1231" s="9">
        <v>0.58402777777777781</v>
      </c>
      <c r="C1231" s="10" t="str">
        <f>"FES1162562114"</f>
        <v>FES1162562114</v>
      </c>
      <c r="D1231" s="10" t="s">
        <v>19</v>
      </c>
      <c r="E1231" s="10" t="s">
        <v>62</v>
      </c>
      <c r="F1231" s="10" t="str">
        <f>"2170578722 "</f>
        <v xml:space="preserve">2170578722 </v>
      </c>
      <c r="G1231" s="10" t="str">
        <f t="shared" si="50"/>
        <v>ON1</v>
      </c>
      <c r="H1231" s="10" t="s">
        <v>21</v>
      </c>
      <c r="I1231" s="10" t="s">
        <v>402</v>
      </c>
      <c r="J1231" s="10" t="str">
        <f>""</f>
        <v/>
      </c>
      <c r="K1231" s="10" t="str">
        <f>"PFES1162562114_0001"</f>
        <v>PFES1162562114_0001</v>
      </c>
      <c r="L1231" s="10">
        <v>1</v>
      </c>
      <c r="M1231" s="10">
        <v>1</v>
      </c>
    </row>
    <row r="1232" spans="1:13">
      <c r="A1232" s="8">
        <v>42928</v>
      </c>
      <c r="B1232" s="9">
        <v>0.58402777777777781</v>
      </c>
      <c r="C1232" s="10" t="str">
        <f>"FES1162562112"</f>
        <v>FES1162562112</v>
      </c>
      <c r="D1232" s="10" t="s">
        <v>19</v>
      </c>
      <c r="E1232" s="10" t="s">
        <v>143</v>
      </c>
      <c r="F1232" s="10" t="str">
        <f>"2170578719 "</f>
        <v xml:space="preserve">2170578719 </v>
      </c>
      <c r="G1232" s="10" t="str">
        <f t="shared" si="50"/>
        <v>ON1</v>
      </c>
      <c r="H1232" s="10" t="s">
        <v>21</v>
      </c>
      <c r="I1232" s="10" t="s">
        <v>121</v>
      </c>
      <c r="J1232" s="10" t="str">
        <f>""</f>
        <v/>
      </c>
      <c r="K1232" s="10" t="str">
        <f>"PFES1162562112_0001"</f>
        <v>PFES1162562112_0001</v>
      </c>
      <c r="L1232" s="10">
        <v>1</v>
      </c>
      <c r="M1232" s="10">
        <v>1</v>
      </c>
    </row>
    <row r="1233" spans="1:13">
      <c r="A1233" s="8">
        <v>42928</v>
      </c>
      <c r="B1233" s="9">
        <v>0.58333333333333337</v>
      </c>
      <c r="C1233" s="10" t="str">
        <f>"FES1162562106"</f>
        <v>FES1162562106</v>
      </c>
      <c r="D1233" s="10" t="s">
        <v>19</v>
      </c>
      <c r="E1233" s="10" t="s">
        <v>62</v>
      </c>
      <c r="F1233" s="10" t="str">
        <f>"2170578712 "</f>
        <v xml:space="preserve">2170578712 </v>
      </c>
      <c r="G1233" s="10" t="str">
        <f t="shared" si="50"/>
        <v>ON1</v>
      </c>
      <c r="H1233" s="10" t="s">
        <v>21</v>
      </c>
      <c r="I1233" s="10" t="s">
        <v>40</v>
      </c>
      <c r="J1233" s="10" t="str">
        <f>""</f>
        <v/>
      </c>
      <c r="K1233" s="10" t="str">
        <f>"PFES1162562106_0001"</f>
        <v>PFES1162562106_0001</v>
      </c>
      <c r="L1233" s="10">
        <v>1</v>
      </c>
      <c r="M1233" s="10">
        <v>1</v>
      </c>
    </row>
    <row r="1234" spans="1:13">
      <c r="A1234" s="8">
        <v>42928</v>
      </c>
      <c r="B1234" s="9">
        <v>0.58333333333333337</v>
      </c>
      <c r="C1234" s="10" t="str">
        <f>"FES1162562107"</f>
        <v>FES1162562107</v>
      </c>
      <c r="D1234" s="10" t="s">
        <v>19</v>
      </c>
      <c r="E1234" s="10" t="s">
        <v>525</v>
      </c>
      <c r="F1234" s="10" t="str">
        <f>"2170578713 "</f>
        <v xml:space="preserve">2170578713 </v>
      </c>
      <c r="G1234" s="10" t="str">
        <f t="shared" si="50"/>
        <v>ON1</v>
      </c>
      <c r="H1234" s="10" t="s">
        <v>21</v>
      </c>
      <c r="I1234" s="10" t="s">
        <v>121</v>
      </c>
      <c r="J1234" s="10" t="str">
        <f>""</f>
        <v/>
      </c>
      <c r="K1234" s="10" t="str">
        <f>"PFES1162562107_0001"</f>
        <v>PFES1162562107_0001</v>
      </c>
      <c r="L1234" s="10">
        <v>1</v>
      </c>
      <c r="M1234" s="10">
        <v>1</v>
      </c>
    </row>
    <row r="1235" spans="1:13">
      <c r="A1235" s="8">
        <v>42928</v>
      </c>
      <c r="B1235" s="9">
        <v>0.58333333333333337</v>
      </c>
      <c r="C1235" s="10" t="str">
        <f>"FES1162562109"</f>
        <v>FES1162562109</v>
      </c>
      <c r="D1235" s="10" t="s">
        <v>19</v>
      </c>
      <c r="E1235" s="10" t="s">
        <v>25</v>
      </c>
      <c r="F1235" s="10" t="str">
        <f>"2170578394 "</f>
        <v xml:space="preserve">2170578394 </v>
      </c>
      <c r="G1235" s="10" t="str">
        <f t="shared" si="50"/>
        <v>ON1</v>
      </c>
      <c r="H1235" s="10" t="s">
        <v>21</v>
      </c>
      <c r="I1235" s="10" t="s">
        <v>26</v>
      </c>
      <c r="J1235" s="10" t="str">
        <f>""</f>
        <v/>
      </c>
      <c r="K1235" s="10" t="str">
        <f>"PFES1162562109_0001"</f>
        <v>PFES1162562109_0001</v>
      </c>
      <c r="L1235" s="10">
        <v>1</v>
      </c>
      <c r="M1235" s="10">
        <v>1</v>
      </c>
    </row>
    <row r="1236" spans="1:13">
      <c r="A1236" s="8">
        <v>42928</v>
      </c>
      <c r="B1236" s="9">
        <v>0.58263888888888882</v>
      </c>
      <c r="C1236" s="10" t="str">
        <f>"FES1162562122"</f>
        <v>FES1162562122</v>
      </c>
      <c r="D1236" s="10" t="s">
        <v>19</v>
      </c>
      <c r="E1236" s="10" t="s">
        <v>734</v>
      </c>
      <c r="F1236" s="10" t="str">
        <f>"2170578730 "</f>
        <v xml:space="preserve">2170578730 </v>
      </c>
      <c r="G1236" s="10" t="str">
        <f t="shared" si="50"/>
        <v>ON1</v>
      </c>
      <c r="H1236" s="10" t="s">
        <v>21</v>
      </c>
      <c r="I1236" s="10" t="s">
        <v>567</v>
      </c>
      <c r="J1236" s="10" t="str">
        <f>""</f>
        <v/>
      </c>
      <c r="K1236" s="10" t="str">
        <f>"PFES1162562122_0001"</f>
        <v>PFES1162562122_0001</v>
      </c>
      <c r="L1236" s="10">
        <v>1</v>
      </c>
      <c r="M1236" s="10">
        <v>1</v>
      </c>
    </row>
    <row r="1237" spans="1:13">
      <c r="A1237" s="8">
        <v>42928</v>
      </c>
      <c r="B1237" s="9">
        <v>0.58263888888888882</v>
      </c>
      <c r="C1237" s="10" t="str">
        <f>"FES1162561994"</f>
        <v>FES1162561994</v>
      </c>
      <c r="D1237" s="10" t="s">
        <v>19</v>
      </c>
      <c r="E1237" s="10" t="s">
        <v>272</v>
      </c>
      <c r="F1237" s="10" t="str">
        <f>"2170577976 "</f>
        <v xml:space="preserve">2170577976 </v>
      </c>
      <c r="G1237" s="10" t="str">
        <f t="shared" si="50"/>
        <v>ON1</v>
      </c>
      <c r="H1237" s="10" t="s">
        <v>21</v>
      </c>
      <c r="I1237" s="10" t="s">
        <v>166</v>
      </c>
      <c r="J1237" s="10" t="str">
        <f>""</f>
        <v/>
      </c>
      <c r="K1237" s="10" t="str">
        <f>"PFES1162561994_0001"</f>
        <v>PFES1162561994_0001</v>
      </c>
      <c r="L1237" s="10">
        <v>1</v>
      </c>
      <c r="M1237" s="10">
        <v>6</v>
      </c>
    </row>
    <row r="1238" spans="1:13">
      <c r="A1238" s="8">
        <v>42928</v>
      </c>
      <c r="B1238" s="9">
        <v>0.58194444444444449</v>
      </c>
      <c r="C1238" s="10" t="str">
        <f>"FES1162562127"</f>
        <v>FES1162562127</v>
      </c>
      <c r="D1238" s="10" t="s">
        <v>19</v>
      </c>
      <c r="E1238" s="10" t="s">
        <v>587</v>
      </c>
      <c r="F1238" s="10" t="str">
        <f>"2170578735 "</f>
        <v xml:space="preserve">2170578735 </v>
      </c>
      <c r="G1238" s="10" t="str">
        <f t="shared" si="50"/>
        <v>ON1</v>
      </c>
      <c r="H1238" s="10" t="s">
        <v>21</v>
      </c>
      <c r="I1238" s="10" t="s">
        <v>588</v>
      </c>
      <c r="J1238" s="10" t="str">
        <f>""</f>
        <v/>
      </c>
      <c r="K1238" s="10" t="str">
        <f>"PFES1162562127_0001"</f>
        <v>PFES1162562127_0001</v>
      </c>
      <c r="L1238" s="10">
        <v>1</v>
      </c>
      <c r="M1238" s="10">
        <v>1</v>
      </c>
    </row>
    <row r="1239" spans="1:13">
      <c r="A1239" s="8">
        <v>42928</v>
      </c>
      <c r="B1239" s="9">
        <v>0.5805555555555556</v>
      </c>
      <c r="C1239" s="10" t="str">
        <f>"FES1162562120"</f>
        <v>FES1162562120</v>
      </c>
      <c r="D1239" s="10" t="s">
        <v>19</v>
      </c>
      <c r="E1239" s="10" t="s">
        <v>735</v>
      </c>
      <c r="F1239" s="10" t="str">
        <f>"2170578727 "</f>
        <v xml:space="preserve">2170578727 </v>
      </c>
      <c r="G1239" s="10" t="str">
        <f t="shared" si="50"/>
        <v>ON1</v>
      </c>
      <c r="H1239" s="10" t="s">
        <v>21</v>
      </c>
      <c r="I1239" s="10" t="s">
        <v>54</v>
      </c>
      <c r="J1239" s="10" t="str">
        <f>""</f>
        <v/>
      </c>
      <c r="K1239" s="10" t="str">
        <f>"PFES1162562120_0001"</f>
        <v>PFES1162562120_0001</v>
      </c>
      <c r="L1239" s="10">
        <v>1</v>
      </c>
      <c r="M1239" s="10">
        <v>1</v>
      </c>
    </row>
    <row r="1240" spans="1:13">
      <c r="A1240" s="8">
        <v>42928</v>
      </c>
      <c r="B1240" s="9">
        <v>0.56041666666666667</v>
      </c>
      <c r="C1240" s="10" t="str">
        <f>"FES1162561968"</f>
        <v>FES1162561968</v>
      </c>
      <c r="D1240" s="10" t="s">
        <v>19</v>
      </c>
      <c r="E1240" s="10" t="s">
        <v>139</v>
      </c>
      <c r="F1240" s="10" t="str">
        <f>"21705764046 "</f>
        <v xml:space="preserve">21705764046 </v>
      </c>
      <c r="G1240" s="10" t="str">
        <f>"DBC"</f>
        <v>DBC</v>
      </c>
      <c r="H1240" s="10" t="s">
        <v>21</v>
      </c>
      <c r="I1240" s="10" t="s">
        <v>61</v>
      </c>
      <c r="J1240" s="10" t="str">
        <f>""</f>
        <v/>
      </c>
      <c r="K1240" s="10" t="str">
        <f>"PFES1162561968_0001"</f>
        <v>PFES1162561968_0001</v>
      </c>
      <c r="L1240" s="10">
        <v>2</v>
      </c>
      <c r="M1240" s="10">
        <v>35</v>
      </c>
    </row>
    <row r="1241" spans="1:13">
      <c r="A1241" s="8">
        <v>42928</v>
      </c>
      <c r="B1241" s="9">
        <v>0.56041666666666667</v>
      </c>
      <c r="C1241" s="10" t="str">
        <f>"FES1162561968"</f>
        <v>FES1162561968</v>
      </c>
      <c r="D1241" s="10" t="s">
        <v>19</v>
      </c>
      <c r="E1241" s="10" t="s">
        <v>139</v>
      </c>
      <c r="F1241" s="10" t="str">
        <f>"21705764046 "</f>
        <v xml:space="preserve">21705764046 </v>
      </c>
      <c r="G1241" s="10" t="str">
        <f>"DBC"</f>
        <v>DBC</v>
      </c>
      <c r="H1241" s="10" t="s">
        <v>21</v>
      </c>
      <c r="I1241" s="10" t="s">
        <v>61</v>
      </c>
      <c r="J1241" s="10"/>
      <c r="K1241" s="10" t="str">
        <f>"PFES1162561968_0002"</f>
        <v>PFES1162561968_0002</v>
      </c>
      <c r="L1241" s="10">
        <v>2</v>
      </c>
      <c r="M1241" s="10">
        <v>35</v>
      </c>
    </row>
    <row r="1242" spans="1:13">
      <c r="A1242" s="8">
        <v>42928</v>
      </c>
      <c r="B1242" s="9">
        <v>0.55902777777777779</v>
      </c>
      <c r="C1242" s="10" t="str">
        <f>"009935791626"</f>
        <v>009935791626</v>
      </c>
      <c r="D1242" s="10" t="s">
        <v>19</v>
      </c>
      <c r="E1242" s="10" t="s">
        <v>736</v>
      </c>
      <c r="F1242" s="10" t="str">
        <f>"MABOTHA "</f>
        <v xml:space="preserve">MABOTHA </v>
      </c>
      <c r="G1242" s="10" t="str">
        <f t="shared" ref="G1242:G1258" si="51">"ON1"</f>
        <v>ON1</v>
      </c>
      <c r="H1242" s="10" t="s">
        <v>21</v>
      </c>
      <c r="I1242" s="10" t="s">
        <v>166</v>
      </c>
      <c r="J1242" s="10" t="str">
        <f>""</f>
        <v/>
      </c>
      <c r="K1242" s="10" t="str">
        <f>"P009935791626_0001"</f>
        <v>P009935791626_0001</v>
      </c>
      <c r="L1242" s="10">
        <v>1</v>
      </c>
      <c r="M1242" s="10">
        <v>1</v>
      </c>
    </row>
    <row r="1243" spans="1:13">
      <c r="A1243" s="8">
        <v>42928</v>
      </c>
      <c r="B1243" s="9">
        <v>0.55069444444444449</v>
      </c>
      <c r="C1243" s="10" t="str">
        <f>"FES1162562104"</f>
        <v>FES1162562104</v>
      </c>
      <c r="D1243" s="10" t="s">
        <v>19</v>
      </c>
      <c r="E1243" s="10" t="s">
        <v>583</v>
      </c>
      <c r="F1243" s="10" t="str">
        <f>"2170577793 "</f>
        <v xml:space="preserve">2170577793 </v>
      </c>
      <c r="G1243" s="10" t="str">
        <f t="shared" si="51"/>
        <v>ON1</v>
      </c>
      <c r="H1243" s="10" t="s">
        <v>21</v>
      </c>
      <c r="I1243" s="10" t="s">
        <v>54</v>
      </c>
      <c r="J1243" s="10" t="str">
        <f>""</f>
        <v/>
      </c>
      <c r="K1243" s="10" t="str">
        <f>"PFES1162562104_0001"</f>
        <v>PFES1162562104_0001</v>
      </c>
      <c r="L1243" s="10">
        <v>1</v>
      </c>
      <c r="M1243" s="10">
        <v>1</v>
      </c>
    </row>
    <row r="1244" spans="1:13">
      <c r="A1244" s="8">
        <v>42928</v>
      </c>
      <c r="B1244" s="9">
        <v>0.55069444444444449</v>
      </c>
      <c r="C1244" s="10" t="str">
        <f>"FES1162561884"</f>
        <v>FES1162561884</v>
      </c>
      <c r="D1244" s="10" t="s">
        <v>19</v>
      </c>
      <c r="E1244" s="10" t="s">
        <v>49</v>
      </c>
      <c r="F1244" s="10" t="str">
        <f>"2170571426 "</f>
        <v xml:space="preserve">2170571426 </v>
      </c>
      <c r="G1244" s="10" t="str">
        <f t="shared" si="51"/>
        <v>ON1</v>
      </c>
      <c r="H1244" s="10" t="s">
        <v>21</v>
      </c>
      <c r="I1244" s="10" t="s">
        <v>50</v>
      </c>
      <c r="J1244" s="10" t="str">
        <f>""</f>
        <v/>
      </c>
      <c r="K1244" s="10" t="str">
        <f>"PFES1162561884_0001"</f>
        <v>PFES1162561884_0001</v>
      </c>
      <c r="L1244" s="10">
        <v>1</v>
      </c>
      <c r="M1244" s="10">
        <v>1</v>
      </c>
    </row>
    <row r="1245" spans="1:13">
      <c r="A1245" s="8">
        <v>42928</v>
      </c>
      <c r="B1245" s="9">
        <v>0.55069444444444449</v>
      </c>
      <c r="C1245" s="10" t="str">
        <f>"FES1162561963"</f>
        <v>FES1162561963</v>
      </c>
      <c r="D1245" s="10" t="s">
        <v>19</v>
      </c>
      <c r="E1245" s="10" t="s">
        <v>218</v>
      </c>
      <c r="F1245" s="10" t="str">
        <f>"2170578570 "</f>
        <v xml:space="preserve">2170578570 </v>
      </c>
      <c r="G1245" s="10" t="str">
        <f t="shared" si="51"/>
        <v>ON1</v>
      </c>
      <c r="H1245" s="10" t="s">
        <v>21</v>
      </c>
      <c r="I1245" s="10" t="s">
        <v>219</v>
      </c>
      <c r="J1245" s="10" t="str">
        <f>""</f>
        <v/>
      </c>
      <c r="K1245" s="10" t="str">
        <f>"PFES1162561963_0001"</f>
        <v>PFES1162561963_0001</v>
      </c>
      <c r="L1245" s="10">
        <v>1</v>
      </c>
      <c r="M1245" s="10">
        <v>1</v>
      </c>
    </row>
    <row r="1246" spans="1:13">
      <c r="A1246" s="8">
        <v>42928</v>
      </c>
      <c r="B1246" s="9">
        <v>0.54999999999999993</v>
      </c>
      <c r="C1246" s="10" t="str">
        <f>"FES1162561904"</f>
        <v>FES1162561904</v>
      </c>
      <c r="D1246" s="10" t="s">
        <v>19</v>
      </c>
      <c r="E1246" s="10" t="s">
        <v>737</v>
      </c>
      <c r="F1246" s="10" t="str">
        <f>"2170576019 "</f>
        <v xml:space="preserve">2170576019 </v>
      </c>
      <c r="G1246" s="10" t="str">
        <f t="shared" si="51"/>
        <v>ON1</v>
      </c>
      <c r="H1246" s="10" t="s">
        <v>21</v>
      </c>
      <c r="I1246" s="10" t="s">
        <v>330</v>
      </c>
      <c r="J1246" s="10" t="str">
        <f>""</f>
        <v/>
      </c>
      <c r="K1246" s="10" t="str">
        <f>"PFES1162561904_0001"</f>
        <v>PFES1162561904_0001</v>
      </c>
      <c r="L1246" s="10">
        <v>1</v>
      </c>
      <c r="M1246" s="10">
        <v>1</v>
      </c>
    </row>
    <row r="1247" spans="1:13">
      <c r="A1247" s="8">
        <v>42928</v>
      </c>
      <c r="B1247" s="9">
        <v>0.54999999999999993</v>
      </c>
      <c r="C1247" s="10" t="str">
        <f>"FES1162562101"</f>
        <v>FES1162562101</v>
      </c>
      <c r="D1247" s="10" t="s">
        <v>19</v>
      </c>
      <c r="E1247" s="10" t="s">
        <v>96</v>
      </c>
      <c r="F1247" s="10" t="str">
        <f>"2170578708 "</f>
        <v xml:space="preserve">2170578708 </v>
      </c>
      <c r="G1247" s="10" t="str">
        <f t="shared" si="51"/>
        <v>ON1</v>
      </c>
      <c r="H1247" s="10" t="s">
        <v>21</v>
      </c>
      <c r="I1247" s="10" t="s">
        <v>90</v>
      </c>
      <c r="J1247" s="10" t="str">
        <f>""</f>
        <v/>
      </c>
      <c r="K1247" s="10" t="str">
        <f>"PFES1162562101_0001"</f>
        <v>PFES1162562101_0001</v>
      </c>
      <c r="L1247" s="10">
        <v>1</v>
      </c>
      <c r="M1247" s="10">
        <v>1</v>
      </c>
    </row>
    <row r="1248" spans="1:13">
      <c r="A1248" s="8">
        <v>42928</v>
      </c>
      <c r="B1248" s="9">
        <v>0.5493055555555556</v>
      </c>
      <c r="C1248" s="10" t="str">
        <f>"FES1162561942"</f>
        <v>FES1162561942</v>
      </c>
      <c r="D1248" s="10" t="s">
        <v>19</v>
      </c>
      <c r="E1248" s="10" t="s">
        <v>349</v>
      </c>
      <c r="F1248" s="10" t="str">
        <f>"2170577922 "</f>
        <v xml:space="preserve">2170577922 </v>
      </c>
      <c r="G1248" s="10" t="str">
        <f t="shared" si="51"/>
        <v>ON1</v>
      </c>
      <c r="H1248" s="10" t="s">
        <v>21</v>
      </c>
      <c r="I1248" s="10" t="s">
        <v>58</v>
      </c>
      <c r="J1248" s="10" t="str">
        <f>""</f>
        <v/>
      </c>
      <c r="K1248" s="10" t="str">
        <f>"PFES1162561942_0001"</f>
        <v>PFES1162561942_0001</v>
      </c>
      <c r="L1248" s="10">
        <v>1</v>
      </c>
      <c r="M1248" s="10">
        <v>1</v>
      </c>
    </row>
    <row r="1249" spans="1:13">
      <c r="A1249" s="8">
        <v>42928</v>
      </c>
      <c r="B1249" s="9">
        <v>0.5493055555555556</v>
      </c>
      <c r="C1249" s="10" t="str">
        <f>"FES1162561957"</f>
        <v>FES1162561957</v>
      </c>
      <c r="D1249" s="10" t="s">
        <v>19</v>
      </c>
      <c r="E1249" s="10" t="s">
        <v>333</v>
      </c>
      <c r="F1249" s="10" t="str">
        <f>"2170578561 "</f>
        <v xml:space="preserve">2170578561 </v>
      </c>
      <c r="G1249" s="10" t="str">
        <f t="shared" si="51"/>
        <v>ON1</v>
      </c>
      <c r="H1249" s="10" t="s">
        <v>21</v>
      </c>
      <c r="I1249" s="10" t="s">
        <v>334</v>
      </c>
      <c r="J1249" s="10" t="str">
        <f>""</f>
        <v/>
      </c>
      <c r="K1249" s="10" t="str">
        <f>"PFES1162561957_0001"</f>
        <v>PFES1162561957_0001</v>
      </c>
      <c r="L1249" s="10">
        <v>1</v>
      </c>
      <c r="M1249" s="10">
        <v>1</v>
      </c>
    </row>
    <row r="1250" spans="1:13">
      <c r="A1250" s="8">
        <v>42928</v>
      </c>
      <c r="B1250" s="9">
        <v>0.54861111111111105</v>
      </c>
      <c r="C1250" s="10" t="str">
        <f>"FES1162561954"</f>
        <v>FES1162561954</v>
      </c>
      <c r="D1250" s="10" t="s">
        <v>19</v>
      </c>
      <c r="E1250" s="10" t="s">
        <v>333</v>
      </c>
      <c r="F1250" s="10" t="str">
        <f>"2170578557 "</f>
        <v xml:space="preserve">2170578557 </v>
      </c>
      <c r="G1250" s="10" t="str">
        <f t="shared" si="51"/>
        <v>ON1</v>
      </c>
      <c r="H1250" s="10" t="s">
        <v>21</v>
      </c>
      <c r="I1250" s="10" t="s">
        <v>334</v>
      </c>
      <c r="J1250" s="10" t="str">
        <f>""</f>
        <v/>
      </c>
      <c r="K1250" s="10" t="str">
        <f>"PFES1162561954_0001"</f>
        <v>PFES1162561954_0001</v>
      </c>
      <c r="L1250" s="10">
        <v>1</v>
      </c>
      <c r="M1250" s="10">
        <v>1</v>
      </c>
    </row>
    <row r="1251" spans="1:13">
      <c r="A1251" s="8">
        <v>42928</v>
      </c>
      <c r="B1251" s="9">
        <v>0.54861111111111105</v>
      </c>
      <c r="C1251" s="10" t="str">
        <f>"FES1162561500"</f>
        <v>FES1162561500</v>
      </c>
      <c r="D1251" s="10" t="s">
        <v>19</v>
      </c>
      <c r="E1251" s="10" t="s">
        <v>659</v>
      </c>
      <c r="F1251" s="10" t="str">
        <f>"2170574261 "</f>
        <v xml:space="preserve">2170574261 </v>
      </c>
      <c r="G1251" s="10" t="str">
        <f t="shared" si="51"/>
        <v>ON1</v>
      </c>
      <c r="H1251" s="10" t="s">
        <v>21</v>
      </c>
      <c r="I1251" s="10" t="s">
        <v>183</v>
      </c>
      <c r="J1251" s="10" t="str">
        <f>""</f>
        <v/>
      </c>
      <c r="K1251" s="10" t="str">
        <f>"PFES1162561500_0001"</f>
        <v>PFES1162561500_0001</v>
      </c>
      <c r="L1251" s="10">
        <v>1</v>
      </c>
      <c r="M1251" s="10">
        <v>1</v>
      </c>
    </row>
    <row r="1252" spans="1:13">
      <c r="A1252" s="8">
        <v>42928</v>
      </c>
      <c r="B1252" s="9">
        <v>0.54791666666666672</v>
      </c>
      <c r="C1252" s="10" t="str">
        <f>"FES1162561950"</f>
        <v>FES1162561950</v>
      </c>
      <c r="D1252" s="10" t="s">
        <v>19</v>
      </c>
      <c r="E1252" s="10" t="s">
        <v>326</v>
      </c>
      <c r="F1252" s="10" t="str">
        <f>"2170578552 "</f>
        <v xml:space="preserve">2170578552 </v>
      </c>
      <c r="G1252" s="10" t="str">
        <f t="shared" si="51"/>
        <v>ON1</v>
      </c>
      <c r="H1252" s="10" t="s">
        <v>21</v>
      </c>
      <c r="I1252" s="10" t="s">
        <v>327</v>
      </c>
      <c r="J1252" s="10" t="str">
        <f>""</f>
        <v/>
      </c>
      <c r="K1252" s="10" t="str">
        <f>"PFES1162561950_0001"</f>
        <v>PFES1162561950_0001</v>
      </c>
      <c r="L1252" s="10">
        <v>1</v>
      </c>
      <c r="M1252" s="10">
        <v>1</v>
      </c>
    </row>
    <row r="1253" spans="1:13">
      <c r="A1253" s="8">
        <v>42928</v>
      </c>
      <c r="B1253" s="9">
        <v>0.54791666666666672</v>
      </c>
      <c r="C1253" s="10" t="str">
        <f>"FES1162561982"</f>
        <v>FES1162561982</v>
      </c>
      <c r="D1253" s="10" t="s">
        <v>19</v>
      </c>
      <c r="E1253" s="10" t="s">
        <v>738</v>
      </c>
      <c r="F1253" s="10" t="str">
        <f>"2170578590 "</f>
        <v xml:space="preserve">2170578590 </v>
      </c>
      <c r="G1253" s="10" t="str">
        <f t="shared" si="51"/>
        <v>ON1</v>
      </c>
      <c r="H1253" s="10" t="s">
        <v>21</v>
      </c>
      <c r="I1253" s="10" t="s">
        <v>739</v>
      </c>
      <c r="J1253" s="10" t="str">
        <f>""</f>
        <v/>
      </c>
      <c r="K1253" s="10" t="str">
        <f>"PFES1162561982_0001"</f>
        <v>PFES1162561982_0001</v>
      </c>
      <c r="L1253" s="10">
        <v>1</v>
      </c>
      <c r="M1253" s="10">
        <v>1</v>
      </c>
    </row>
    <row r="1254" spans="1:13">
      <c r="A1254" s="8">
        <v>42928</v>
      </c>
      <c r="B1254" s="9">
        <v>0.54791666666666672</v>
      </c>
      <c r="C1254" s="10" t="str">
        <f>"FES1162561965"</f>
        <v>FES1162561965</v>
      </c>
      <c r="D1254" s="10" t="s">
        <v>19</v>
      </c>
      <c r="E1254" s="10" t="s">
        <v>365</v>
      </c>
      <c r="F1254" s="10" t="str">
        <f>"2170578572 "</f>
        <v xml:space="preserve">2170578572 </v>
      </c>
      <c r="G1254" s="10" t="str">
        <f t="shared" si="51"/>
        <v>ON1</v>
      </c>
      <c r="H1254" s="10" t="s">
        <v>21</v>
      </c>
      <c r="I1254" s="10" t="s">
        <v>330</v>
      </c>
      <c r="J1254" s="10" t="str">
        <f>""</f>
        <v/>
      </c>
      <c r="K1254" s="10" t="str">
        <f>"PFES1162561965_0001"</f>
        <v>PFES1162561965_0001</v>
      </c>
      <c r="L1254" s="10">
        <v>1</v>
      </c>
      <c r="M1254" s="10">
        <v>1</v>
      </c>
    </row>
    <row r="1255" spans="1:13">
      <c r="A1255" s="8">
        <v>42928</v>
      </c>
      <c r="B1255" s="9">
        <v>0.54722222222222217</v>
      </c>
      <c r="C1255" s="10" t="str">
        <f>"FES1162561949"</f>
        <v>FES1162561949</v>
      </c>
      <c r="D1255" s="10" t="s">
        <v>19</v>
      </c>
      <c r="E1255" s="10" t="s">
        <v>740</v>
      </c>
      <c r="F1255" s="10" t="str">
        <f>"2170578551 "</f>
        <v xml:space="preserve">2170578551 </v>
      </c>
      <c r="G1255" s="10" t="str">
        <f t="shared" si="51"/>
        <v>ON1</v>
      </c>
      <c r="H1255" s="10" t="s">
        <v>21</v>
      </c>
      <c r="I1255" s="10" t="s">
        <v>330</v>
      </c>
      <c r="J1255" s="10" t="str">
        <f>""</f>
        <v/>
      </c>
      <c r="K1255" s="10" t="str">
        <f>"PFES1162561949_0001"</f>
        <v>PFES1162561949_0001</v>
      </c>
      <c r="L1255" s="10">
        <v>1</v>
      </c>
      <c r="M1255" s="10">
        <v>1</v>
      </c>
    </row>
    <row r="1256" spans="1:13">
      <c r="A1256" s="8">
        <v>42928</v>
      </c>
      <c r="B1256" s="9">
        <v>0.54305555555555551</v>
      </c>
      <c r="C1256" s="10" t="str">
        <f>"FES1162562083"</f>
        <v>FES1162562083</v>
      </c>
      <c r="D1256" s="10" t="s">
        <v>19</v>
      </c>
      <c r="E1256" s="10" t="s">
        <v>33</v>
      </c>
      <c r="F1256" s="10" t="str">
        <f>"2170578692 "</f>
        <v xml:space="preserve">2170578692 </v>
      </c>
      <c r="G1256" s="10" t="str">
        <f t="shared" si="51"/>
        <v>ON1</v>
      </c>
      <c r="H1256" s="10" t="s">
        <v>21</v>
      </c>
      <c r="I1256" s="10" t="s">
        <v>34</v>
      </c>
      <c r="J1256" s="10" t="str">
        <f>""</f>
        <v/>
      </c>
      <c r="K1256" s="10" t="str">
        <f>"PFES1162562083_0001"</f>
        <v>PFES1162562083_0001</v>
      </c>
      <c r="L1256" s="10">
        <v>1</v>
      </c>
      <c r="M1256" s="10">
        <v>2</v>
      </c>
    </row>
    <row r="1257" spans="1:13">
      <c r="A1257" s="8">
        <v>42928</v>
      </c>
      <c r="B1257" s="9">
        <v>0.54236111111111118</v>
      </c>
      <c r="C1257" s="10" t="str">
        <f>"FES1162561883"</f>
        <v>FES1162561883</v>
      </c>
      <c r="D1257" s="10" t="s">
        <v>19</v>
      </c>
      <c r="E1257" s="10" t="s">
        <v>49</v>
      </c>
      <c r="F1257" s="10" t="str">
        <f>"2170570788 "</f>
        <v xml:space="preserve">2170570788 </v>
      </c>
      <c r="G1257" s="10" t="str">
        <f t="shared" si="51"/>
        <v>ON1</v>
      </c>
      <c r="H1257" s="10" t="s">
        <v>21</v>
      </c>
      <c r="I1257" s="10" t="s">
        <v>50</v>
      </c>
      <c r="J1257" s="10" t="str">
        <f>""</f>
        <v/>
      </c>
      <c r="K1257" s="10" t="str">
        <f>"PFES1162561883_0001"</f>
        <v>PFES1162561883_0001</v>
      </c>
      <c r="L1257" s="10">
        <v>2</v>
      </c>
      <c r="M1257" s="10">
        <v>4</v>
      </c>
    </row>
    <row r="1258" spans="1:13">
      <c r="A1258" s="8">
        <v>42928</v>
      </c>
      <c r="B1258" s="9">
        <v>0.54236111111111118</v>
      </c>
      <c r="C1258" s="10" t="str">
        <f>"FES1162561883"</f>
        <v>FES1162561883</v>
      </c>
      <c r="D1258" s="10" t="s">
        <v>19</v>
      </c>
      <c r="E1258" s="10" t="s">
        <v>49</v>
      </c>
      <c r="F1258" s="10" t="str">
        <f>"2170570788 "</f>
        <v xml:space="preserve">2170570788 </v>
      </c>
      <c r="G1258" s="10" t="str">
        <f t="shared" si="51"/>
        <v>ON1</v>
      </c>
      <c r="H1258" s="10" t="s">
        <v>21</v>
      </c>
      <c r="I1258" s="10" t="s">
        <v>50</v>
      </c>
      <c r="J1258" s="10"/>
      <c r="K1258" s="10" t="str">
        <f>"PFES1162561883_0002"</f>
        <v>PFES1162561883_0002</v>
      </c>
      <c r="L1258" s="10">
        <v>2</v>
      </c>
      <c r="M1258" s="10">
        <v>4</v>
      </c>
    </row>
    <row r="1259" spans="1:13">
      <c r="A1259" s="8">
        <v>42928</v>
      </c>
      <c r="B1259" s="9">
        <v>0.5395833333333333</v>
      </c>
      <c r="C1259" s="10" t="str">
        <f>"FES1162561899"</f>
        <v>FES1162561899</v>
      </c>
      <c r="D1259" s="10" t="s">
        <v>19</v>
      </c>
      <c r="E1259" s="10" t="s">
        <v>422</v>
      </c>
      <c r="F1259" s="10" t="str">
        <f>"2170575732 "</f>
        <v xml:space="preserve">2170575732 </v>
      </c>
      <c r="G1259" s="10" t="str">
        <f t="shared" ref="G1259:G1300" si="52">"ON1"</f>
        <v>ON1</v>
      </c>
      <c r="H1259" s="10" t="s">
        <v>21</v>
      </c>
      <c r="I1259" s="10" t="s">
        <v>330</v>
      </c>
      <c r="J1259" s="10" t="str">
        <f>""</f>
        <v/>
      </c>
      <c r="K1259" s="10" t="str">
        <f>"PFES1162561899_0001"</f>
        <v>PFES1162561899_0001</v>
      </c>
      <c r="L1259" s="10">
        <v>1</v>
      </c>
      <c r="M1259" s="10">
        <v>1</v>
      </c>
    </row>
    <row r="1260" spans="1:13">
      <c r="A1260" s="8">
        <v>42928</v>
      </c>
      <c r="B1260" s="9">
        <v>0.53888888888888886</v>
      </c>
      <c r="C1260" s="10" t="str">
        <f>"FES1162561943"</f>
        <v>FES1162561943</v>
      </c>
      <c r="D1260" s="10" t="s">
        <v>19</v>
      </c>
      <c r="E1260" s="10" t="s">
        <v>741</v>
      </c>
      <c r="F1260" s="10" t="str">
        <f>"2170578340 "</f>
        <v xml:space="preserve">2170578340 </v>
      </c>
      <c r="G1260" s="10" t="str">
        <f t="shared" si="52"/>
        <v>ON1</v>
      </c>
      <c r="H1260" s="10" t="s">
        <v>21</v>
      </c>
      <c r="I1260" s="10" t="s">
        <v>742</v>
      </c>
      <c r="J1260" s="10" t="str">
        <f>""</f>
        <v/>
      </c>
      <c r="K1260" s="10" t="str">
        <f>"PFES1162561943_0001"</f>
        <v>PFES1162561943_0001</v>
      </c>
      <c r="L1260" s="10">
        <v>1</v>
      </c>
      <c r="M1260" s="10">
        <v>1</v>
      </c>
    </row>
    <row r="1261" spans="1:13">
      <c r="A1261" s="8">
        <v>42928</v>
      </c>
      <c r="B1261" s="9">
        <v>0.53888888888888886</v>
      </c>
      <c r="C1261" s="10" t="str">
        <f>"FES1162561903"</f>
        <v>FES1162561903</v>
      </c>
      <c r="D1261" s="10" t="s">
        <v>19</v>
      </c>
      <c r="E1261" s="10" t="s">
        <v>737</v>
      </c>
      <c r="F1261" s="10" t="str">
        <f>"2170576210 "</f>
        <v xml:space="preserve">2170576210 </v>
      </c>
      <c r="G1261" s="10" t="str">
        <f t="shared" si="52"/>
        <v>ON1</v>
      </c>
      <c r="H1261" s="10" t="s">
        <v>21</v>
      </c>
      <c r="I1261" s="10" t="s">
        <v>330</v>
      </c>
      <c r="J1261" s="10" t="str">
        <f>""</f>
        <v/>
      </c>
      <c r="K1261" s="10" t="str">
        <f>"PFES1162561903_0001"</f>
        <v>PFES1162561903_0001</v>
      </c>
      <c r="L1261" s="10">
        <v>1</v>
      </c>
      <c r="M1261" s="10">
        <v>1</v>
      </c>
    </row>
    <row r="1262" spans="1:13">
      <c r="A1262" s="8">
        <v>42928</v>
      </c>
      <c r="B1262" s="9">
        <v>0.53819444444444442</v>
      </c>
      <c r="C1262" s="10" t="str">
        <f>"FES1162561882"</f>
        <v>FES1162561882</v>
      </c>
      <c r="D1262" s="10" t="s">
        <v>19</v>
      </c>
      <c r="E1262" s="10" t="s">
        <v>118</v>
      </c>
      <c r="F1262" s="10" t="str">
        <f>"21705768582 "</f>
        <v xml:space="preserve">21705768582 </v>
      </c>
      <c r="G1262" s="10" t="str">
        <f t="shared" si="52"/>
        <v>ON1</v>
      </c>
      <c r="H1262" s="10" t="s">
        <v>21</v>
      </c>
      <c r="I1262" s="10" t="s">
        <v>119</v>
      </c>
      <c r="J1262" s="10" t="str">
        <f>""</f>
        <v/>
      </c>
      <c r="K1262" s="10" t="str">
        <f>"PFES1162561882_0001"</f>
        <v>PFES1162561882_0001</v>
      </c>
      <c r="L1262" s="10">
        <v>1</v>
      </c>
      <c r="M1262" s="10">
        <v>1</v>
      </c>
    </row>
    <row r="1263" spans="1:13">
      <c r="A1263" s="8">
        <v>42928</v>
      </c>
      <c r="B1263" s="9">
        <v>0.53819444444444442</v>
      </c>
      <c r="C1263" s="10" t="str">
        <f>"FES1162561915"</f>
        <v>FES1162561915</v>
      </c>
      <c r="D1263" s="10" t="s">
        <v>19</v>
      </c>
      <c r="E1263" s="10" t="s">
        <v>299</v>
      </c>
      <c r="F1263" s="10" t="str">
        <f>"2170576559 "</f>
        <v xml:space="preserve">2170576559 </v>
      </c>
      <c r="G1263" s="10" t="str">
        <f t="shared" si="52"/>
        <v>ON1</v>
      </c>
      <c r="H1263" s="10" t="s">
        <v>21</v>
      </c>
      <c r="I1263" s="10" t="s">
        <v>183</v>
      </c>
      <c r="J1263" s="10" t="str">
        <f>""</f>
        <v/>
      </c>
      <c r="K1263" s="10" t="str">
        <f>"PFES1162561915_0001"</f>
        <v>PFES1162561915_0001</v>
      </c>
      <c r="L1263" s="10">
        <v>1</v>
      </c>
      <c r="M1263" s="10">
        <v>1</v>
      </c>
    </row>
    <row r="1264" spans="1:13">
      <c r="A1264" s="8">
        <v>42928</v>
      </c>
      <c r="B1264" s="9">
        <v>0.53749999999999998</v>
      </c>
      <c r="C1264" s="10" t="str">
        <f>"FES1162561889"</f>
        <v>FES1162561889</v>
      </c>
      <c r="D1264" s="10" t="s">
        <v>19</v>
      </c>
      <c r="E1264" s="10" t="s">
        <v>391</v>
      </c>
      <c r="F1264" s="10" t="str">
        <f>"2170572991 "</f>
        <v xml:space="preserve">2170572991 </v>
      </c>
      <c r="G1264" s="10" t="str">
        <f t="shared" si="52"/>
        <v>ON1</v>
      </c>
      <c r="H1264" s="10" t="s">
        <v>21</v>
      </c>
      <c r="I1264" s="10" t="s">
        <v>183</v>
      </c>
      <c r="J1264" s="10" t="str">
        <f>""</f>
        <v/>
      </c>
      <c r="K1264" s="10" t="str">
        <f>"PFES1162561889_0001"</f>
        <v>PFES1162561889_0001</v>
      </c>
      <c r="L1264" s="10">
        <v>1</v>
      </c>
      <c r="M1264" s="10">
        <v>1</v>
      </c>
    </row>
    <row r="1265" spans="1:13">
      <c r="A1265" s="8">
        <v>42928</v>
      </c>
      <c r="B1265" s="9">
        <v>0.53749999999999998</v>
      </c>
      <c r="C1265" s="10" t="str">
        <f>"FES1162561560"</f>
        <v>FES1162561560</v>
      </c>
      <c r="D1265" s="10" t="s">
        <v>19</v>
      </c>
      <c r="E1265" s="10" t="s">
        <v>355</v>
      </c>
      <c r="F1265" s="10" t="str">
        <f>"2170576157 "</f>
        <v xml:space="preserve">2170576157 </v>
      </c>
      <c r="G1265" s="10" t="str">
        <f t="shared" si="52"/>
        <v>ON1</v>
      </c>
      <c r="H1265" s="10" t="s">
        <v>21</v>
      </c>
      <c r="I1265" s="10" t="s">
        <v>330</v>
      </c>
      <c r="J1265" s="10" t="str">
        <f>""</f>
        <v/>
      </c>
      <c r="K1265" s="10" t="str">
        <f>"PFES1162561560_0001"</f>
        <v>PFES1162561560_0001</v>
      </c>
      <c r="L1265" s="10">
        <v>1</v>
      </c>
      <c r="M1265" s="10">
        <v>1</v>
      </c>
    </row>
    <row r="1266" spans="1:13">
      <c r="A1266" s="8">
        <v>42928</v>
      </c>
      <c r="B1266" s="9">
        <v>0.53680555555555554</v>
      </c>
      <c r="C1266" s="10" t="str">
        <f>"FES1162561858"</f>
        <v>FES1162561858</v>
      </c>
      <c r="D1266" s="10" t="s">
        <v>19</v>
      </c>
      <c r="E1266" s="10" t="s">
        <v>416</v>
      </c>
      <c r="F1266" s="10" t="str">
        <f>"2170578512 "</f>
        <v xml:space="preserve">2170578512 </v>
      </c>
      <c r="G1266" s="10" t="str">
        <f t="shared" si="52"/>
        <v>ON1</v>
      </c>
      <c r="H1266" s="10" t="s">
        <v>21</v>
      </c>
      <c r="I1266" s="10" t="s">
        <v>157</v>
      </c>
      <c r="J1266" s="10" t="str">
        <f>""</f>
        <v/>
      </c>
      <c r="K1266" s="10" t="str">
        <f>"PFES1162561858_0001"</f>
        <v>PFES1162561858_0001</v>
      </c>
      <c r="L1266" s="10">
        <v>1</v>
      </c>
      <c r="M1266" s="10">
        <v>1</v>
      </c>
    </row>
    <row r="1267" spans="1:13">
      <c r="A1267" s="8">
        <v>42928</v>
      </c>
      <c r="B1267" s="9">
        <v>0.53611111111111109</v>
      </c>
      <c r="C1267" s="10" t="str">
        <f>"FES1162561914"</f>
        <v>FES1162561914</v>
      </c>
      <c r="D1267" s="10" t="s">
        <v>19</v>
      </c>
      <c r="E1267" s="10" t="s">
        <v>743</v>
      </c>
      <c r="F1267" s="10" t="str">
        <f>"217076539 "</f>
        <v xml:space="preserve">217076539 </v>
      </c>
      <c r="G1267" s="10" t="str">
        <f t="shared" si="52"/>
        <v>ON1</v>
      </c>
      <c r="H1267" s="10" t="s">
        <v>21</v>
      </c>
      <c r="I1267" s="10" t="s">
        <v>22</v>
      </c>
      <c r="J1267" s="10" t="str">
        <f>""</f>
        <v/>
      </c>
      <c r="K1267" s="10" t="str">
        <f>"PFES1162561914_0001"</f>
        <v>PFES1162561914_0001</v>
      </c>
      <c r="L1267" s="10">
        <v>1</v>
      </c>
      <c r="M1267" s="10">
        <v>1</v>
      </c>
    </row>
    <row r="1268" spans="1:13">
      <c r="A1268" s="8">
        <v>42928</v>
      </c>
      <c r="B1268" s="9">
        <v>0.53611111111111109</v>
      </c>
      <c r="C1268" s="10" t="str">
        <f>"FES1162561979"</f>
        <v>FES1162561979</v>
      </c>
      <c r="D1268" s="10" t="s">
        <v>19</v>
      </c>
      <c r="E1268" s="10" t="s">
        <v>288</v>
      </c>
      <c r="F1268" s="10" t="str">
        <f>"2170578586 "</f>
        <v xml:space="preserve">2170578586 </v>
      </c>
      <c r="G1268" s="10" t="str">
        <f t="shared" si="52"/>
        <v>ON1</v>
      </c>
      <c r="H1268" s="10" t="s">
        <v>21</v>
      </c>
      <c r="I1268" s="10" t="s">
        <v>177</v>
      </c>
      <c r="J1268" s="10" t="str">
        <f>""</f>
        <v/>
      </c>
      <c r="K1268" s="10" t="str">
        <f>"PFES1162561979_0001"</f>
        <v>PFES1162561979_0001</v>
      </c>
      <c r="L1268" s="10">
        <v>1</v>
      </c>
      <c r="M1268" s="10">
        <v>1</v>
      </c>
    </row>
    <row r="1269" spans="1:13">
      <c r="A1269" s="8">
        <v>42928</v>
      </c>
      <c r="B1269" s="9">
        <v>0.53541666666666665</v>
      </c>
      <c r="C1269" s="10" t="str">
        <f>"FES1162561838"</f>
        <v>FES1162561838</v>
      </c>
      <c r="D1269" s="10" t="s">
        <v>19</v>
      </c>
      <c r="E1269" s="10" t="s">
        <v>458</v>
      </c>
      <c r="F1269" s="10" t="str">
        <f>"2170578493 "</f>
        <v xml:space="preserve">2170578493 </v>
      </c>
      <c r="G1269" s="10" t="str">
        <f t="shared" si="52"/>
        <v>ON1</v>
      </c>
      <c r="H1269" s="10" t="s">
        <v>21</v>
      </c>
      <c r="I1269" s="10" t="s">
        <v>393</v>
      </c>
      <c r="J1269" s="10" t="str">
        <f>""</f>
        <v/>
      </c>
      <c r="K1269" s="10" t="str">
        <f>"PFES1162561838_0001"</f>
        <v>PFES1162561838_0001</v>
      </c>
      <c r="L1269" s="10">
        <v>1</v>
      </c>
      <c r="M1269" s="10">
        <v>1</v>
      </c>
    </row>
    <row r="1270" spans="1:13">
      <c r="A1270" s="8">
        <v>42928</v>
      </c>
      <c r="B1270" s="9">
        <v>0.53541666666666665</v>
      </c>
      <c r="C1270" s="10" t="str">
        <f>"FES1162561895"</f>
        <v>FES1162561895</v>
      </c>
      <c r="D1270" s="10" t="s">
        <v>19</v>
      </c>
      <c r="E1270" s="10" t="s">
        <v>69</v>
      </c>
      <c r="F1270" s="10" t="str">
        <f>"2170575390 "</f>
        <v xml:space="preserve">2170575390 </v>
      </c>
      <c r="G1270" s="10" t="str">
        <f t="shared" si="52"/>
        <v>ON1</v>
      </c>
      <c r="H1270" s="10" t="s">
        <v>21</v>
      </c>
      <c r="I1270" s="10" t="s">
        <v>70</v>
      </c>
      <c r="J1270" s="10" t="str">
        <f>""</f>
        <v/>
      </c>
      <c r="K1270" s="10" t="str">
        <f>"PFES1162561895_0001"</f>
        <v>PFES1162561895_0001</v>
      </c>
      <c r="L1270" s="10">
        <v>1</v>
      </c>
      <c r="M1270" s="10">
        <v>1</v>
      </c>
    </row>
    <row r="1271" spans="1:13">
      <c r="A1271" s="8">
        <v>42928</v>
      </c>
      <c r="B1271" s="9">
        <v>0.53472222222222221</v>
      </c>
      <c r="C1271" s="10" t="str">
        <f>"FES1162561929"</f>
        <v>FES1162561929</v>
      </c>
      <c r="D1271" s="10" t="s">
        <v>19</v>
      </c>
      <c r="E1271" s="10" t="s">
        <v>744</v>
      </c>
      <c r="F1271" s="10" t="str">
        <f>"2170576701 "</f>
        <v xml:space="preserve">2170576701 </v>
      </c>
      <c r="G1271" s="10" t="str">
        <f t="shared" si="52"/>
        <v>ON1</v>
      </c>
      <c r="H1271" s="10" t="s">
        <v>21</v>
      </c>
      <c r="I1271" s="10" t="s">
        <v>745</v>
      </c>
      <c r="J1271" s="10" t="str">
        <f>""</f>
        <v/>
      </c>
      <c r="K1271" s="10" t="str">
        <f>"PFES1162561929_0001"</f>
        <v>PFES1162561929_0001</v>
      </c>
      <c r="L1271" s="10">
        <v>1</v>
      </c>
      <c r="M1271" s="10">
        <v>1</v>
      </c>
    </row>
    <row r="1272" spans="1:13">
      <c r="A1272" s="8">
        <v>42928</v>
      </c>
      <c r="B1272" s="9">
        <v>0.53472222222222221</v>
      </c>
      <c r="C1272" s="10" t="str">
        <f>"FES1162562008"</f>
        <v>FES1162562008</v>
      </c>
      <c r="D1272" s="10" t="s">
        <v>19</v>
      </c>
      <c r="E1272" s="10" t="s">
        <v>350</v>
      </c>
      <c r="F1272" s="10" t="str">
        <f>"21705786132 "</f>
        <v xml:space="preserve">21705786132 </v>
      </c>
      <c r="G1272" s="10" t="str">
        <f t="shared" si="52"/>
        <v>ON1</v>
      </c>
      <c r="H1272" s="10" t="s">
        <v>21</v>
      </c>
      <c r="I1272" s="10" t="s">
        <v>351</v>
      </c>
      <c r="J1272" s="10" t="str">
        <f>""</f>
        <v/>
      </c>
      <c r="K1272" s="10" t="str">
        <f>"PFES1162562008_0001"</f>
        <v>PFES1162562008_0001</v>
      </c>
      <c r="L1272" s="10">
        <v>1</v>
      </c>
      <c r="M1272" s="10">
        <v>1</v>
      </c>
    </row>
    <row r="1273" spans="1:13">
      <c r="A1273" s="8">
        <v>42928</v>
      </c>
      <c r="B1273" s="9">
        <v>0.53402777777777777</v>
      </c>
      <c r="C1273" s="10" t="str">
        <f>"FES1162561567"</f>
        <v>FES1162561567</v>
      </c>
      <c r="D1273" s="10" t="s">
        <v>19</v>
      </c>
      <c r="E1273" s="10" t="s">
        <v>131</v>
      </c>
      <c r="F1273" s="10" t="str">
        <f>"2170576311 "</f>
        <v xml:space="preserve">2170576311 </v>
      </c>
      <c r="G1273" s="10" t="str">
        <f t="shared" si="52"/>
        <v>ON1</v>
      </c>
      <c r="H1273" s="10" t="s">
        <v>21</v>
      </c>
      <c r="I1273" s="10" t="s">
        <v>132</v>
      </c>
      <c r="J1273" s="10" t="str">
        <f>""</f>
        <v/>
      </c>
      <c r="K1273" s="10" t="str">
        <f>"PFES1162561567_0001"</f>
        <v>PFES1162561567_0001</v>
      </c>
      <c r="L1273" s="10">
        <v>1</v>
      </c>
      <c r="M1273" s="10">
        <v>1</v>
      </c>
    </row>
    <row r="1274" spans="1:13">
      <c r="A1274" s="8">
        <v>42928</v>
      </c>
      <c r="B1274" s="9">
        <v>0.53402777777777777</v>
      </c>
      <c r="C1274" s="10" t="str">
        <f>"FES1162561822"</f>
        <v>FES1162561822</v>
      </c>
      <c r="D1274" s="10" t="s">
        <v>19</v>
      </c>
      <c r="E1274" s="10" t="s">
        <v>744</v>
      </c>
      <c r="F1274" s="10" t="str">
        <f>"2170578441 "</f>
        <v xml:space="preserve">2170578441 </v>
      </c>
      <c r="G1274" s="10" t="str">
        <f t="shared" si="52"/>
        <v>ON1</v>
      </c>
      <c r="H1274" s="10" t="s">
        <v>21</v>
      </c>
      <c r="I1274" s="10" t="s">
        <v>745</v>
      </c>
      <c r="J1274" s="10" t="str">
        <f>""</f>
        <v/>
      </c>
      <c r="K1274" s="10" t="str">
        <f>"PFES1162561822_0001"</f>
        <v>PFES1162561822_0001</v>
      </c>
      <c r="L1274" s="10">
        <v>1</v>
      </c>
      <c r="M1274" s="10">
        <v>1</v>
      </c>
    </row>
    <row r="1275" spans="1:13">
      <c r="A1275" s="8">
        <v>42928</v>
      </c>
      <c r="B1275" s="9">
        <v>0.53333333333333333</v>
      </c>
      <c r="C1275" s="10" t="str">
        <f>"FES1162561934"</f>
        <v>FES1162561934</v>
      </c>
      <c r="D1275" s="10" t="s">
        <v>19</v>
      </c>
      <c r="E1275" s="10" t="s">
        <v>55</v>
      </c>
      <c r="F1275" s="10" t="str">
        <f>"2170576913 "</f>
        <v xml:space="preserve">2170576913 </v>
      </c>
      <c r="G1275" s="10" t="str">
        <f t="shared" si="52"/>
        <v>ON1</v>
      </c>
      <c r="H1275" s="10" t="s">
        <v>21</v>
      </c>
      <c r="I1275" s="10" t="s">
        <v>56</v>
      </c>
      <c r="J1275" s="10" t="str">
        <f>""</f>
        <v/>
      </c>
      <c r="K1275" s="10" t="str">
        <f>"PFES1162561934_0001"</f>
        <v>PFES1162561934_0001</v>
      </c>
      <c r="L1275" s="10">
        <v>1</v>
      </c>
      <c r="M1275" s="10">
        <v>1</v>
      </c>
    </row>
    <row r="1276" spans="1:13">
      <c r="A1276" s="8">
        <v>42928</v>
      </c>
      <c r="B1276" s="9">
        <v>0.53333333333333333</v>
      </c>
      <c r="C1276" s="10" t="str">
        <f>"FES1162561901"</f>
        <v>FES1162561901</v>
      </c>
      <c r="D1276" s="10" t="s">
        <v>19</v>
      </c>
      <c r="E1276" s="10" t="s">
        <v>511</v>
      </c>
      <c r="F1276" s="10" t="str">
        <f>"2170575984 "</f>
        <v xml:space="preserve">2170575984 </v>
      </c>
      <c r="G1276" s="10" t="str">
        <f t="shared" si="52"/>
        <v>ON1</v>
      </c>
      <c r="H1276" s="10" t="s">
        <v>21</v>
      </c>
      <c r="I1276" s="10" t="s">
        <v>138</v>
      </c>
      <c r="J1276" s="10" t="str">
        <f>""</f>
        <v/>
      </c>
      <c r="K1276" s="10" t="str">
        <f>"PFES1162561901_0001"</f>
        <v>PFES1162561901_0001</v>
      </c>
      <c r="L1276" s="10">
        <v>1</v>
      </c>
      <c r="M1276" s="10">
        <v>1</v>
      </c>
    </row>
    <row r="1277" spans="1:13">
      <c r="A1277" s="8">
        <v>42928</v>
      </c>
      <c r="B1277" s="9">
        <v>0.53263888888888888</v>
      </c>
      <c r="C1277" s="10" t="str">
        <f>"FES1162561980"</f>
        <v>FES1162561980</v>
      </c>
      <c r="D1277" s="10" t="s">
        <v>19</v>
      </c>
      <c r="E1277" s="10" t="s">
        <v>288</v>
      </c>
      <c r="F1277" s="10" t="str">
        <f>"2170578587 "</f>
        <v xml:space="preserve">2170578587 </v>
      </c>
      <c r="G1277" s="10" t="str">
        <f t="shared" si="52"/>
        <v>ON1</v>
      </c>
      <c r="H1277" s="10" t="s">
        <v>21</v>
      </c>
      <c r="I1277" s="10" t="s">
        <v>177</v>
      </c>
      <c r="J1277" s="10" t="str">
        <f>""</f>
        <v/>
      </c>
      <c r="K1277" s="10" t="str">
        <f>"PFES1162561980_0001"</f>
        <v>PFES1162561980_0001</v>
      </c>
      <c r="L1277" s="10">
        <v>1</v>
      </c>
      <c r="M1277" s="10">
        <v>1</v>
      </c>
    </row>
    <row r="1278" spans="1:13">
      <c r="A1278" s="8">
        <v>42928</v>
      </c>
      <c r="B1278" s="9">
        <v>0.53263888888888888</v>
      </c>
      <c r="C1278" s="10" t="str">
        <f>"FES1162561935"</f>
        <v>FES1162561935</v>
      </c>
      <c r="D1278" s="10" t="s">
        <v>19</v>
      </c>
      <c r="E1278" s="10" t="s">
        <v>502</v>
      </c>
      <c r="F1278" s="10" t="str">
        <f>"2170577163 "</f>
        <v xml:space="preserve">2170577163 </v>
      </c>
      <c r="G1278" s="10" t="str">
        <f t="shared" si="52"/>
        <v>ON1</v>
      </c>
      <c r="H1278" s="10" t="s">
        <v>21</v>
      </c>
      <c r="I1278" s="10" t="s">
        <v>503</v>
      </c>
      <c r="J1278" s="10" t="str">
        <f>""</f>
        <v/>
      </c>
      <c r="K1278" s="10" t="str">
        <f>"PFES1162561935_0001"</f>
        <v>PFES1162561935_0001</v>
      </c>
      <c r="L1278" s="10">
        <v>1</v>
      </c>
      <c r="M1278" s="10">
        <v>3</v>
      </c>
    </row>
    <row r="1279" spans="1:13">
      <c r="A1279" s="8">
        <v>42928</v>
      </c>
      <c r="B1279" s="9">
        <v>0.53263888888888888</v>
      </c>
      <c r="C1279" s="10" t="str">
        <f>"FES1162561897"</f>
        <v>FES1162561897</v>
      </c>
      <c r="D1279" s="10" t="s">
        <v>19</v>
      </c>
      <c r="E1279" s="10" t="s">
        <v>178</v>
      </c>
      <c r="F1279" s="10" t="str">
        <f>"2170575568 "</f>
        <v xml:space="preserve">2170575568 </v>
      </c>
      <c r="G1279" s="10" t="str">
        <f t="shared" si="52"/>
        <v>ON1</v>
      </c>
      <c r="H1279" s="10" t="s">
        <v>21</v>
      </c>
      <c r="I1279" s="10" t="s">
        <v>179</v>
      </c>
      <c r="J1279" s="10" t="str">
        <f>""</f>
        <v/>
      </c>
      <c r="K1279" s="10" t="str">
        <f>"PFES1162561897_0001"</f>
        <v>PFES1162561897_0001</v>
      </c>
      <c r="L1279" s="10">
        <v>1</v>
      </c>
      <c r="M1279" s="10">
        <v>3</v>
      </c>
    </row>
    <row r="1280" spans="1:13">
      <c r="A1280" s="8">
        <v>42928</v>
      </c>
      <c r="B1280" s="9">
        <v>0.53194444444444444</v>
      </c>
      <c r="C1280" s="10" t="str">
        <f>"FES1162561971"</f>
        <v>FES1162561971</v>
      </c>
      <c r="D1280" s="10" t="s">
        <v>19</v>
      </c>
      <c r="E1280" s="10" t="s">
        <v>746</v>
      </c>
      <c r="F1280" s="10" t="str">
        <f>"2170578579 "</f>
        <v xml:space="preserve">2170578579 </v>
      </c>
      <c r="G1280" s="10" t="str">
        <f t="shared" si="52"/>
        <v>ON1</v>
      </c>
      <c r="H1280" s="10" t="s">
        <v>21</v>
      </c>
      <c r="I1280" s="10" t="s">
        <v>747</v>
      </c>
      <c r="J1280" s="10" t="str">
        <f>""</f>
        <v/>
      </c>
      <c r="K1280" s="10" t="str">
        <f>"PFES1162561971_0001"</f>
        <v>PFES1162561971_0001</v>
      </c>
      <c r="L1280" s="10">
        <v>1</v>
      </c>
      <c r="M1280" s="10">
        <v>2</v>
      </c>
    </row>
    <row r="1281" spans="1:13">
      <c r="A1281" s="8">
        <v>42928</v>
      </c>
      <c r="B1281" s="9">
        <v>0.53194444444444444</v>
      </c>
      <c r="C1281" s="10" t="str">
        <f>"FES1162561910"</f>
        <v>FES1162561910</v>
      </c>
      <c r="D1281" s="10" t="s">
        <v>19</v>
      </c>
      <c r="E1281" s="10" t="s">
        <v>396</v>
      </c>
      <c r="F1281" s="10" t="str">
        <f>"23170576461 "</f>
        <v xml:space="preserve">23170576461 </v>
      </c>
      <c r="G1281" s="10" t="str">
        <f t="shared" si="52"/>
        <v>ON1</v>
      </c>
      <c r="H1281" s="10" t="s">
        <v>21</v>
      </c>
      <c r="I1281" s="10" t="s">
        <v>340</v>
      </c>
      <c r="J1281" s="10" t="str">
        <f>""</f>
        <v/>
      </c>
      <c r="K1281" s="10" t="str">
        <f>"PFES1162561910_0001"</f>
        <v>PFES1162561910_0001</v>
      </c>
      <c r="L1281" s="10">
        <v>1</v>
      </c>
      <c r="M1281" s="10">
        <v>9</v>
      </c>
    </row>
    <row r="1282" spans="1:13">
      <c r="A1282" s="8">
        <v>42928</v>
      </c>
      <c r="B1282" s="9">
        <v>0.53125</v>
      </c>
      <c r="C1282" s="10" t="str">
        <f>"FES1162561955"</f>
        <v>FES1162561955</v>
      </c>
      <c r="D1282" s="10" t="s">
        <v>19</v>
      </c>
      <c r="E1282" s="10" t="s">
        <v>659</v>
      </c>
      <c r="F1282" s="10" t="str">
        <f>"2170578558 "</f>
        <v xml:space="preserve">2170578558 </v>
      </c>
      <c r="G1282" s="10" t="str">
        <f t="shared" si="52"/>
        <v>ON1</v>
      </c>
      <c r="H1282" s="10" t="s">
        <v>21</v>
      </c>
      <c r="I1282" s="10" t="s">
        <v>183</v>
      </c>
      <c r="J1282" s="10" t="str">
        <f>""</f>
        <v/>
      </c>
      <c r="K1282" s="10" t="str">
        <f>"PFES1162561955_0001"</f>
        <v>PFES1162561955_0001</v>
      </c>
      <c r="L1282" s="10">
        <v>1</v>
      </c>
      <c r="M1282" s="10">
        <v>2</v>
      </c>
    </row>
    <row r="1283" spans="1:13">
      <c r="A1283" s="8">
        <v>42928</v>
      </c>
      <c r="B1283" s="9">
        <v>0.52638888888888891</v>
      </c>
      <c r="C1283" s="10" t="str">
        <f>"FES1162562068"</f>
        <v>FES1162562068</v>
      </c>
      <c r="D1283" s="10" t="s">
        <v>19</v>
      </c>
      <c r="E1283" s="10" t="s">
        <v>39</v>
      </c>
      <c r="F1283" s="10" t="str">
        <f>"2170578682 "</f>
        <v xml:space="preserve">2170578682 </v>
      </c>
      <c r="G1283" s="10" t="str">
        <f t="shared" si="52"/>
        <v>ON1</v>
      </c>
      <c r="H1283" s="10" t="s">
        <v>21</v>
      </c>
      <c r="I1283" s="10" t="s">
        <v>40</v>
      </c>
      <c r="J1283" s="10" t="str">
        <f>""</f>
        <v/>
      </c>
      <c r="K1283" s="10" t="str">
        <f>"PFES1162562068_0001"</f>
        <v>PFES1162562068_0001</v>
      </c>
      <c r="L1283" s="10">
        <v>1</v>
      </c>
      <c r="M1283" s="10">
        <v>1</v>
      </c>
    </row>
    <row r="1284" spans="1:13">
      <c r="A1284" s="8">
        <v>42928</v>
      </c>
      <c r="B1284" s="9">
        <v>0.52638888888888891</v>
      </c>
      <c r="C1284" s="10" t="str">
        <f>"FES1162562051"</f>
        <v>FES1162562051</v>
      </c>
      <c r="D1284" s="10" t="s">
        <v>19</v>
      </c>
      <c r="E1284" s="10" t="s">
        <v>570</v>
      </c>
      <c r="F1284" s="10" t="str">
        <f>"2170578667 "</f>
        <v xml:space="preserve">2170578667 </v>
      </c>
      <c r="G1284" s="10" t="str">
        <f t="shared" si="52"/>
        <v>ON1</v>
      </c>
      <c r="H1284" s="10" t="s">
        <v>21</v>
      </c>
      <c r="I1284" s="10" t="s">
        <v>571</v>
      </c>
      <c r="J1284" s="10" t="str">
        <f>""</f>
        <v/>
      </c>
      <c r="K1284" s="10" t="str">
        <f>"PFES1162562051_0001"</f>
        <v>PFES1162562051_0001</v>
      </c>
      <c r="L1284" s="10">
        <v>1</v>
      </c>
      <c r="M1284" s="10">
        <v>1</v>
      </c>
    </row>
    <row r="1285" spans="1:13">
      <c r="A1285" s="8">
        <v>42928</v>
      </c>
      <c r="B1285" s="9">
        <v>0.52569444444444446</v>
      </c>
      <c r="C1285" s="10" t="str">
        <f>"FES1162561992"</f>
        <v>FES1162561992</v>
      </c>
      <c r="D1285" s="10" t="s">
        <v>19</v>
      </c>
      <c r="E1285" s="10" t="s">
        <v>89</v>
      </c>
      <c r="F1285" s="10" t="str">
        <f>"2170578596 "</f>
        <v xml:space="preserve">2170578596 </v>
      </c>
      <c r="G1285" s="10" t="str">
        <f t="shared" si="52"/>
        <v>ON1</v>
      </c>
      <c r="H1285" s="10" t="s">
        <v>21</v>
      </c>
      <c r="I1285" s="10" t="s">
        <v>90</v>
      </c>
      <c r="J1285" s="10" t="str">
        <f>""</f>
        <v/>
      </c>
      <c r="K1285" s="10" t="str">
        <f>"PFES1162561992_0001"</f>
        <v>PFES1162561992_0001</v>
      </c>
      <c r="L1285" s="10">
        <v>1</v>
      </c>
      <c r="M1285" s="10">
        <v>1</v>
      </c>
    </row>
    <row r="1286" spans="1:13">
      <c r="A1286" s="8">
        <v>42928</v>
      </c>
      <c r="B1286" s="9">
        <v>0.52569444444444446</v>
      </c>
      <c r="C1286" s="10" t="str">
        <f>"FES1162562094"</f>
        <v>FES1162562094</v>
      </c>
      <c r="D1286" s="10" t="s">
        <v>19</v>
      </c>
      <c r="E1286" s="10" t="s">
        <v>47</v>
      </c>
      <c r="F1286" s="10" t="str">
        <f>"2170578694 "</f>
        <v xml:space="preserve">2170578694 </v>
      </c>
      <c r="G1286" s="10" t="str">
        <f t="shared" si="52"/>
        <v>ON1</v>
      </c>
      <c r="H1286" s="10" t="s">
        <v>21</v>
      </c>
      <c r="I1286" s="10" t="s">
        <v>48</v>
      </c>
      <c r="J1286" s="10" t="str">
        <f>""</f>
        <v/>
      </c>
      <c r="K1286" s="10" t="str">
        <f>"PFES1162562094_0001"</f>
        <v>PFES1162562094_0001</v>
      </c>
      <c r="L1286" s="10">
        <v>1</v>
      </c>
      <c r="M1286" s="10">
        <v>1</v>
      </c>
    </row>
    <row r="1287" spans="1:13">
      <c r="A1287" s="8">
        <v>42928</v>
      </c>
      <c r="B1287" s="9">
        <v>0.52500000000000002</v>
      </c>
      <c r="C1287" s="10" t="str">
        <f>"FES1162561922"</f>
        <v>FES1162561922</v>
      </c>
      <c r="D1287" s="10" t="s">
        <v>19</v>
      </c>
      <c r="E1287" s="10" t="s">
        <v>297</v>
      </c>
      <c r="F1287" s="10" t="str">
        <f>"2170576621 "</f>
        <v xml:space="preserve">2170576621 </v>
      </c>
      <c r="G1287" s="10" t="str">
        <f t="shared" si="52"/>
        <v>ON1</v>
      </c>
      <c r="H1287" s="10" t="s">
        <v>21</v>
      </c>
      <c r="I1287" s="10" t="s">
        <v>98</v>
      </c>
      <c r="J1287" s="10" t="str">
        <f>""</f>
        <v/>
      </c>
      <c r="K1287" s="10" t="str">
        <f>"PFES1162561922_0001"</f>
        <v>PFES1162561922_0001</v>
      </c>
      <c r="L1287" s="10">
        <v>1</v>
      </c>
      <c r="M1287" s="10">
        <v>1</v>
      </c>
    </row>
    <row r="1288" spans="1:13">
      <c r="A1288" s="8">
        <v>42928</v>
      </c>
      <c r="B1288" s="9">
        <v>0.52500000000000002</v>
      </c>
      <c r="C1288" s="10" t="str">
        <f>"FES1162562058"</f>
        <v>FES1162562058</v>
      </c>
      <c r="D1288" s="10" t="s">
        <v>19</v>
      </c>
      <c r="E1288" s="10" t="s">
        <v>651</v>
      </c>
      <c r="F1288" s="10" t="str">
        <f>"2170578671 "</f>
        <v xml:space="preserve">2170578671 </v>
      </c>
      <c r="G1288" s="10" t="str">
        <f t="shared" si="52"/>
        <v>ON1</v>
      </c>
      <c r="H1288" s="10" t="s">
        <v>21</v>
      </c>
      <c r="I1288" s="10" t="s">
        <v>652</v>
      </c>
      <c r="J1288" s="10" t="str">
        <f>""</f>
        <v/>
      </c>
      <c r="K1288" s="10" t="str">
        <f>"PFES1162562058_0001"</f>
        <v>PFES1162562058_0001</v>
      </c>
      <c r="L1288" s="10">
        <v>1</v>
      </c>
      <c r="M1288" s="10">
        <v>1</v>
      </c>
    </row>
    <row r="1289" spans="1:13">
      <c r="A1289" s="8">
        <v>42928</v>
      </c>
      <c r="B1289" s="9">
        <v>0.5229166666666667</v>
      </c>
      <c r="C1289" s="10" t="str">
        <f>"FES1162562039"</f>
        <v>FES1162562039</v>
      </c>
      <c r="D1289" s="10" t="s">
        <v>19</v>
      </c>
      <c r="E1289" s="10" t="s">
        <v>748</v>
      </c>
      <c r="F1289" s="10" t="str">
        <f>"2170578650 "</f>
        <v xml:space="preserve">2170578650 </v>
      </c>
      <c r="G1289" s="10" t="str">
        <f t="shared" si="52"/>
        <v>ON1</v>
      </c>
      <c r="H1289" s="10" t="s">
        <v>21</v>
      </c>
      <c r="I1289" s="10" t="s">
        <v>749</v>
      </c>
      <c r="J1289" s="10" t="str">
        <f>""</f>
        <v/>
      </c>
      <c r="K1289" s="10" t="str">
        <f>"PFES1162562039_0001"</f>
        <v>PFES1162562039_0001</v>
      </c>
      <c r="L1289" s="10">
        <v>1</v>
      </c>
      <c r="M1289" s="10">
        <v>1</v>
      </c>
    </row>
    <row r="1290" spans="1:13">
      <c r="A1290" s="8">
        <v>42928</v>
      </c>
      <c r="B1290" s="9">
        <v>0.5229166666666667</v>
      </c>
      <c r="C1290" s="10" t="str">
        <f>"FES1162562056"</f>
        <v>FES1162562056</v>
      </c>
      <c r="D1290" s="10" t="s">
        <v>19</v>
      </c>
      <c r="E1290" s="10" t="s">
        <v>616</v>
      </c>
      <c r="F1290" s="10" t="str">
        <f>"2170578669 "</f>
        <v xml:space="preserve">2170578669 </v>
      </c>
      <c r="G1290" s="10" t="str">
        <f t="shared" si="52"/>
        <v>ON1</v>
      </c>
      <c r="H1290" s="10" t="s">
        <v>21</v>
      </c>
      <c r="I1290" s="10" t="s">
        <v>32</v>
      </c>
      <c r="J1290" s="10" t="str">
        <f>""</f>
        <v/>
      </c>
      <c r="K1290" s="10" t="str">
        <f>"PFES1162562056_0001"</f>
        <v>PFES1162562056_0001</v>
      </c>
      <c r="L1290" s="10">
        <v>1</v>
      </c>
      <c r="M1290" s="10">
        <v>1</v>
      </c>
    </row>
    <row r="1291" spans="1:13">
      <c r="A1291" s="8">
        <v>42928</v>
      </c>
      <c r="B1291" s="9">
        <v>0.5229166666666667</v>
      </c>
      <c r="C1291" s="10" t="str">
        <f>"FES1162562049"</f>
        <v>FES1162562049</v>
      </c>
      <c r="D1291" s="10" t="s">
        <v>19</v>
      </c>
      <c r="E1291" s="10" t="s">
        <v>750</v>
      </c>
      <c r="F1291" s="10" t="str">
        <f>"2170578663 "</f>
        <v xml:space="preserve">2170578663 </v>
      </c>
      <c r="G1291" s="10" t="str">
        <f t="shared" si="52"/>
        <v>ON1</v>
      </c>
      <c r="H1291" s="10" t="s">
        <v>21</v>
      </c>
      <c r="I1291" s="10" t="s">
        <v>751</v>
      </c>
      <c r="J1291" s="10" t="str">
        <f>""</f>
        <v/>
      </c>
      <c r="K1291" s="10" t="str">
        <f>"PFES1162562049_0001"</f>
        <v>PFES1162562049_0001</v>
      </c>
      <c r="L1291" s="10">
        <v>1</v>
      </c>
      <c r="M1291" s="10">
        <v>1</v>
      </c>
    </row>
    <row r="1292" spans="1:13">
      <c r="A1292" s="8">
        <v>42928</v>
      </c>
      <c r="B1292" s="9">
        <v>0.52222222222222225</v>
      </c>
      <c r="C1292" s="10" t="str">
        <f>"FES1162562035"</f>
        <v>FES1162562035</v>
      </c>
      <c r="D1292" s="10" t="s">
        <v>19</v>
      </c>
      <c r="E1292" s="10" t="s">
        <v>498</v>
      </c>
      <c r="F1292" s="10" t="str">
        <f>"2170578646 "</f>
        <v xml:space="preserve">2170578646 </v>
      </c>
      <c r="G1292" s="10" t="str">
        <f t="shared" si="52"/>
        <v>ON1</v>
      </c>
      <c r="H1292" s="10" t="s">
        <v>21</v>
      </c>
      <c r="I1292" s="10" t="s">
        <v>84</v>
      </c>
      <c r="J1292" s="10" t="str">
        <f>""</f>
        <v/>
      </c>
      <c r="K1292" s="10" t="str">
        <f>"PFES1162562035_0001"</f>
        <v>PFES1162562035_0001</v>
      </c>
      <c r="L1292" s="10">
        <v>1</v>
      </c>
      <c r="M1292" s="10">
        <v>1</v>
      </c>
    </row>
    <row r="1293" spans="1:13">
      <c r="A1293" s="8">
        <v>42928</v>
      </c>
      <c r="B1293" s="9">
        <v>0.52222222222222225</v>
      </c>
      <c r="C1293" s="10" t="str">
        <f>"FES1162561956"</f>
        <v>FES1162561956</v>
      </c>
      <c r="D1293" s="10" t="s">
        <v>19</v>
      </c>
      <c r="E1293" s="10" t="s">
        <v>33</v>
      </c>
      <c r="F1293" s="10" t="str">
        <f>"2170578559 "</f>
        <v xml:space="preserve">2170578559 </v>
      </c>
      <c r="G1293" s="10" t="str">
        <f t="shared" si="52"/>
        <v>ON1</v>
      </c>
      <c r="H1293" s="10" t="s">
        <v>21</v>
      </c>
      <c r="I1293" s="10" t="s">
        <v>34</v>
      </c>
      <c r="J1293" s="10" t="str">
        <f>""</f>
        <v/>
      </c>
      <c r="K1293" s="10" t="str">
        <f>"PFES1162561956_0001"</f>
        <v>PFES1162561956_0001</v>
      </c>
      <c r="L1293" s="10">
        <v>1</v>
      </c>
      <c r="M1293" s="10">
        <v>6</v>
      </c>
    </row>
    <row r="1294" spans="1:13">
      <c r="A1294" s="8">
        <v>42928</v>
      </c>
      <c r="B1294" s="9">
        <v>0.52222222222222225</v>
      </c>
      <c r="C1294" s="10" t="str">
        <f>"FES1162562071"</f>
        <v>FES1162562071</v>
      </c>
      <c r="D1294" s="10" t="s">
        <v>19</v>
      </c>
      <c r="E1294" s="10" t="s">
        <v>255</v>
      </c>
      <c r="F1294" s="10" t="str">
        <f>"2170571942 "</f>
        <v xml:space="preserve">2170571942 </v>
      </c>
      <c r="G1294" s="10" t="str">
        <f t="shared" si="52"/>
        <v>ON1</v>
      </c>
      <c r="H1294" s="10" t="s">
        <v>21</v>
      </c>
      <c r="I1294" s="10" t="s">
        <v>256</v>
      </c>
      <c r="J1294" s="10" t="str">
        <f>""</f>
        <v/>
      </c>
      <c r="K1294" s="10" t="str">
        <f>"PFES1162562071_0001"</f>
        <v>PFES1162562071_0001</v>
      </c>
      <c r="L1294" s="10">
        <v>1</v>
      </c>
      <c r="M1294" s="10">
        <v>1</v>
      </c>
    </row>
    <row r="1295" spans="1:13">
      <c r="A1295" s="8">
        <v>42928</v>
      </c>
      <c r="B1295" s="9">
        <v>0.52152777777777781</v>
      </c>
      <c r="C1295" s="10" t="str">
        <f>"FES1162562012"</f>
        <v>FES1162562012</v>
      </c>
      <c r="D1295" s="10" t="s">
        <v>19</v>
      </c>
      <c r="E1295" s="10" t="s">
        <v>99</v>
      </c>
      <c r="F1295" s="10" t="str">
        <f>"2170578617 "</f>
        <v xml:space="preserve">2170578617 </v>
      </c>
      <c r="G1295" s="10" t="str">
        <f t="shared" si="52"/>
        <v>ON1</v>
      </c>
      <c r="H1295" s="10" t="s">
        <v>21</v>
      </c>
      <c r="I1295" s="10" t="s">
        <v>100</v>
      </c>
      <c r="J1295" s="10" t="str">
        <f>""</f>
        <v/>
      </c>
      <c r="K1295" s="10" t="str">
        <f>"PFES1162562012_0001"</f>
        <v>PFES1162562012_0001</v>
      </c>
      <c r="L1295" s="10">
        <v>1</v>
      </c>
      <c r="M1295" s="10">
        <v>1</v>
      </c>
    </row>
    <row r="1296" spans="1:13">
      <c r="A1296" s="8">
        <v>42928</v>
      </c>
      <c r="B1296" s="9">
        <v>0.52152777777777781</v>
      </c>
      <c r="C1296" s="10" t="str">
        <f>"FES1162562013"</f>
        <v>FES1162562013</v>
      </c>
      <c r="D1296" s="10" t="s">
        <v>19</v>
      </c>
      <c r="E1296" s="10" t="s">
        <v>99</v>
      </c>
      <c r="F1296" s="10" t="str">
        <f>"2170578618 "</f>
        <v xml:space="preserve">2170578618 </v>
      </c>
      <c r="G1296" s="10" t="str">
        <f t="shared" si="52"/>
        <v>ON1</v>
      </c>
      <c r="H1296" s="10" t="s">
        <v>21</v>
      </c>
      <c r="I1296" s="10" t="s">
        <v>100</v>
      </c>
      <c r="J1296" s="10" t="str">
        <f>""</f>
        <v/>
      </c>
      <c r="K1296" s="10" t="str">
        <f>"PFES1162562013_0001"</f>
        <v>PFES1162562013_0001</v>
      </c>
      <c r="L1296" s="10">
        <v>1</v>
      </c>
      <c r="M1296" s="10">
        <v>3</v>
      </c>
    </row>
    <row r="1297" spans="1:13">
      <c r="A1297" s="8">
        <v>42928</v>
      </c>
      <c r="B1297" s="9">
        <v>0.52083333333333337</v>
      </c>
      <c r="C1297" s="10" t="str">
        <f>"FES1162562063"</f>
        <v>FES1162562063</v>
      </c>
      <c r="D1297" s="10" t="s">
        <v>19</v>
      </c>
      <c r="E1297" s="10" t="s">
        <v>71</v>
      </c>
      <c r="F1297" s="10" t="str">
        <f>"2170578678 "</f>
        <v xml:space="preserve">2170578678 </v>
      </c>
      <c r="G1297" s="10" t="str">
        <f t="shared" si="52"/>
        <v>ON1</v>
      </c>
      <c r="H1297" s="10" t="s">
        <v>21</v>
      </c>
      <c r="I1297" s="10" t="s">
        <v>26</v>
      </c>
      <c r="J1297" s="10" t="str">
        <f>""</f>
        <v/>
      </c>
      <c r="K1297" s="10" t="str">
        <f>"PFES1162562063_0001"</f>
        <v>PFES1162562063_0001</v>
      </c>
      <c r="L1297" s="10">
        <v>1</v>
      </c>
      <c r="M1297" s="10">
        <v>15</v>
      </c>
    </row>
    <row r="1298" spans="1:13">
      <c r="A1298" s="8">
        <v>42928</v>
      </c>
      <c r="B1298" s="9">
        <v>0.52083333333333337</v>
      </c>
      <c r="C1298" s="10" t="str">
        <f>"FES1162561998"</f>
        <v>FES1162561998</v>
      </c>
      <c r="D1298" s="10" t="s">
        <v>19</v>
      </c>
      <c r="E1298" s="10" t="s">
        <v>752</v>
      </c>
      <c r="F1298" s="10" t="str">
        <f>"2170578607 "</f>
        <v xml:space="preserve">2170578607 </v>
      </c>
      <c r="G1298" s="10" t="str">
        <f t="shared" si="52"/>
        <v>ON1</v>
      </c>
      <c r="H1298" s="10" t="s">
        <v>21</v>
      </c>
      <c r="I1298" s="10" t="s">
        <v>753</v>
      </c>
      <c r="J1298" s="10" t="str">
        <f>""</f>
        <v/>
      </c>
      <c r="K1298" s="10" t="str">
        <f>"PFES1162561998_0001"</f>
        <v>PFES1162561998_0001</v>
      </c>
      <c r="L1298" s="10">
        <v>3</v>
      </c>
      <c r="M1298" s="10">
        <v>17</v>
      </c>
    </row>
    <row r="1299" spans="1:13">
      <c r="A1299" s="8">
        <v>42928</v>
      </c>
      <c r="B1299" s="9">
        <v>0.52083333333333337</v>
      </c>
      <c r="C1299" s="10" t="str">
        <f>"FES1162561998"</f>
        <v>FES1162561998</v>
      </c>
      <c r="D1299" s="10" t="s">
        <v>19</v>
      </c>
      <c r="E1299" s="10" t="s">
        <v>752</v>
      </c>
      <c r="F1299" s="10" t="str">
        <f t="shared" ref="F1299:F1300" si="53">"2170578607 "</f>
        <v xml:space="preserve">2170578607 </v>
      </c>
      <c r="G1299" s="10" t="str">
        <f t="shared" si="52"/>
        <v>ON1</v>
      </c>
      <c r="H1299" s="10" t="s">
        <v>21</v>
      </c>
      <c r="I1299" s="10" t="s">
        <v>753</v>
      </c>
      <c r="J1299" s="10"/>
      <c r="K1299" s="10" t="str">
        <f>"PFES1162561998_0002"</f>
        <v>PFES1162561998_0002</v>
      </c>
      <c r="L1299" s="10">
        <v>3</v>
      </c>
      <c r="M1299" s="10">
        <v>17</v>
      </c>
    </row>
    <row r="1300" spans="1:13">
      <c r="A1300" s="8">
        <v>42928</v>
      </c>
      <c r="B1300" s="9">
        <v>0.52083333333333337</v>
      </c>
      <c r="C1300" s="10" t="str">
        <f>"FES1162561998"</f>
        <v>FES1162561998</v>
      </c>
      <c r="D1300" s="10" t="s">
        <v>19</v>
      </c>
      <c r="E1300" s="10" t="s">
        <v>752</v>
      </c>
      <c r="F1300" s="10" t="str">
        <f t="shared" si="53"/>
        <v xml:space="preserve">2170578607 </v>
      </c>
      <c r="G1300" s="10" t="str">
        <f t="shared" si="52"/>
        <v>ON1</v>
      </c>
      <c r="H1300" s="10" t="s">
        <v>21</v>
      </c>
      <c r="I1300" s="10" t="s">
        <v>753</v>
      </c>
      <c r="J1300" s="10"/>
      <c r="K1300" s="10" t="str">
        <f>"PFES1162561998_0003"</f>
        <v>PFES1162561998_0003</v>
      </c>
      <c r="L1300" s="10">
        <v>3</v>
      </c>
      <c r="M1300" s="10">
        <v>17</v>
      </c>
    </row>
    <row r="1301" spans="1:13">
      <c r="A1301" s="8">
        <v>42928</v>
      </c>
      <c r="B1301" s="9">
        <v>0.52013888888888882</v>
      </c>
      <c r="C1301" s="10" t="str">
        <f>"FES1162562061"</f>
        <v>FES1162562061</v>
      </c>
      <c r="D1301" s="10" t="s">
        <v>19</v>
      </c>
      <c r="E1301" s="10" t="s">
        <v>71</v>
      </c>
      <c r="F1301" s="10" t="str">
        <f>"2170578674 "</f>
        <v xml:space="preserve">2170578674 </v>
      </c>
      <c r="G1301" s="10" t="str">
        <f t="shared" ref="G1301:G1364" si="54">"ON1"</f>
        <v>ON1</v>
      </c>
      <c r="H1301" s="10" t="s">
        <v>21</v>
      </c>
      <c r="I1301" s="10" t="s">
        <v>26</v>
      </c>
      <c r="J1301" s="10" t="str">
        <f>""</f>
        <v/>
      </c>
      <c r="K1301" s="10" t="str">
        <f>"PFES1162562061_0001"</f>
        <v>PFES1162562061_0001</v>
      </c>
      <c r="L1301" s="10">
        <v>1</v>
      </c>
      <c r="M1301" s="10">
        <v>1</v>
      </c>
    </row>
    <row r="1302" spans="1:13">
      <c r="A1302" s="8">
        <v>42928</v>
      </c>
      <c r="B1302" s="9">
        <v>0.51944444444444449</v>
      </c>
      <c r="C1302" s="10" t="str">
        <f>"FES1162562021"</f>
        <v>FES1162562021</v>
      </c>
      <c r="D1302" s="10" t="s">
        <v>19</v>
      </c>
      <c r="E1302" s="10" t="s">
        <v>754</v>
      </c>
      <c r="F1302" s="10" t="str">
        <f>"2170578624 "</f>
        <v xml:space="preserve">2170578624 </v>
      </c>
      <c r="G1302" s="10" t="str">
        <f t="shared" si="54"/>
        <v>ON1</v>
      </c>
      <c r="H1302" s="10" t="s">
        <v>21</v>
      </c>
      <c r="I1302" s="10" t="s">
        <v>711</v>
      </c>
      <c r="J1302" s="10" t="str">
        <f>""</f>
        <v/>
      </c>
      <c r="K1302" s="10" t="str">
        <f>"PFES1162562021_0001"</f>
        <v>PFES1162562021_0001</v>
      </c>
      <c r="L1302" s="10">
        <v>1</v>
      </c>
      <c r="M1302" s="10">
        <v>1</v>
      </c>
    </row>
    <row r="1303" spans="1:13">
      <c r="A1303" s="8">
        <v>42928</v>
      </c>
      <c r="B1303" s="9">
        <v>0.51874999999999993</v>
      </c>
      <c r="C1303" s="10" t="str">
        <f>"FES1162562005"</f>
        <v>FES1162562005</v>
      </c>
      <c r="D1303" s="10" t="s">
        <v>19</v>
      </c>
      <c r="E1303" s="10" t="s">
        <v>755</v>
      </c>
      <c r="F1303" s="10" t="str">
        <f>"2170578610 "</f>
        <v xml:space="preserve">2170578610 </v>
      </c>
      <c r="G1303" s="10" t="str">
        <f t="shared" si="54"/>
        <v>ON1</v>
      </c>
      <c r="H1303" s="10" t="s">
        <v>21</v>
      </c>
      <c r="I1303" s="10" t="s">
        <v>228</v>
      </c>
      <c r="J1303" s="10" t="str">
        <f>""</f>
        <v/>
      </c>
      <c r="K1303" s="10" t="str">
        <f>"PFES1162562005_0001"</f>
        <v>PFES1162562005_0001</v>
      </c>
      <c r="L1303" s="10">
        <v>1</v>
      </c>
      <c r="M1303" s="10">
        <v>3</v>
      </c>
    </row>
    <row r="1304" spans="1:13">
      <c r="A1304" s="8">
        <v>42928</v>
      </c>
      <c r="B1304" s="9">
        <v>0.51874999999999993</v>
      </c>
      <c r="C1304" s="10" t="str">
        <f>"FES1162562073"</f>
        <v>FES1162562073</v>
      </c>
      <c r="D1304" s="10" t="s">
        <v>19</v>
      </c>
      <c r="E1304" s="10" t="s">
        <v>129</v>
      </c>
      <c r="F1304" s="10" t="str">
        <f>"2170570923 "</f>
        <v xml:space="preserve">2170570923 </v>
      </c>
      <c r="G1304" s="10" t="str">
        <f t="shared" si="54"/>
        <v>ON1</v>
      </c>
      <c r="H1304" s="10" t="s">
        <v>21</v>
      </c>
      <c r="I1304" s="10" t="s">
        <v>130</v>
      </c>
      <c r="J1304" s="10" t="str">
        <f>""</f>
        <v/>
      </c>
      <c r="K1304" s="10" t="str">
        <f>"PFES1162562073_0001"</f>
        <v>PFES1162562073_0001</v>
      </c>
      <c r="L1304" s="10">
        <v>1</v>
      </c>
      <c r="M1304" s="10">
        <v>6</v>
      </c>
    </row>
    <row r="1305" spans="1:13">
      <c r="A1305" s="8">
        <v>42928</v>
      </c>
      <c r="B1305" s="9">
        <v>0.5180555555555556</v>
      </c>
      <c r="C1305" s="10" t="str">
        <f>"FES1162562050"</f>
        <v>FES1162562050</v>
      </c>
      <c r="D1305" s="10" t="s">
        <v>19</v>
      </c>
      <c r="E1305" s="10" t="s">
        <v>146</v>
      </c>
      <c r="F1305" s="10" t="str">
        <f>"2170578665 "</f>
        <v xml:space="preserve">2170578665 </v>
      </c>
      <c r="G1305" s="10" t="str">
        <f t="shared" si="54"/>
        <v>ON1</v>
      </c>
      <c r="H1305" s="10" t="s">
        <v>21</v>
      </c>
      <c r="I1305" s="10" t="s">
        <v>147</v>
      </c>
      <c r="J1305" s="10" t="str">
        <f>""</f>
        <v/>
      </c>
      <c r="K1305" s="10" t="str">
        <f>"PFES1162562050_0001"</f>
        <v>PFES1162562050_0001</v>
      </c>
      <c r="L1305" s="10">
        <v>1</v>
      </c>
      <c r="M1305" s="10">
        <v>3</v>
      </c>
    </row>
    <row r="1306" spans="1:13">
      <c r="A1306" s="8">
        <v>42928</v>
      </c>
      <c r="B1306" s="9">
        <v>0.5180555555555556</v>
      </c>
      <c r="C1306" s="10" t="str">
        <f>"FES1162561876"</f>
        <v>FES1162561876</v>
      </c>
      <c r="D1306" s="10" t="s">
        <v>19</v>
      </c>
      <c r="E1306" s="10" t="s">
        <v>752</v>
      </c>
      <c r="F1306" s="10" t="str">
        <f>"2170578535 "</f>
        <v xml:space="preserve">2170578535 </v>
      </c>
      <c r="G1306" s="10" t="str">
        <f t="shared" si="54"/>
        <v>ON1</v>
      </c>
      <c r="H1306" s="10" t="s">
        <v>21</v>
      </c>
      <c r="I1306" s="10" t="s">
        <v>753</v>
      </c>
      <c r="J1306" s="10" t="str">
        <f>""</f>
        <v/>
      </c>
      <c r="K1306" s="10" t="str">
        <f>"PFES1162561876_0001"</f>
        <v>PFES1162561876_0001</v>
      </c>
      <c r="L1306" s="10">
        <v>1</v>
      </c>
      <c r="M1306" s="10">
        <v>1</v>
      </c>
    </row>
    <row r="1307" spans="1:13">
      <c r="A1307" s="8">
        <v>42928</v>
      </c>
      <c r="B1307" s="9">
        <v>0.5180555555555556</v>
      </c>
      <c r="C1307" s="10" t="str">
        <f>"FES1162562006"</f>
        <v>FES1162562006</v>
      </c>
      <c r="D1307" s="10" t="s">
        <v>19</v>
      </c>
      <c r="E1307" s="10" t="s">
        <v>403</v>
      </c>
      <c r="F1307" s="10" t="str">
        <f>"2170578611 "</f>
        <v xml:space="preserve">2170578611 </v>
      </c>
      <c r="G1307" s="10" t="str">
        <f t="shared" si="54"/>
        <v>ON1</v>
      </c>
      <c r="H1307" s="10" t="s">
        <v>21</v>
      </c>
      <c r="I1307" s="10" t="s">
        <v>222</v>
      </c>
      <c r="J1307" s="10" t="str">
        <f>""</f>
        <v/>
      </c>
      <c r="K1307" s="10" t="str">
        <f>"PFES1162562006_0001"</f>
        <v>PFES1162562006_0001</v>
      </c>
      <c r="L1307" s="10">
        <v>1</v>
      </c>
      <c r="M1307" s="10">
        <v>1</v>
      </c>
    </row>
    <row r="1308" spans="1:13">
      <c r="A1308" s="8">
        <v>42928</v>
      </c>
      <c r="B1308" s="9">
        <v>0.51736111111111105</v>
      </c>
      <c r="C1308" s="10" t="str">
        <f>"FES1162561908"</f>
        <v>FES1162561908</v>
      </c>
      <c r="D1308" s="10" t="s">
        <v>19</v>
      </c>
      <c r="E1308" s="10" t="s">
        <v>550</v>
      </c>
      <c r="F1308" s="10" t="str">
        <f>"2170576397 "</f>
        <v xml:space="preserve">2170576397 </v>
      </c>
      <c r="G1308" s="10" t="str">
        <f t="shared" si="54"/>
        <v>ON1</v>
      </c>
      <c r="H1308" s="10" t="s">
        <v>21</v>
      </c>
      <c r="I1308" s="10" t="s">
        <v>161</v>
      </c>
      <c r="J1308" s="10" t="str">
        <f>""</f>
        <v/>
      </c>
      <c r="K1308" s="10" t="str">
        <f>"PFES1162561908_0001"</f>
        <v>PFES1162561908_0001</v>
      </c>
      <c r="L1308" s="10">
        <v>1</v>
      </c>
      <c r="M1308" s="10">
        <v>1</v>
      </c>
    </row>
    <row r="1309" spans="1:13">
      <c r="A1309" s="8">
        <v>42928</v>
      </c>
      <c r="B1309" s="9">
        <v>0.51736111111111105</v>
      </c>
      <c r="C1309" s="10" t="str">
        <f>"FES1162562022"</f>
        <v>FES1162562022</v>
      </c>
      <c r="D1309" s="10" t="s">
        <v>19</v>
      </c>
      <c r="E1309" s="10" t="s">
        <v>243</v>
      </c>
      <c r="F1309" s="10" t="str">
        <f>"2170578625 "</f>
        <v xml:space="preserve">2170578625 </v>
      </c>
      <c r="G1309" s="10" t="str">
        <f t="shared" si="54"/>
        <v>ON1</v>
      </c>
      <c r="H1309" s="10" t="s">
        <v>21</v>
      </c>
      <c r="I1309" s="10" t="s">
        <v>244</v>
      </c>
      <c r="J1309" s="10" t="str">
        <f>""</f>
        <v/>
      </c>
      <c r="K1309" s="10" t="str">
        <f>"PFES1162562022_0001"</f>
        <v>PFES1162562022_0001</v>
      </c>
      <c r="L1309" s="10">
        <v>1</v>
      </c>
      <c r="M1309" s="10">
        <v>1</v>
      </c>
    </row>
    <row r="1310" spans="1:13">
      <c r="A1310" s="8">
        <v>42928</v>
      </c>
      <c r="B1310" s="9">
        <v>0.51666666666666672</v>
      </c>
      <c r="C1310" s="10" t="str">
        <f>"FES1162562037"</f>
        <v>FES1162562037</v>
      </c>
      <c r="D1310" s="10" t="s">
        <v>19</v>
      </c>
      <c r="E1310" s="10" t="s">
        <v>154</v>
      </c>
      <c r="F1310" s="10" t="str">
        <f>"2170578490 "</f>
        <v xml:space="preserve">2170578490 </v>
      </c>
      <c r="G1310" s="10" t="str">
        <f t="shared" si="54"/>
        <v>ON1</v>
      </c>
      <c r="H1310" s="10" t="s">
        <v>21</v>
      </c>
      <c r="I1310" s="10" t="s">
        <v>130</v>
      </c>
      <c r="J1310" s="10" t="str">
        <f>""</f>
        <v/>
      </c>
      <c r="K1310" s="10" t="str">
        <f>"PFES1162562037_0001"</f>
        <v>PFES1162562037_0001</v>
      </c>
      <c r="L1310" s="10">
        <v>1</v>
      </c>
      <c r="M1310" s="10">
        <v>1</v>
      </c>
    </row>
    <row r="1311" spans="1:13">
      <c r="A1311" s="8">
        <v>42928</v>
      </c>
      <c r="B1311" s="9">
        <v>0.51666666666666672</v>
      </c>
      <c r="C1311" s="10" t="str">
        <f>"FES1162561945"</f>
        <v>FES1162561945</v>
      </c>
      <c r="D1311" s="10" t="s">
        <v>19</v>
      </c>
      <c r="E1311" s="10" t="s">
        <v>549</v>
      </c>
      <c r="F1311" s="10" t="str">
        <f>"2170578435 "</f>
        <v xml:space="preserve">2170578435 </v>
      </c>
      <c r="G1311" s="10" t="str">
        <f t="shared" si="54"/>
        <v>ON1</v>
      </c>
      <c r="H1311" s="10" t="s">
        <v>21</v>
      </c>
      <c r="I1311" s="10" t="s">
        <v>224</v>
      </c>
      <c r="J1311" s="10" t="str">
        <f>""</f>
        <v/>
      </c>
      <c r="K1311" s="10" t="str">
        <f>"PFES1162561945_0001"</f>
        <v>PFES1162561945_0001</v>
      </c>
      <c r="L1311" s="10">
        <v>1</v>
      </c>
      <c r="M1311" s="10">
        <v>1</v>
      </c>
    </row>
    <row r="1312" spans="1:13">
      <c r="A1312" s="8">
        <v>42928</v>
      </c>
      <c r="B1312" s="9">
        <v>0.51666666666666672</v>
      </c>
      <c r="C1312" s="10" t="str">
        <f>"FES1162561993"</f>
        <v>FES1162561993</v>
      </c>
      <c r="D1312" s="10" t="s">
        <v>19</v>
      </c>
      <c r="E1312" s="10" t="s">
        <v>384</v>
      </c>
      <c r="F1312" s="10" t="str">
        <f>"2170578597 "</f>
        <v xml:space="preserve">2170578597 </v>
      </c>
      <c r="G1312" s="10" t="str">
        <f t="shared" si="54"/>
        <v>ON1</v>
      </c>
      <c r="H1312" s="10" t="s">
        <v>21</v>
      </c>
      <c r="I1312" s="10" t="s">
        <v>228</v>
      </c>
      <c r="J1312" s="10" t="str">
        <f>""</f>
        <v/>
      </c>
      <c r="K1312" s="10" t="str">
        <f>"PFES1162561993_0001"</f>
        <v>PFES1162561993_0001</v>
      </c>
      <c r="L1312" s="10">
        <v>1</v>
      </c>
      <c r="M1312" s="10">
        <v>1</v>
      </c>
    </row>
    <row r="1313" spans="1:13">
      <c r="A1313" s="8">
        <v>42928</v>
      </c>
      <c r="B1313" s="9">
        <v>0.51597222222222217</v>
      </c>
      <c r="C1313" s="10" t="str">
        <f>"FES1162561912"</f>
        <v>FES1162561912</v>
      </c>
      <c r="D1313" s="10" t="s">
        <v>19</v>
      </c>
      <c r="E1313" s="10" t="s">
        <v>39</v>
      </c>
      <c r="F1313" s="10" t="str">
        <f>"2170576510 "</f>
        <v xml:space="preserve">2170576510 </v>
      </c>
      <c r="G1313" s="10" t="str">
        <f t="shared" si="54"/>
        <v>ON1</v>
      </c>
      <c r="H1313" s="10" t="s">
        <v>21</v>
      </c>
      <c r="I1313" s="10" t="s">
        <v>40</v>
      </c>
      <c r="J1313" s="10" t="str">
        <f>""</f>
        <v/>
      </c>
      <c r="K1313" s="10" t="str">
        <f>"PFES1162561912_0001"</f>
        <v>PFES1162561912_0001</v>
      </c>
      <c r="L1313" s="10">
        <v>1</v>
      </c>
      <c r="M1313" s="10">
        <v>1</v>
      </c>
    </row>
    <row r="1314" spans="1:13">
      <c r="A1314" s="8">
        <v>42928</v>
      </c>
      <c r="B1314" s="9">
        <v>0.51597222222222217</v>
      </c>
      <c r="C1314" s="10" t="str">
        <f>"FES1162561928"</f>
        <v>FES1162561928</v>
      </c>
      <c r="D1314" s="10" t="s">
        <v>19</v>
      </c>
      <c r="E1314" s="10" t="s">
        <v>129</v>
      </c>
      <c r="F1314" s="10" t="str">
        <f>"2170576699 "</f>
        <v xml:space="preserve">2170576699 </v>
      </c>
      <c r="G1314" s="10" t="str">
        <f t="shared" si="54"/>
        <v>ON1</v>
      </c>
      <c r="H1314" s="10" t="s">
        <v>21</v>
      </c>
      <c r="I1314" s="10" t="s">
        <v>130</v>
      </c>
      <c r="J1314" s="10" t="str">
        <f>""</f>
        <v/>
      </c>
      <c r="K1314" s="10" t="str">
        <f>"PFES1162561928_0001"</f>
        <v>PFES1162561928_0001</v>
      </c>
      <c r="L1314" s="10">
        <v>1</v>
      </c>
      <c r="M1314" s="10">
        <v>1</v>
      </c>
    </row>
    <row r="1315" spans="1:13">
      <c r="A1315" s="8">
        <v>42928</v>
      </c>
      <c r="B1315" s="9">
        <v>0.51597222222222217</v>
      </c>
      <c r="C1315" s="10" t="str">
        <f>"FES1162561888"</f>
        <v>FES1162561888</v>
      </c>
      <c r="D1315" s="10" t="s">
        <v>19</v>
      </c>
      <c r="E1315" s="10" t="s">
        <v>62</v>
      </c>
      <c r="F1315" s="10" t="str">
        <f>"2170572972 "</f>
        <v xml:space="preserve">2170572972 </v>
      </c>
      <c r="G1315" s="10" t="str">
        <f t="shared" si="54"/>
        <v>ON1</v>
      </c>
      <c r="H1315" s="10" t="s">
        <v>21</v>
      </c>
      <c r="I1315" s="10" t="s">
        <v>40</v>
      </c>
      <c r="J1315" s="10" t="str">
        <f>""</f>
        <v/>
      </c>
      <c r="K1315" s="10" t="str">
        <f>"PFES1162561888_0001"</f>
        <v>PFES1162561888_0001</v>
      </c>
      <c r="L1315" s="10">
        <v>1</v>
      </c>
      <c r="M1315" s="10">
        <v>1</v>
      </c>
    </row>
    <row r="1316" spans="1:13">
      <c r="A1316" s="8">
        <v>42928</v>
      </c>
      <c r="B1316" s="9">
        <v>0.51527777777777783</v>
      </c>
      <c r="C1316" s="10" t="str">
        <f>"FES1162561976"</f>
        <v>FES1162561976</v>
      </c>
      <c r="D1316" s="10" t="s">
        <v>19</v>
      </c>
      <c r="E1316" s="10" t="s">
        <v>143</v>
      </c>
      <c r="F1316" s="10" t="str">
        <f>"2170578582 "</f>
        <v xml:space="preserve">2170578582 </v>
      </c>
      <c r="G1316" s="10" t="str">
        <f t="shared" si="54"/>
        <v>ON1</v>
      </c>
      <c r="H1316" s="10" t="s">
        <v>21</v>
      </c>
      <c r="I1316" s="10" t="s">
        <v>121</v>
      </c>
      <c r="J1316" s="10" t="str">
        <f>""</f>
        <v/>
      </c>
      <c r="K1316" s="10" t="str">
        <f>"PFES1162561976_0001"</f>
        <v>PFES1162561976_0001</v>
      </c>
      <c r="L1316" s="10">
        <v>1</v>
      </c>
      <c r="M1316" s="10">
        <v>1</v>
      </c>
    </row>
    <row r="1317" spans="1:13">
      <c r="A1317" s="8">
        <v>42928</v>
      </c>
      <c r="B1317" s="9">
        <v>0.51527777777777783</v>
      </c>
      <c r="C1317" s="10" t="str">
        <f>"FES1162561909"</f>
        <v>FES1162561909</v>
      </c>
      <c r="D1317" s="10" t="s">
        <v>19</v>
      </c>
      <c r="E1317" s="10" t="s">
        <v>550</v>
      </c>
      <c r="F1317" s="10" t="str">
        <f>"2170576415 "</f>
        <v xml:space="preserve">2170576415 </v>
      </c>
      <c r="G1317" s="10" t="str">
        <f t="shared" si="54"/>
        <v>ON1</v>
      </c>
      <c r="H1317" s="10" t="s">
        <v>21</v>
      </c>
      <c r="I1317" s="10" t="s">
        <v>161</v>
      </c>
      <c r="J1317" s="10" t="str">
        <f>""</f>
        <v/>
      </c>
      <c r="K1317" s="10" t="str">
        <f>"PFES1162561909_0001"</f>
        <v>PFES1162561909_0001</v>
      </c>
      <c r="L1317" s="10">
        <v>1</v>
      </c>
      <c r="M1317" s="10">
        <v>1</v>
      </c>
    </row>
    <row r="1318" spans="1:13">
      <c r="A1318" s="8">
        <v>42928</v>
      </c>
      <c r="B1318" s="9">
        <v>0.51458333333333328</v>
      </c>
      <c r="C1318" s="10" t="str">
        <f>"FES1162562042"</f>
        <v>FES1162562042</v>
      </c>
      <c r="D1318" s="10" t="s">
        <v>19</v>
      </c>
      <c r="E1318" s="10" t="s">
        <v>756</v>
      </c>
      <c r="F1318" s="10" t="str">
        <f>"2170578653 "</f>
        <v xml:space="preserve">2170578653 </v>
      </c>
      <c r="G1318" s="10" t="str">
        <f t="shared" si="54"/>
        <v>ON1</v>
      </c>
      <c r="H1318" s="10" t="s">
        <v>21</v>
      </c>
      <c r="I1318" s="10" t="s">
        <v>149</v>
      </c>
      <c r="J1318" s="10" t="str">
        <f>""</f>
        <v/>
      </c>
      <c r="K1318" s="10" t="str">
        <f>"PFES1162562042_0001"</f>
        <v>PFES1162562042_0001</v>
      </c>
      <c r="L1318" s="10">
        <v>1</v>
      </c>
      <c r="M1318" s="10">
        <v>1</v>
      </c>
    </row>
    <row r="1319" spans="1:13">
      <c r="A1319" s="8">
        <v>42928</v>
      </c>
      <c r="B1319" s="9">
        <v>0.51458333333333328</v>
      </c>
      <c r="C1319" s="10" t="str">
        <f>"FES1162561946"</f>
        <v>FES1162561946</v>
      </c>
      <c r="D1319" s="10" t="s">
        <v>19</v>
      </c>
      <c r="E1319" s="10" t="s">
        <v>757</v>
      </c>
      <c r="F1319" s="10" t="str">
        <f>"2170578546 "</f>
        <v xml:space="preserve">2170578546 </v>
      </c>
      <c r="G1319" s="10" t="str">
        <f t="shared" si="54"/>
        <v>ON1</v>
      </c>
      <c r="H1319" s="10" t="s">
        <v>21</v>
      </c>
      <c r="I1319" s="10" t="s">
        <v>758</v>
      </c>
      <c r="J1319" s="10" t="str">
        <f>""</f>
        <v/>
      </c>
      <c r="K1319" s="10" t="str">
        <f>"PFES1162561946_0001"</f>
        <v>PFES1162561946_0001</v>
      </c>
      <c r="L1319" s="10">
        <v>1</v>
      </c>
      <c r="M1319" s="10">
        <v>1</v>
      </c>
    </row>
    <row r="1320" spans="1:13">
      <c r="A1320" s="8">
        <v>42928</v>
      </c>
      <c r="B1320" s="9">
        <v>0.51388888888888895</v>
      </c>
      <c r="C1320" s="10" t="str">
        <f>"FES1162561940"</f>
        <v>FES1162561940</v>
      </c>
      <c r="D1320" s="10" t="s">
        <v>19</v>
      </c>
      <c r="E1320" s="10" t="s">
        <v>709</v>
      </c>
      <c r="F1320" s="10" t="str">
        <f>"217057552 "</f>
        <v xml:space="preserve">217057552 </v>
      </c>
      <c r="G1320" s="10" t="str">
        <f t="shared" si="54"/>
        <v>ON1</v>
      </c>
      <c r="H1320" s="10" t="s">
        <v>21</v>
      </c>
      <c r="I1320" s="10" t="s">
        <v>224</v>
      </c>
      <c r="J1320" s="10" t="str">
        <f>""</f>
        <v/>
      </c>
      <c r="K1320" s="10" t="str">
        <f>"PFES1162561940_0001"</f>
        <v>PFES1162561940_0001</v>
      </c>
      <c r="L1320" s="10">
        <v>1</v>
      </c>
      <c r="M1320" s="10">
        <v>1</v>
      </c>
    </row>
    <row r="1321" spans="1:13">
      <c r="A1321" s="8">
        <v>42928</v>
      </c>
      <c r="B1321" s="9">
        <v>0.51041666666666663</v>
      </c>
      <c r="C1321" s="10" t="str">
        <f>"FES1162562060"</f>
        <v>FES1162562060</v>
      </c>
      <c r="D1321" s="10" t="s">
        <v>19</v>
      </c>
      <c r="E1321" s="10" t="s">
        <v>759</v>
      </c>
      <c r="F1321" s="10" t="str">
        <f>"2170572440 "</f>
        <v xml:space="preserve">2170572440 </v>
      </c>
      <c r="G1321" s="10" t="str">
        <f t="shared" si="54"/>
        <v>ON1</v>
      </c>
      <c r="H1321" s="10" t="s">
        <v>21</v>
      </c>
      <c r="I1321" s="10" t="s">
        <v>252</v>
      </c>
      <c r="J1321" s="10" t="str">
        <f>""</f>
        <v/>
      </c>
      <c r="K1321" s="10" t="str">
        <f>"PFES1162562060_0001"</f>
        <v>PFES1162562060_0001</v>
      </c>
      <c r="L1321" s="10">
        <v>1</v>
      </c>
      <c r="M1321" s="10">
        <v>1</v>
      </c>
    </row>
    <row r="1322" spans="1:13">
      <c r="A1322" s="8">
        <v>42928</v>
      </c>
      <c r="B1322" s="9">
        <v>0.50972222222222219</v>
      </c>
      <c r="C1322" s="10" t="str">
        <f>"FES1162562055"</f>
        <v>FES1162562055</v>
      </c>
      <c r="D1322" s="10" t="s">
        <v>19</v>
      </c>
      <c r="E1322" s="10" t="s">
        <v>535</v>
      </c>
      <c r="F1322" s="10" t="str">
        <f>"2170578668 "</f>
        <v xml:space="preserve">2170578668 </v>
      </c>
      <c r="G1322" s="10" t="str">
        <f t="shared" si="54"/>
        <v>ON1</v>
      </c>
      <c r="H1322" s="10" t="s">
        <v>21</v>
      </c>
      <c r="I1322" s="10" t="s">
        <v>240</v>
      </c>
      <c r="J1322" s="10" t="str">
        <f>""</f>
        <v/>
      </c>
      <c r="K1322" s="10" t="str">
        <f>"PFES1162562055_0001"</f>
        <v>PFES1162562055_0001</v>
      </c>
      <c r="L1322" s="10">
        <v>1</v>
      </c>
      <c r="M1322" s="10">
        <v>1</v>
      </c>
    </row>
    <row r="1323" spans="1:13">
      <c r="A1323" s="8">
        <v>42928</v>
      </c>
      <c r="B1323" s="9">
        <v>0.50902777777777775</v>
      </c>
      <c r="C1323" s="10" t="str">
        <f>"FES1162562045"</f>
        <v>FES1162562045</v>
      </c>
      <c r="D1323" s="10" t="s">
        <v>19</v>
      </c>
      <c r="E1323" s="10" t="s">
        <v>760</v>
      </c>
      <c r="F1323" s="10" t="str">
        <f>"2170578659 "</f>
        <v xml:space="preserve">2170578659 </v>
      </c>
      <c r="G1323" s="10" t="str">
        <f t="shared" si="54"/>
        <v>ON1</v>
      </c>
      <c r="H1323" s="10" t="s">
        <v>21</v>
      </c>
      <c r="I1323" s="10" t="s">
        <v>761</v>
      </c>
      <c r="J1323" s="10" t="str">
        <f>""</f>
        <v/>
      </c>
      <c r="K1323" s="10" t="str">
        <f>"PFES1162562045_0001"</f>
        <v>PFES1162562045_0001</v>
      </c>
      <c r="L1323" s="10">
        <v>1</v>
      </c>
      <c r="M1323" s="10">
        <v>1</v>
      </c>
    </row>
    <row r="1324" spans="1:13">
      <c r="A1324" s="8">
        <v>42928</v>
      </c>
      <c r="B1324" s="9">
        <v>0.50694444444444442</v>
      </c>
      <c r="C1324" s="10" t="str">
        <f>"FES1162561891"</f>
        <v>FES1162561891</v>
      </c>
      <c r="D1324" s="10" t="s">
        <v>19</v>
      </c>
      <c r="E1324" s="10" t="s">
        <v>63</v>
      </c>
      <c r="F1324" s="10" t="str">
        <f>"2170574153 "</f>
        <v xml:space="preserve">2170574153 </v>
      </c>
      <c r="G1324" s="10" t="str">
        <f t="shared" si="54"/>
        <v>ON1</v>
      </c>
      <c r="H1324" s="10" t="s">
        <v>21</v>
      </c>
      <c r="I1324" s="10" t="s">
        <v>64</v>
      </c>
      <c r="J1324" s="10" t="str">
        <f>""</f>
        <v/>
      </c>
      <c r="K1324" s="10" t="str">
        <f>"PFES1162561891_0001"</f>
        <v>PFES1162561891_0001</v>
      </c>
      <c r="L1324" s="10">
        <v>1</v>
      </c>
      <c r="M1324" s="10">
        <v>1</v>
      </c>
    </row>
    <row r="1325" spans="1:13">
      <c r="A1325" s="8">
        <v>42928</v>
      </c>
      <c r="B1325" s="9">
        <v>0.50624999999999998</v>
      </c>
      <c r="C1325" s="10" t="str">
        <f>"FES1162561974"</f>
        <v>FES1162561974</v>
      </c>
      <c r="D1325" s="10" t="s">
        <v>19</v>
      </c>
      <c r="E1325" s="10" t="s">
        <v>87</v>
      </c>
      <c r="F1325" s="10" t="str">
        <f>"2170575323 "</f>
        <v xml:space="preserve">2170575323 </v>
      </c>
      <c r="G1325" s="10" t="str">
        <f t="shared" si="54"/>
        <v>ON1</v>
      </c>
      <c r="H1325" s="10" t="s">
        <v>21</v>
      </c>
      <c r="I1325" s="10" t="s">
        <v>88</v>
      </c>
      <c r="J1325" s="10" t="str">
        <f>""</f>
        <v/>
      </c>
      <c r="K1325" s="10" t="str">
        <f>"PFES1162561974_0001"</f>
        <v>PFES1162561974_0001</v>
      </c>
      <c r="L1325" s="10">
        <v>1</v>
      </c>
      <c r="M1325" s="10">
        <v>1</v>
      </c>
    </row>
    <row r="1326" spans="1:13">
      <c r="A1326" s="8">
        <v>42928</v>
      </c>
      <c r="B1326" s="9">
        <v>0.50555555555555554</v>
      </c>
      <c r="C1326" s="10" t="str">
        <f>"FES1162561958"</f>
        <v>FES1162561958</v>
      </c>
      <c r="D1326" s="10" t="s">
        <v>19</v>
      </c>
      <c r="E1326" s="10" t="s">
        <v>33</v>
      </c>
      <c r="F1326" s="10" t="str">
        <f>"2170578262 "</f>
        <v xml:space="preserve">2170578262 </v>
      </c>
      <c r="G1326" s="10" t="str">
        <f t="shared" si="54"/>
        <v>ON1</v>
      </c>
      <c r="H1326" s="10" t="s">
        <v>21</v>
      </c>
      <c r="I1326" s="10" t="s">
        <v>34</v>
      </c>
      <c r="J1326" s="10" t="str">
        <f>""</f>
        <v/>
      </c>
      <c r="K1326" s="10" t="str">
        <f>"PFES1162561958_0001"</f>
        <v>PFES1162561958_0001</v>
      </c>
      <c r="L1326" s="10">
        <v>1</v>
      </c>
      <c r="M1326" s="10">
        <v>1</v>
      </c>
    </row>
    <row r="1327" spans="1:13">
      <c r="A1327" s="8">
        <v>42928</v>
      </c>
      <c r="B1327" s="9">
        <v>0.50486111111111109</v>
      </c>
      <c r="C1327" s="10" t="str">
        <f>"FES1162562077"</f>
        <v>FES1162562077</v>
      </c>
      <c r="D1327" s="10" t="s">
        <v>19</v>
      </c>
      <c r="E1327" s="10" t="s">
        <v>535</v>
      </c>
      <c r="F1327" s="10" t="str">
        <f>"2170576764 "</f>
        <v xml:space="preserve">2170576764 </v>
      </c>
      <c r="G1327" s="10" t="str">
        <f t="shared" si="54"/>
        <v>ON1</v>
      </c>
      <c r="H1327" s="10" t="s">
        <v>21</v>
      </c>
      <c r="I1327" s="10" t="s">
        <v>240</v>
      </c>
      <c r="J1327" s="10" t="str">
        <f>""</f>
        <v/>
      </c>
      <c r="K1327" s="10" t="str">
        <f>"PFES1162562077_0001"</f>
        <v>PFES1162562077_0001</v>
      </c>
      <c r="L1327" s="10">
        <v>1</v>
      </c>
      <c r="M1327" s="10">
        <v>1</v>
      </c>
    </row>
    <row r="1328" spans="1:13">
      <c r="A1328" s="8">
        <v>42928</v>
      </c>
      <c r="B1328" s="9">
        <v>0.50486111111111109</v>
      </c>
      <c r="C1328" s="10" t="str">
        <f>"FES1162562084"</f>
        <v>FES1162562084</v>
      </c>
      <c r="D1328" s="10" t="s">
        <v>19</v>
      </c>
      <c r="E1328" s="10" t="s">
        <v>255</v>
      </c>
      <c r="F1328" s="10" t="str">
        <f>"2170578693 "</f>
        <v xml:space="preserve">2170578693 </v>
      </c>
      <c r="G1328" s="10" t="str">
        <f t="shared" si="54"/>
        <v>ON1</v>
      </c>
      <c r="H1328" s="10" t="s">
        <v>21</v>
      </c>
      <c r="I1328" s="10" t="s">
        <v>256</v>
      </c>
      <c r="J1328" s="10" t="str">
        <f>""</f>
        <v/>
      </c>
      <c r="K1328" s="10" t="str">
        <f>"PFES1162562084_0001"</f>
        <v>PFES1162562084_0001</v>
      </c>
      <c r="L1328" s="10">
        <v>1</v>
      </c>
      <c r="M1328" s="10">
        <v>1</v>
      </c>
    </row>
    <row r="1329" spans="1:13">
      <c r="A1329" s="8">
        <v>42928</v>
      </c>
      <c r="B1329" s="9">
        <v>0.50416666666666665</v>
      </c>
      <c r="C1329" s="10" t="str">
        <f>"FES1162561893"</f>
        <v>FES1162561893</v>
      </c>
      <c r="D1329" s="10" t="s">
        <v>19</v>
      </c>
      <c r="E1329" s="10" t="s">
        <v>89</v>
      </c>
      <c r="F1329" s="10" t="str">
        <f>"2170574672 "</f>
        <v xml:space="preserve">2170574672 </v>
      </c>
      <c r="G1329" s="10" t="str">
        <f t="shared" si="54"/>
        <v>ON1</v>
      </c>
      <c r="H1329" s="10" t="s">
        <v>21</v>
      </c>
      <c r="I1329" s="10" t="s">
        <v>66</v>
      </c>
      <c r="J1329" s="10" t="str">
        <f>""</f>
        <v/>
      </c>
      <c r="K1329" s="10" t="str">
        <f>"PFES1162561893_0001"</f>
        <v>PFES1162561893_0001</v>
      </c>
      <c r="L1329" s="10">
        <v>1</v>
      </c>
      <c r="M1329" s="10">
        <v>1</v>
      </c>
    </row>
    <row r="1330" spans="1:13">
      <c r="A1330" s="8">
        <v>42928</v>
      </c>
      <c r="B1330" s="9">
        <v>0.50347222222222221</v>
      </c>
      <c r="C1330" s="10" t="str">
        <f>"FES1162561920"</f>
        <v>FES1162561920</v>
      </c>
      <c r="D1330" s="10" t="s">
        <v>19</v>
      </c>
      <c r="E1330" s="10" t="s">
        <v>33</v>
      </c>
      <c r="F1330" s="10" t="str">
        <f>"2170576592 "</f>
        <v xml:space="preserve">2170576592 </v>
      </c>
      <c r="G1330" s="10" t="str">
        <f t="shared" si="54"/>
        <v>ON1</v>
      </c>
      <c r="H1330" s="10" t="s">
        <v>21</v>
      </c>
      <c r="I1330" s="10" t="s">
        <v>34</v>
      </c>
      <c r="J1330" s="10" t="str">
        <f>""</f>
        <v/>
      </c>
      <c r="K1330" s="10" t="str">
        <f>"PFES1162561920_0001"</f>
        <v>PFES1162561920_0001</v>
      </c>
      <c r="L1330" s="10">
        <v>1</v>
      </c>
      <c r="M1330" s="10">
        <v>1</v>
      </c>
    </row>
    <row r="1331" spans="1:13">
      <c r="A1331" s="8">
        <v>42928</v>
      </c>
      <c r="B1331" s="9">
        <v>0.50277777777777777</v>
      </c>
      <c r="C1331" s="10" t="str">
        <f>"FES1162561961"</f>
        <v>FES1162561961</v>
      </c>
      <c r="D1331" s="10" t="s">
        <v>19</v>
      </c>
      <c r="E1331" s="10" t="s">
        <v>33</v>
      </c>
      <c r="F1331" s="10" t="str">
        <f>"2170578566 "</f>
        <v xml:space="preserve">2170578566 </v>
      </c>
      <c r="G1331" s="10" t="str">
        <f t="shared" si="54"/>
        <v>ON1</v>
      </c>
      <c r="H1331" s="10" t="s">
        <v>21</v>
      </c>
      <c r="I1331" s="10" t="s">
        <v>34</v>
      </c>
      <c r="J1331" s="10" t="str">
        <f>""</f>
        <v/>
      </c>
      <c r="K1331" s="10" t="str">
        <f>"PFES1162561961_0001"</f>
        <v>PFES1162561961_0001</v>
      </c>
      <c r="L1331" s="10">
        <v>1</v>
      </c>
      <c r="M1331" s="10">
        <v>1</v>
      </c>
    </row>
    <row r="1332" spans="1:13">
      <c r="A1332" s="8">
        <v>42928</v>
      </c>
      <c r="B1332" s="9">
        <v>0.50208333333333333</v>
      </c>
      <c r="C1332" s="10" t="str">
        <f>"FES1162561931"</f>
        <v>FES1162561931</v>
      </c>
      <c r="D1332" s="10" t="s">
        <v>19</v>
      </c>
      <c r="E1332" s="10" t="s">
        <v>762</v>
      </c>
      <c r="F1332" s="10" t="str">
        <f>"2170576714 "</f>
        <v xml:space="preserve">2170576714 </v>
      </c>
      <c r="G1332" s="10" t="str">
        <f t="shared" si="54"/>
        <v>ON1</v>
      </c>
      <c r="H1332" s="10" t="s">
        <v>21</v>
      </c>
      <c r="I1332" s="10" t="s">
        <v>92</v>
      </c>
      <c r="J1332" s="10" t="str">
        <f>""</f>
        <v/>
      </c>
      <c r="K1332" s="10" t="str">
        <f>"PFES1162561931_0001"</f>
        <v>PFES1162561931_0001</v>
      </c>
      <c r="L1332" s="10">
        <v>1</v>
      </c>
      <c r="M1332" s="10">
        <v>1</v>
      </c>
    </row>
    <row r="1333" spans="1:13">
      <c r="A1333" s="8">
        <v>42928</v>
      </c>
      <c r="B1333" s="9">
        <v>0.50069444444444444</v>
      </c>
      <c r="C1333" s="10" t="str">
        <f>"FES1162561917"</f>
        <v>FES1162561917</v>
      </c>
      <c r="D1333" s="10" t="s">
        <v>19</v>
      </c>
      <c r="E1333" s="10" t="s">
        <v>33</v>
      </c>
      <c r="F1333" s="10" t="str">
        <f>"2170576571 "</f>
        <v xml:space="preserve">2170576571 </v>
      </c>
      <c r="G1333" s="10" t="str">
        <f t="shared" si="54"/>
        <v>ON1</v>
      </c>
      <c r="H1333" s="10" t="s">
        <v>21</v>
      </c>
      <c r="I1333" s="10" t="s">
        <v>34</v>
      </c>
      <c r="J1333" s="10" t="str">
        <f>""</f>
        <v/>
      </c>
      <c r="K1333" s="10" t="str">
        <f>"PFES1162561917_0001"</f>
        <v>PFES1162561917_0001</v>
      </c>
      <c r="L1333" s="10">
        <v>1</v>
      </c>
      <c r="M1333" s="10">
        <v>2</v>
      </c>
    </row>
    <row r="1334" spans="1:13">
      <c r="A1334" s="8">
        <v>42928</v>
      </c>
      <c r="B1334" s="9">
        <v>0.49236111111111108</v>
      </c>
      <c r="C1334" s="10" t="str">
        <f>"FES1162561923"</f>
        <v>FES1162561923</v>
      </c>
      <c r="D1334" s="10" t="s">
        <v>19</v>
      </c>
      <c r="E1334" s="10" t="s">
        <v>195</v>
      </c>
      <c r="F1334" s="10" t="str">
        <f>"2170576625 "</f>
        <v xml:space="preserve">2170576625 </v>
      </c>
      <c r="G1334" s="10" t="str">
        <f t="shared" si="54"/>
        <v>ON1</v>
      </c>
      <c r="H1334" s="10" t="s">
        <v>21</v>
      </c>
      <c r="I1334" s="10" t="s">
        <v>196</v>
      </c>
      <c r="J1334" s="10" t="str">
        <f>""</f>
        <v/>
      </c>
      <c r="K1334" s="10" t="str">
        <f>"PFES1162561923_0001"</f>
        <v>PFES1162561923_0001</v>
      </c>
      <c r="L1334" s="10">
        <v>1</v>
      </c>
      <c r="M1334" s="10">
        <v>4</v>
      </c>
    </row>
    <row r="1335" spans="1:13">
      <c r="A1335" s="8">
        <v>42928</v>
      </c>
      <c r="B1335" s="9">
        <v>0.48958333333333331</v>
      </c>
      <c r="C1335" s="10" t="str">
        <f>"FES1162561967"</f>
        <v>FES1162561967</v>
      </c>
      <c r="D1335" s="10" t="s">
        <v>19</v>
      </c>
      <c r="E1335" s="10" t="s">
        <v>763</v>
      </c>
      <c r="F1335" s="10" t="str">
        <f>"2170578575 "</f>
        <v xml:space="preserve">2170578575 </v>
      </c>
      <c r="G1335" s="10" t="str">
        <f t="shared" si="54"/>
        <v>ON1</v>
      </c>
      <c r="H1335" s="10" t="s">
        <v>21</v>
      </c>
      <c r="I1335" s="10" t="s">
        <v>764</v>
      </c>
      <c r="J1335" s="10" t="str">
        <f>""</f>
        <v/>
      </c>
      <c r="K1335" s="10" t="str">
        <f>"PFES1162561967_0001"</f>
        <v>PFES1162561967_0001</v>
      </c>
      <c r="L1335" s="10">
        <v>1</v>
      </c>
      <c r="M1335" s="10">
        <v>3</v>
      </c>
    </row>
    <row r="1336" spans="1:13">
      <c r="A1336" s="8">
        <v>42928</v>
      </c>
      <c r="B1336" s="9">
        <v>0.48680555555555555</v>
      </c>
      <c r="C1336" s="10" t="str">
        <f>"FES1162562057"</f>
        <v>FES1162562057</v>
      </c>
      <c r="D1336" s="10" t="s">
        <v>19</v>
      </c>
      <c r="E1336" s="10" t="s">
        <v>535</v>
      </c>
      <c r="F1336" s="10" t="str">
        <f>"2170578670 "</f>
        <v xml:space="preserve">2170578670 </v>
      </c>
      <c r="G1336" s="10" t="str">
        <f t="shared" si="54"/>
        <v>ON1</v>
      </c>
      <c r="H1336" s="10" t="s">
        <v>21</v>
      </c>
      <c r="I1336" s="10" t="s">
        <v>240</v>
      </c>
      <c r="J1336" s="10" t="str">
        <f>""</f>
        <v/>
      </c>
      <c r="K1336" s="10" t="str">
        <f>"PFES1162562057_0001"</f>
        <v>PFES1162562057_0001</v>
      </c>
      <c r="L1336" s="10">
        <v>1</v>
      </c>
      <c r="M1336" s="10">
        <v>3</v>
      </c>
    </row>
    <row r="1337" spans="1:13">
      <c r="A1337" s="8">
        <v>42928</v>
      </c>
      <c r="B1337" s="9">
        <v>0.48541666666666666</v>
      </c>
      <c r="C1337" s="10" t="str">
        <f>"FES1162561911"</f>
        <v>FES1162561911</v>
      </c>
      <c r="D1337" s="10" t="s">
        <v>19</v>
      </c>
      <c r="E1337" s="10" t="s">
        <v>750</v>
      </c>
      <c r="F1337" s="10" t="str">
        <f>"2170576495 "</f>
        <v xml:space="preserve">2170576495 </v>
      </c>
      <c r="G1337" s="10" t="str">
        <f t="shared" si="54"/>
        <v>ON1</v>
      </c>
      <c r="H1337" s="10" t="s">
        <v>21</v>
      </c>
      <c r="I1337" s="10" t="s">
        <v>751</v>
      </c>
      <c r="J1337" s="10" t="str">
        <f>""</f>
        <v/>
      </c>
      <c r="K1337" s="10" t="str">
        <f>"PFES1162561911_0001"</f>
        <v>PFES1162561911_0001</v>
      </c>
      <c r="L1337" s="10">
        <v>1</v>
      </c>
      <c r="M1337" s="10">
        <v>1</v>
      </c>
    </row>
    <row r="1338" spans="1:13">
      <c r="A1338" s="8">
        <v>42928</v>
      </c>
      <c r="B1338" s="9">
        <v>0.48472222222222222</v>
      </c>
      <c r="C1338" s="10" t="str">
        <f>"FES1162562043"</f>
        <v>FES1162562043</v>
      </c>
      <c r="D1338" s="10" t="s">
        <v>19</v>
      </c>
      <c r="E1338" s="10" t="s">
        <v>765</v>
      </c>
      <c r="F1338" s="10" t="str">
        <f>"2170578655 "</f>
        <v xml:space="preserve">2170578655 </v>
      </c>
      <c r="G1338" s="10" t="str">
        <f t="shared" si="54"/>
        <v>ON1</v>
      </c>
      <c r="H1338" s="10" t="s">
        <v>21</v>
      </c>
      <c r="I1338" s="10" t="s">
        <v>563</v>
      </c>
      <c r="J1338" s="10" t="str">
        <f>""</f>
        <v/>
      </c>
      <c r="K1338" s="10" t="str">
        <f>"PFES1162562043_0001"</f>
        <v>PFES1162562043_0001</v>
      </c>
      <c r="L1338" s="10">
        <v>1</v>
      </c>
      <c r="M1338" s="10">
        <v>8</v>
      </c>
    </row>
    <row r="1339" spans="1:13">
      <c r="A1339" s="8">
        <v>42928</v>
      </c>
      <c r="B1339" s="9">
        <v>0.47013888888888888</v>
      </c>
      <c r="C1339" s="10" t="str">
        <f>"FES1162562028"</f>
        <v>FES1162562028</v>
      </c>
      <c r="D1339" s="10" t="s">
        <v>19</v>
      </c>
      <c r="E1339" s="10" t="s">
        <v>766</v>
      </c>
      <c r="F1339" s="10" t="str">
        <f>"2170578633 "</f>
        <v xml:space="preserve">2170578633 </v>
      </c>
      <c r="G1339" s="10" t="str">
        <f t="shared" si="54"/>
        <v>ON1</v>
      </c>
      <c r="H1339" s="10" t="s">
        <v>21</v>
      </c>
      <c r="I1339" s="10" t="s">
        <v>767</v>
      </c>
      <c r="J1339" s="10" t="str">
        <f>""</f>
        <v/>
      </c>
      <c r="K1339" s="10" t="str">
        <f>"PFES1162562028_0001"</f>
        <v>PFES1162562028_0001</v>
      </c>
      <c r="L1339" s="10">
        <v>1</v>
      </c>
      <c r="M1339" s="10">
        <v>6</v>
      </c>
    </row>
    <row r="1340" spans="1:13">
      <c r="A1340" s="8">
        <v>42928</v>
      </c>
      <c r="B1340" s="9">
        <v>0.46597222222222223</v>
      </c>
      <c r="C1340" s="10" t="str">
        <f>"FES1162562036"</f>
        <v>FES1162562036</v>
      </c>
      <c r="D1340" s="10" t="s">
        <v>19</v>
      </c>
      <c r="E1340" s="10" t="s">
        <v>441</v>
      </c>
      <c r="F1340" s="10" t="str">
        <f>"2170578647 "</f>
        <v xml:space="preserve">2170578647 </v>
      </c>
      <c r="G1340" s="10" t="str">
        <f t="shared" si="54"/>
        <v>ON1</v>
      </c>
      <c r="H1340" s="10" t="s">
        <v>21</v>
      </c>
      <c r="I1340" s="10" t="s">
        <v>166</v>
      </c>
      <c r="J1340" s="10" t="str">
        <f>""</f>
        <v/>
      </c>
      <c r="K1340" s="10" t="str">
        <f>"PFES1162562036_0001"</f>
        <v>PFES1162562036_0001</v>
      </c>
      <c r="L1340" s="10">
        <v>1</v>
      </c>
      <c r="M1340" s="10">
        <v>1</v>
      </c>
    </row>
    <row r="1341" spans="1:13">
      <c r="A1341" s="8">
        <v>42928</v>
      </c>
      <c r="B1341" s="9">
        <v>0.46527777777777773</v>
      </c>
      <c r="C1341" s="10" t="str">
        <f>"FES1162561947"</f>
        <v>FES1162561947</v>
      </c>
      <c r="D1341" s="10" t="s">
        <v>19</v>
      </c>
      <c r="E1341" s="10" t="s">
        <v>264</v>
      </c>
      <c r="F1341" s="10" t="str">
        <f>"2170578549 "</f>
        <v xml:space="preserve">2170578549 </v>
      </c>
      <c r="G1341" s="10" t="str">
        <f t="shared" si="54"/>
        <v>ON1</v>
      </c>
      <c r="H1341" s="10" t="s">
        <v>21</v>
      </c>
      <c r="I1341" s="10" t="s">
        <v>240</v>
      </c>
      <c r="J1341" s="10" t="str">
        <f>""</f>
        <v/>
      </c>
      <c r="K1341" s="10" t="str">
        <f>"PFES1162561947_0001"</f>
        <v>PFES1162561947_0001</v>
      </c>
      <c r="L1341" s="10">
        <v>1</v>
      </c>
      <c r="M1341" s="10">
        <v>1</v>
      </c>
    </row>
    <row r="1342" spans="1:13">
      <c r="A1342" s="8">
        <v>42928</v>
      </c>
      <c r="B1342" s="9">
        <v>0.46319444444444446</v>
      </c>
      <c r="C1342" s="10" t="str">
        <f>"FES1162561902"</f>
        <v>FES1162561902</v>
      </c>
      <c r="D1342" s="10" t="s">
        <v>19</v>
      </c>
      <c r="E1342" s="10" t="s">
        <v>184</v>
      </c>
      <c r="F1342" s="10" t="str">
        <f>"2170576087 "</f>
        <v xml:space="preserve">2170576087 </v>
      </c>
      <c r="G1342" s="10" t="str">
        <f t="shared" si="54"/>
        <v>ON1</v>
      </c>
      <c r="H1342" s="10" t="s">
        <v>21</v>
      </c>
      <c r="I1342" s="10" t="s">
        <v>185</v>
      </c>
      <c r="J1342" s="10" t="str">
        <f>""</f>
        <v/>
      </c>
      <c r="K1342" s="10" t="str">
        <f>"PFES1162561902_0001"</f>
        <v>PFES1162561902_0001</v>
      </c>
      <c r="L1342" s="10">
        <v>1</v>
      </c>
      <c r="M1342" s="10">
        <v>1</v>
      </c>
    </row>
    <row r="1343" spans="1:13">
      <c r="A1343" s="8">
        <v>42928</v>
      </c>
      <c r="B1343" s="9">
        <v>0.46249999999999997</v>
      </c>
      <c r="C1343" s="10" t="str">
        <f>"FES116561916"</f>
        <v>FES116561916</v>
      </c>
      <c r="D1343" s="10" t="s">
        <v>19</v>
      </c>
      <c r="E1343" s="10" t="s">
        <v>41</v>
      </c>
      <c r="F1343" s="10" t="str">
        <f>"2170576563 "</f>
        <v xml:space="preserve">2170576563 </v>
      </c>
      <c r="G1343" s="10" t="str">
        <f t="shared" si="54"/>
        <v>ON1</v>
      </c>
      <c r="H1343" s="10" t="s">
        <v>21</v>
      </c>
      <c r="I1343" s="10" t="s">
        <v>42</v>
      </c>
      <c r="J1343" s="10" t="str">
        <f>""</f>
        <v/>
      </c>
      <c r="K1343" s="10" t="str">
        <f>"PFES116561916_0001"</f>
        <v>PFES116561916_0001</v>
      </c>
      <c r="L1343" s="10">
        <v>1</v>
      </c>
      <c r="M1343" s="10">
        <v>1</v>
      </c>
    </row>
    <row r="1344" spans="1:13">
      <c r="A1344" s="8">
        <v>42928</v>
      </c>
      <c r="B1344" s="9">
        <v>0.46180555555555558</v>
      </c>
      <c r="C1344" s="10" t="str">
        <f>"FES1162561937"</f>
        <v>FES1162561937</v>
      </c>
      <c r="D1344" s="10" t="s">
        <v>19</v>
      </c>
      <c r="E1344" s="10" t="s">
        <v>643</v>
      </c>
      <c r="F1344" s="10" t="str">
        <f>"2170577197 "</f>
        <v xml:space="preserve">2170577197 </v>
      </c>
      <c r="G1344" s="10" t="str">
        <f t="shared" si="54"/>
        <v>ON1</v>
      </c>
      <c r="H1344" s="10" t="s">
        <v>21</v>
      </c>
      <c r="I1344" s="10" t="s">
        <v>185</v>
      </c>
      <c r="J1344" s="10" t="str">
        <f>""</f>
        <v/>
      </c>
      <c r="K1344" s="10" t="str">
        <f>"PFES1162561937_0001"</f>
        <v>PFES1162561937_0001</v>
      </c>
      <c r="L1344" s="10">
        <v>1</v>
      </c>
      <c r="M1344" s="10">
        <v>1</v>
      </c>
    </row>
    <row r="1345" spans="1:13">
      <c r="A1345" s="8">
        <v>42928</v>
      </c>
      <c r="B1345" s="9">
        <v>0.46111111111111108</v>
      </c>
      <c r="C1345" s="10" t="str">
        <f>"FES1162561878"</f>
        <v>FES1162561878</v>
      </c>
      <c r="D1345" s="10" t="s">
        <v>19</v>
      </c>
      <c r="E1345" s="10" t="s">
        <v>535</v>
      </c>
      <c r="F1345" s="10" t="str">
        <f>"2170578538 "</f>
        <v xml:space="preserve">2170578538 </v>
      </c>
      <c r="G1345" s="10" t="str">
        <f t="shared" si="54"/>
        <v>ON1</v>
      </c>
      <c r="H1345" s="10" t="s">
        <v>21</v>
      </c>
      <c r="I1345" s="10" t="s">
        <v>240</v>
      </c>
      <c r="J1345" s="10" t="str">
        <f>""</f>
        <v/>
      </c>
      <c r="K1345" s="10" t="str">
        <f>"PFES1162561878_0001"</f>
        <v>PFES1162561878_0001</v>
      </c>
      <c r="L1345" s="10">
        <v>1</v>
      </c>
      <c r="M1345" s="10">
        <v>1</v>
      </c>
    </row>
    <row r="1346" spans="1:13">
      <c r="A1346" s="8">
        <v>42928</v>
      </c>
      <c r="B1346" s="9">
        <v>0.4604166666666667</v>
      </c>
      <c r="C1346" s="10" t="str">
        <f>"FES1162561951"</f>
        <v>FES1162561951</v>
      </c>
      <c r="D1346" s="10" t="s">
        <v>19</v>
      </c>
      <c r="E1346" s="10" t="s">
        <v>436</v>
      </c>
      <c r="F1346" s="10" t="str">
        <f>"2170578553 "</f>
        <v xml:space="preserve">2170578553 </v>
      </c>
      <c r="G1346" s="10" t="str">
        <f t="shared" si="54"/>
        <v>ON1</v>
      </c>
      <c r="H1346" s="10" t="s">
        <v>21</v>
      </c>
      <c r="I1346" s="10" t="s">
        <v>252</v>
      </c>
      <c r="J1346" s="10" t="str">
        <f>""</f>
        <v/>
      </c>
      <c r="K1346" s="10" t="str">
        <f>"PFES1162561951_0001"</f>
        <v>PFES1162561951_0001</v>
      </c>
      <c r="L1346" s="10">
        <v>1</v>
      </c>
      <c r="M1346" s="10">
        <v>2</v>
      </c>
    </row>
    <row r="1347" spans="1:13">
      <c r="A1347" s="8">
        <v>42928</v>
      </c>
      <c r="B1347" s="9">
        <v>0.4597222222222222</v>
      </c>
      <c r="C1347" s="10" t="str">
        <f>"FES1162561907"</f>
        <v>FES1162561907</v>
      </c>
      <c r="D1347" s="10" t="s">
        <v>19</v>
      </c>
      <c r="E1347" s="10" t="s">
        <v>270</v>
      </c>
      <c r="F1347" s="10" t="str">
        <f>"2170576386 "</f>
        <v xml:space="preserve">2170576386 </v>
      </c>
      <c r="G1347" s="10" t="str">
        <f t="shared" si="54"/>
        <v>ON1</v>
      </c>
      <c r="H1347" s="10" t="s">
        <v>21</v>
      </c>
      <c r="I1347" s="10" t="s">
        <v>271</v>
      </c>
      <c r="J1347" s="10" t="str">
        <f>""</f>
        <v/>
      </c>
      <c r="K1347" s="10" t="str">
        <f>"PFES1162561907_0001"</f>
        <v>PFES1162561907_0001</v>
      </c>
      <c r="L1347" s="10">
        <v>1</v>
      </c>
      <c r="M1347" s="10">
        <v>1</v>
      </c>
    </row>
    <row r="1348" spans="1:13">
      <c r="A1348" s="8">
        <v>42928</v>
      </c>
      <c r="B1348" s="9">
        <v>0.45902777777777781</v>
      </c>
      <c r="C1348" s="10" t="str">
        <f>"FES1162561775"</f>
        <v>FES1162561775</v>
      </c>
      <c r="D1348" s="10" t="s">
        <v>19</v>
      </c>
      <c r="E1348" s="10" t="s">
        <v>768</v>
      </c>
      <c r="F1348" s="10" t="str">
        <f>"2170578421 "</f>
        <v xml:space="preserve">2170578421 </v>
      </c>
      <c r="G1348" s="10" t="str">
        <f t="shared" si="54"/>
        <v>ON1</v>
      </c>
      <c r="H1348" s="10" t="s">
        <v>21</v>
      </c>
      <c r="I1348" s="10" t="s">
        <v>601</v>
      </c>
      <c r="J1348" s="10" t="str">
        <f>""</f>
        <v/>
      </c>
      <c r="K1348" s="10" t="str">
        <f>"PFES1162561775_0001"</f>
        <v>PFES1162561775_0001</v>
      </c>
      <c r="L1348" s="10">
        <v>1</v>
      </c>
      <c r="M1348" s="10">
        <v>1</v>
      </c>
    </row>
    <row r="1349" spans="1:13">
      <c r="A1349" s="8">
        <v>42928</v>
      </c>
      <c r="B1349" s="9">
        <v>0.45833333333333331</v>
      </c>
      <c r="C1349" s="10" t="str">
        <f>"FES1162561793"</f>
        <v>FES1162561793</v>
      </c>
      <c r="D1349" s="10" t="s">
        <v>19</v>
      </c>
      <c r="E1349" s="10" t="s">
        <v>768</v>
      </c>
      <c r="F1349" s="10" t="str">
        <f>"2170578438 "</f>
        <v xml:space="preserve">2170578438 </v>
      </c>
      <c r="G1349" s="10" t="str">
        <f t="shared" si="54"/>
        <v>ON1</v>
      </c>
      <c r="H1349" s="10" t="s">
        <v>21</v>
      </c>
      <c r="I1349" s="10" t="s">
        <v>601</v>
      </c>
      <c r="J1349" s="10" t="str">
        <f>""</f>
        <v/>
      </c>
      <c r="K1349" s="10" t="str">
        <f>"PFES1162561793_0001"</f>
        <v>PFES1162561793_0001</v>
      </c>
      <c r="L1349" s="10">
        <v>1</v>
      </c>
      <c r="M1349" s="10">
        <v>1</v>
      </c>
    </row>
    <row r="1350" spans="1:13">
      <c r="A1350" s="8">
        <v>42928</v>
      </c>
      <c r="B1350" s="9">
        <v>0.45763888888888887</v>
      </c>
      <c r="C1350" s="10" t="str">
        <f>"FES1162561759"</f>
        <v>FES1162561759</v>
      </c>
      <c r="D1350" s="10" t="s">
        <v>19</v>
      </c>
      <c r="E1350" s="10" t="s">
        <v>108</v>
      </c>
      <c r="F1350" s="10" t="str">
        <f>"2170575135 "</f>
        <v xml:space="preserve">2170575135 </v>
      </c>
      <c r="G1350" s="10" t="str">
        <f t="shared" si="54"/>
        <v>ON1</v>
      </c>
      <c r="H1350" s="10" t="s">
        <v>21</v>
      </c>
      <c r="I1350" s="10" t="s">
        <v>109</v>
      </c>
      <c r="J1350" s="10" t="str">
        <f>""</f>
        <v/>
      </c>
      <c r="K1350" s="10" t="str">
        <f>"PFES1162561759_0001"</f>
        <v>PFES1162561759_0001</v>
      </c>
      <c r="L1350" s="10">
        <v>1</v>
      </c>
      <c r="M1350" s="10">
        <v>2</v>
      </c>
    </row>
    <row r="1351" spans="1:13">
      <c r="A1351" s="8">
        <v>42928</v>
      </c>
      <c r="B1351" s="9">
        <v>0.45694444444444443</v>
      </c>
      <c r="C1351" s="10" t="str">
        <f>"FES1162561803"</f>
        <v>FES1162561803</v>
      </c>
      <c r="D1351" s="10" t="s">
        <v>19</v>
      </c>
      <c r="E1351" s="10" t="s">
        <v>376</v>
      </c>
      <c r="F1351" s="10" t="str">
        <f>"2170578447 "</f>
        <v xml:space="preserve">2170578447 </v>
      </c>
      <c r="G1351" s="10" t="str">
        <f t="shared" si="54"/>
        <v>ON1</v>
      </c>
      <c r="H1351" s="10" t="s">
        <v>21</v>
      </c>
      <c r="I1351" s="10" t="s">
        <v>377</v>
      </c>
      <c r="J1351" s="10" t="str">
        <f>""</f>
        <v/>
      </c>
      <c r="K1351" s="10" t="str">
        <f>"PFES1162561803_0001"</f>
        <v>PFES1162561803_0001</v>
      </c>
      <c r="L1351" s="10">
        <v>1</v>
      </c>
      <c r="M1351" s="10">
        <v>1</v>
      </c>
    </row>
    <row r="1352" spans="1:13">
      <c r="A1352" s="8">
        <v>42928</v>
      </c>
      <c r="B1352" s="9">
        <v>0.45624999999999999</v>
      </c>
      <c r="C1352" s="10" t="str">
        <f>"FES1162561804"</f>
        <v>FES1162561804</v>
      </c>
      <c r="D1352" s="10" t="s">
        <v>19</v>
      </c>
      <c r="E1352" s="10" t="s">
        <v>376</v>
      </c>
      <c r="F1352" s="10" t="str">
        <f>"2170578449 "</f>
        <v xml:space="preserve">2170578449 </v>
      </c>
      <c r="G1352" s="10" t="str">
        <f t="shared" si="54"/>
        <v>ON1</v>
      </c>
      <c r="H1352" s="10" t="s">
        <v>21</v>
      </c>
      <c r="I1352" s="10" t="s">
        <v>377</v>
      </c>
      <c r="J1352" s="10" t="str">
        <f>""</f>
        <v/>
      </c>
      <c r="K1352" s="10" t="str">
        <f>"PFES1162561804_0001"</f>
        <v>PFES1162561804_0001</v>
      </c>
      <c r="L1352" s="10">
        <v>1</v>
      </c>
      <c r="M1352" s="10">
        <v>1</v>
      </c>
    </row>
    <row r="1353" spans="1:13">
      <c r="A1353" s="8">
        <v>42928</v>
      </c>
      <c r="B1353" s="9">
        <v>0.45555555555555555</v>
      </c>
      <c r="C1353" s="10" t="str">
        <f>"FES1162561773"</f>
        <v>FES1162561773</v>
      </c>
      <c r="D1353" s="10" t="s">
        <v>19</v>
      </c>
      <c r="E1353" s="10" t="s">
        <v>585</v>
      </c>
      <c r="F1353" s="10" t="str">
        <f>"2170577537 "</f>
        <v xml:space="preserve">2170577537 </v>
      </c>
      <c r="G1353" s="10" t="str">
        <f t="shared" si="54"/>
        <v>ON1</v>
      </c>
      <c r="H1353" s="10" t="s">
        <v>21</v>
      </c>
      <c r="I1353" s="10" t="s">
        <v>586</v>
      </c>
      <c r="J1353" s="10" t="str">
        <f>""</f>
        <v/>
      </c>
      <c r="K1353" s="10" t="str">
        <f>"PFES1162561773_0001"</f>
        <v>PFES1162561773_0001</v>
      </c>
      <c r="L1353" s="10">
        <v>1</v>
      </c>
      <c r="M1353" s="10">
        <v>1</v>
      </c>
    </row>
    <row r="1354" spans="1:13">
      <c r="A1354" s="8">
        <v>42928</v>
      </c>
      <c r="B1354" s="9">
        <v>0.45416666666666666</v>
      </c>
      <c r="C1354" s="10" t="str">
        <f>"FES1162561763"</f>
        <v>FES1162561763</v>
      </c>
      <c r="D1354" s="10" t="s">
        <v>19</v>
      </c>
      <c r="E1354" s="10" t="s">
        <v>769</v>
      </c>
      <c r="F1354" s="10" t="str">
        <f>"2170578408 "</f>
        <v xml:space="preserve">2170578408 </v>
      </c>
      <c r="G1354" s="10" t="str">
        <f t="shared" si="54"/>
        <v>ON1</v>
      </c>
      <c r="H1354" s="10" t="s">
        <v>21</v>
      </c>
      <c r="I1354" s="10" t="s">
        <v>443</v>
      </c>
      <c r="J1354" s="10" t="str">
        <f>""</f>
        <v/>
      </c>
      <c r="K1354" s="10" t="str">
        <f>"PFES1162561763_0001"</f>
        <v>PFES1162561763_0001</v>
      </c>
      <c r="L1354" s="10">
        <v>1</v>
      </c>
      <c r="M1354" s="10">
        <v>1</v>
      </c>
    </row>
    <row r="1355" spans="1:13">
      <c r="A1355" s="8">
        <v>42928</v>
      </c>
      <c r="B1355" s="9">
        <v>0.45347222222222222</v>
      </c>
      <c r="C1355" s="10" t="str">
        <f>"FES1162561774"</f>
        <v>FES1162561774</v>
      </c>
      <c r="D1355" s="10" t="s">
        <v>19</v>
      </c>
      <c r="E1355" s="10" t="s">
        <v>770</v>
      </c>
      <c r="F1355" s="10" t="str">
        <f>"2170578420 "</f>
        <v xml:space="preserve">2170578420 </v>
      </c>
      <c r="G1355" s="10" t="str">
        <f t="shared" si="54"/>
        <v>ON1</v>
      </c>
      <c r="H1355" s="10" t="s">
        <v>21</v>
      </c>
      <c r="I1355" s="10" t="s">
        <v>109</v>
      </c>
      <c r="J1355" s="10" t="str">
        <f>""</f>
        <v/>
      </c>
      <c r="K1355" s="10" t="str">
        <f>"PFES1162561774_0001"</f>
        <v>PFES1162561774_0001</v>
      </c>
      <c r="L1355" s="10">
        <v>1</v>
      </c>
      <c r="M1355" s="10">
        <v>1</v>
      </c>
    </row>
    <row r="1356" spans="1:13">
      <c r="A1356" s="8">
        <v>42928</v>
      </c>
      <c r="B1356" s="9">
        <v>0.45277777777777778</v>
      </c>
      <c r="C1356" s="10" t="str">
        <f>"FES1162561760"</f>
        <v>FES1162561760</v>
      </c>
      <c r="D1356" s="10" t="s">
        <v>19</v>
      </c>
      <c r="E1356" s="10" t="s">
        <v>771</v>
      </c>
      <c r="F1356" s="10" t="str">
        <f>"2170578399 "</f>
        <v xml:space="preserve">2170578399 </v>
      </c>
      <c r="G1356" s="10" t="str">
        <f t="shared" si="54"/>
        <v>ON1</v>
      </c>
      <c r="H1356" s="10" t="s">
        <v>21</v>
      </c>
      <c r="I1356" s="10" t="s">
        <v>177</v>
      </c>
      <c r="J1356" s="10" t="str">
        <f>""</f>
        <v/>
      </c>
      <c r="K1356" s="10" t="str">
        <f>"PFES1162561760_0001"</f>
        <v>PFES1162561760_0001</v>
      </c>
      <c r="L1356" s="10">
        <v>1</v>
      </c>
      <c r="M1356" s="10">
        <v>1</v>
      </c>
    </row>
    <row r="1357" spans="1:13">
      <c r="A1357" s="8">
        <v>42928</v>
      </c>
      <c r="B1357" s="9">
        <v>0.45208333333333334</v>
      </c>
      <c r="C1357" s="10" t="str">
        <f>"FES1162562020"</f>
        <v>FES1162562020</v>
      </c>
      <c r="D1357" s="10" t="s">
        <v>19</v>
      </c>
      <c r="E1357" s="10" t="s">
        <v>536</v>
      </c>
      <c r="F1357" s="10" t="str">
        <f>"2170574009 "</f>
        <v xml:space="preserve">2170574009 </v>
      </c>
      <c r="G1357" s="10" t="str">
        <f t="shared" si="54"/>
        <v>ON1</v>
      </c>
      <c r="H1357" s="10" t="s">
        <v>21</v>
      </c>
      <c r="I1357" s="10" t="s">
        <v>26</v>
      </c>
      <c r="J1357" s="10" t="str">
        <f>""</f>
        <v/>
      </c>
      <c r="K1357" s="10" t="str">
        <f>"PFES1162562020_0001"</f>
        <v>PFES1162562020_0001</v>
      </c>
      <c r="L1357" s="10">
        <v>1</v>
      </c>
      <c r="M1357" s="10">
        <v>6</v>
      </c>
    </row>
    <row r="1358" spans="1:13">
      <c r="A1358" s="8">
        <v>42928</v>
      </c>
      <c r="B1358" s="9">
        <v>0.45208333333333334</v>
      </c>
      <c r="C1358" s="10" t="str">
        <f>"FES1162561811"</f>
        <v>FES1162561811</v>
      </c>
      <c r="D1358" s="10" t="s">
        <v>19</v>
      </c>
      <c r="E1358" s="10" t="s">
        <v>516</v>
      </c>
      <c r="F1358" s="10" t="str">
        <f>"2170578458 "</f>
        <v xml:space="preserve">2170578458 </v>
      </c>
      <c r="G1358" s="10" t="str">
        <f t="shared" si="54"/>
        <v>ON1</v>
      </c>
      <c r="H1358" s="10" t="s">
        <v>21</v>
      </c>
      <c r="I1358" s="10" t="s">
        <v>517</v>
      </c>
      <c r="J1358" s="10" t="str">
        <f>""</f>
        <v/>
      </c>
      <c r="K1358" s="10" t="str">
        <f>"PFES1162561811_0001"</f>
        <v>PFES1162561811_0001</v>
      </c>
      <c r="L1358" s="10">
        <v>1</v>
      </c>
      <c r="M1358" s="10">
        <v>1</v>
      </c>
    </row>
    <row r="1359" spans="1:13">
      <c r="A1359" s="8">
        <v>42928</v>
      </c>
      <c r="B1359" s="9">
        <v>0.45208333333333334</v>
      </c>
      <c r="C1359" s="10" t="str">
        <f>"FES1162562026"</f>
        <v>FES1162562026</v>
      </c>
      <c r="D1359" s="10" t="s">
        <v>19</v>
      </c>
      <c r="E1359" s="10" t="s">
        <v>190</v>
      </c>
      <c r="F1359" s="10" t="str">
        <f>"2170578630 "</f>
        <v xml:space="preserve">2170578630 </v>
      </c>
      <c r="G1359" s="10" t="str">
        <f t="shared" si="54"/>
        <v>ON1</v>
      </c>
      <c r="H1359" s="10" t="s">
        <v>21</v>
      </c>
      <c r="I1359" s="10" t="s">
        <v>52</v>
      </c>
      <c r="J1359" s="10" t="str">
        <f>""</f>
        <v/>
      </c>
      <c r="K1359" s="10" t="str">
        <f>"PFES1162562026_0001"</f>
        <v>PFES1162562026_0001</v>
      </c>
      <c r="L1359" s="10">
        <v>1</v>
      </c>
      <c r="M1359" s="10">
        <v>4</v>
      </c>
    </row>
    <row r="1360" spans="1:13">
      <c r="A1360" s="8">
        <v>42928</v>
      </c>
      <c r="B1360" s="9">
        <v>0.4513888888888889</v>
      </c>
      <c r="C1360" s="10" t="str">
        <f>"FES1162561879"</f>
        <v>FES1162561879</v>
      </c>
      <c r="D1360" s="10" t="s">
        <v>19</v>
      </c>
      <c r="E1360" s="10" t="s">
        <v>772</v>
      </c>
      <c r="F1360" s="10" t="str">
        <f>"2170578545 "</f>
        <v xml:space="preserve">2170578545 </v>
      </c>
      <c r="G1360" s="10" t="str">
        <f t="shared" si="54"/>
        <v>ON1</v>
      </c>
      <c r="H1360" s="10" t="s">
        <v>21</v>
      </c>
      <c r="I1360" s="10" t="s">
        <v>540</v>
      </c>
      <c r="J1360" s="10" t="str">
        <f>""</f>
        <v/>
      </c>
      <c r="K1360" s="10" t="str">
        <f>"PFES1162561879_0001"</f>
        <v>PFES1162561879_0001</v>
      </c>
      <c r="L1360" s="10">
        <v>1</v>
      </c>
      <c r="M1360" s="10">
        <v>7</v>
      </c>
    </row>
    <row r="1361" spans="1:13">
      <c r="A1361" s="8">
        <v>42928</v>
      </c>
      <c r="B1361" s="9">
        <v>0.4513888888888889</v>
      </c>
      <c r="C1361" s="10" t="str">
        <f>"FES1162562016"</f>
        <v>FES1162562016</v>
      </c>
      <c r="D1361" s="10" t="s">
        <v>19</v>
      </c>
      <c r="E1361" s="10" t="s">
        <v>617</v>
      </c>
      <c r="F1361" s="10" t="str">
        <f>"2170578621 "</f>
        <v xml:space="preserve">2170578621 </v>
      </c>
      <c r="G1361" s="10" t="str">
        <f t="shared" si="54"/>
        <v>ON1</v>
      </c>
      <c r="H1361" s="10" t="s">
        <v>21</v>
      </c>
      <c r="I1361" s="10" t="s">
        <v>618</v>
      </c>
      <c r="J1361" s="10" t="str">
        <f>""</f>
        <v/>
      </c>
      <c r="K1361" s="10" t="str">
        <f>"PFES1162562016_0001"</f>
        <v>PFES1162562016_0001</v>
      </c>
      <c r="L1361" s="10">
        <v>1</v>
      </c>
      <c r="M1361" s="10">
        <v>1</v>
      </c>
    </row>
    <row r="1362" spans="1:13">
      <c r="A1362" s="8">
        <v>42928</v>
      </c>
      <c r="B1362" s="9">
        <v>0.4513888888888889</v>
      </c>
      <c r="C1362" s="10" t="str">
        <f>"FES1162561849"</f>
        <v>FES1162561849</v>
      </c>
      <c r="D1362" s="10" t="s">
        <v>19</v>
      </c>
      <c r="E1362" s="10" t="s">
        <v>771</v>
      </c>
      <c r="F1362" s="10" t="str">
        <f>"2170578502 "</f>
        <v xml:space="preserve">2170578502 </v>
      </c>
      <c r="G1362" s="10" t="str">
        <f t="shared" si="54"/>
        <v>ON1</v>
      </c>
      <c r="H1362" s="10" t="s">
        <v>21</v>
      </c>
      <c r="I1362" s="10" t="s">
        <v>177</v>
      </c>
      <c r="J1362" s="10" t="str">
        <f>""</f>
        <v/>
      </c>
      <c r="K1362" s="10" t="str">
        <f>"PFES1162561849_0001"</f>
        <v>PFES1162561849_0001</v>
      </c>
      <c r="L1362" s="10">
        <v>1</v>
      </c>
      <c r="M1362" s="10">
        <v>2</v>
      </c>
    </row>
    <row r="1363" spans="1:13">
      <c r="A1363" s="8">
        <v>42928</v>
      </c>
      <c r="B1363" s="9">
        <v>0.4513888888888889</v>
      </c>
      <c r="C1363" s="10" t="str">
        <f>"FES1162562014"</f>
        <v>FES1162562014</v>
      </c>
      <c r="D1363" s="10" t="s">
        <v>19</v>
      </c>
      <c r="E1363" s="10" t="s">
        <v>617</v>
      </c>
      <c r="F1363" s="10" t="str">
        <f>"217057819 "</f>
        <v xml:space="preserve">217057819 </v>
      </c>
      <c r="G1363" s="10" t="str">
        <f t="shared" si="54"/>
        <v>ON1</v>
      </c>
      <c r="H1363" s="10" t="s">
        <v>21</v>
      </c>
      <c r="I1363" s="10" t="s">
        <v>618</v>
      </c>
      <c r="J1363" s="10" t="str">
        <f>""</f>
        <v/>
      </c>
      <c r="K1363" s="10" t="str">
        <f>"PFES1162562014_0001"</f>
        <v>PFES1162562014_0001</v>
      </c>
      <c r="L1363" s="10">
        <v>1</v>
      </c>
      <c r="M1363" s="10">
        <v>1</v>
      </c>
    </row>
    <row r="1364" spans="1:13">
      <c r="A1364" s="8">
        <v>42928</v>
      </c>
      <c r="B1364" s="9">
        <v>0.45069444444444445</v>
      </c>
      <c r="C1364" s="10" t="str">
        <f>"FES1162562017"</f>
        <v>FES1162562017</v>
      </c>
      <c r="D1364" s="10" t="s">
        <v>19</v>
      </c>
      <c r="E1364" s="10" t="s">
        <v>773</v>
      </c>
      <c r="F1364" s="10" t="str">
        <f>"2170578623 "</f>
        <v xml:space="preserve">2170578623 </v>
      </c>
      <c r="G1364" s="10" t="str">
        <f t="shared" si="54"/>
        <v>ON1</v>
      </c>
      <c r="H1364" s="10" t="s">
        <v>21</v>
      </c>
      <c r="I1364" s="10" t="s">
        <v>52</v>
      </c>
      <c r="J1364" s="10" t="str">
        <f>""</f>
        <v/>
      </c>
      <c r="K1364" s="10" t="str">
        <f>"PFES1162562017_0001"</f>
        <v>PFES1162562017_0001</v>
      </c>
      <c r="L1364" s="10">
        <v>1</v>
      </c>
      <c r="M1364" s="10">
        <v>1</v>
      </c>
    </row>
    <row r="1365" spans="1:13">
      <c r="A1365" s="8">
        <v>42928</v>
      </c>
      <c r="B1365" s="9">
        <v>0.45069444444444445</v>
      </c>
      <c r="C1365" s="10" t="str">
        <f>"FES1162561939"</f>
        <v>FES1162561939</v>
      </c>
      <c r="D1365" s="10" t="s">
        <v>19</v>
      </c>
      <c r="E1365" s="10" t="s">
        <v>264</v>
      </c>
      <c r="F1365" s="10" t="str">
        <f>"2170577550 "</f>
        <v xml:space="preserve">2170577550 </v>
      </c>
      <c r="G1365" s="10" t="str">
        <f t="shared" ref="G1365:G1382" si="55">"ON1"</f>
        <v>ON1</v>
      </c>
      <c r="H1365" s="10" t="s">
        <v>21</v>
      </c>
      <c r="I1365" s="10" t="s">
        <v>240</v>
      </c>
      <c r="J1365" s="10" t="str">
        <f>""</f>
        <v/>
      </c>
      <c r="K1365" s="10" t="str">
        <f>"PFES1162561939_0001"</f>
        <v>PFES1162561939_0001</v>
      </c>
      <c r="L1365" s="10">
        <v>1</v>
      </c>
      <c r="M1365" s="10">
        <v>1</v>
      </c>
    </row>
    <row r="1366" spans="1:13">
      <c r="A1366" s="8">
        <v>42928</v>
      </c>
      <c r="B1366" s="9">
        <v>0.45</v>
      </c>
      <c r="C1366" s="10" t="str">
        <f>"FES1162561973"</f>
        <v>FES1162561973</v>
      </c>
      <c r="D1366" s="10" t="s">
        <v>19</v>
      </c>
      <c r="E1366" s="10" t="s">
        <v>774</v>
      </c>
      <c r="F1366" s="10" t="str">
        <f>"2170578583 "</f>
        <v xml:space="preserve">2170578583 </v>
      </c>
      <c r="G1366" s="10" t="str">
        <f t="shared" si="55"/>
        <v>ON1</v>
      </c>
      <c r="H1366" s="10" t="s">
        <v>21</v>
      </c>
      <c r="I1366" s="10" t="s">
        <v>775</v>
      </c>
      <c r="J1366" s="10" t="str">
        <f>""</f>
        <v/>
      </c>
      <c r="K1366" s="10" t="str">
        <f>"PFES1162561973_0001"</f>
        <v>PFES1162561973_0001</v>
      </c>
      <c r="L1366" s="10">
        <v>1</v>
      </c>
      <c r="M1366" s="10">
        <v>1.33</v>
      </c>
    </row>
    <row r="1367" spans="1:13">
      <c r="A1367" s="8">
        <v>42928</v>
      </c>
      <c r="B1367" s="9">
        <v>0.44930555555555557</v>
      </c>
      <c r="C1367" s="10" t="str">
        <f>"FES1162561952"</f>
        <v>FES1162561952</v>
      </c>
      <c r="D1367" s="10" t="s">
        <v>19</v>
      </c>
      <c r="E1367" s="10" t="s">
        <v>536</v>
      </c>
      <c r="F1367" s="10" t="str">
        <f>"2170578554 "</f>
        <v xml:space="preserve">2170578554 </v>
      </c>
      <c r="G1367" s="10" t="str">
        <f t="shared" si="55"/>
        <v>ON1</v>
      </c>
      <c r="H1367" s="10" t="s">
        <v>21</v>
      </c>
      <c r="I1367" s="10" t="s">
        <v>26</v>
      </c>
      <c r="J1367" s="10" t="str">
        <f>""</f>
        <v/>
      </c>
      <c r="K1367" s="10" t="str">
        <f>"PFES1162561952_0001"</f>
        <v>PFES1162561952_0001</v>
      </c>
      <c r="L1367" s="10">
        <v>1</v>
      </c>
      <c r="M1367" s="10">
        <v>5</v>
      </c>
    </row>
    <row r="1368" spans="1:13">
      <c r="A1368" s="8">
        <v>42928</v>
      </c>
      <c r="B1368" s="9">
        <v>0.44861111111111113</v>
      </c>
      <c r="C1368" s="10" t="str">
        <f>"FES1162561960"</f>
        <v>FES1162561960</v>
      </c>
      <c r="D1368" s="10" t="s">
        <v>19</v>
      </c>
      <c r="E1368" s="10" t="s">
        <v>190</v>
      </c>
      <c r="F1368" s="10" t="str">
        <f>"2170578564 "</f>
        <v xml:space="preserve">2170578564 </v>
      </c>
      <c r="G1368" s="10" t="str">
        <f t="shared" si="55"/>
        <v>ON1</v>
      </c>
      <c r="H1368" s="10" t="s">
        <v>21</v>
      </c>
      <c r="I1368" s="10" t="s">
        <v>52</v>
      </c>
      <c r="J1368" s="10" t="str">
        <f>""</f>
        <v/>
      </c>
      <c r="K1368" s="10" t="str">
        <f>"PFES1162561960_0001"</f>
        <v>PFES1162561960_0001</v>
      </c>
      <c r="L1368" s="10">
        <v>1</v>
      </c>
      <c r="M1368" s="10">
        <v>3</v>
      </c>
    </row>
    <row r="1369" spans="1:13">
      <c r="A1369" s="8">
        <v>42928</v>
      </c>
      <c r="B1369" s="9">
        <v>0.44861111111111113</v>
      </c>
      <c r="C1369" s="10" t="str">
        <f>"FES1162561933"</f>
        <v>FES1162561933</v>
      </c>
      <c r="D1369" s="10" t="s">
        <v>19</v>
      </c>
      <c r="E1369" s="10" t="s">
        <v>776</v>
      </c>
      <c r="F1369" s="10" t="str">
        <f>"2170576823 "</f>
        <v xml:space="preserve">2170576823 </v>
      </c>
      <c r="G1369" s="10" t="str">
        <f t="shared" si="55"/>
        <v>ON1</v>
      </c>
      <c r="H1369" s="10" t="s">
        <v>21</v>
      </c>
      <c r="I1369" s="10" t="s">
        <v>66</v>
      </c>
      <c r="J1369" s="10" t="str">
        <f>""</f>
        <v/>
      </c>
      <c r="K1369" s="10" t="str">
        <f>"PFES1162561933_0001"</f>
        <v>PFES1162561933_0001</v>
      </c>
      <c r="L1369" s="10">
        <v>1</v>
      </c>
      <c r="M1369" s="10">
        <v>1.72</v>
      </c>
    </row>
    <row r="1370" spans="1:13">
      <c r="A1370" s="8">
        <v>42928</v>
      </c>
      <c r="B1370" s="9">
        <v>0.44791666666666669</v>
      </c>
      <c r="C1370" s="10" t="str">
        <f>"FES1162561944"</f>
        <v>FES1162561944</v>
      </c>
      <c r="D1370" s="10" t="s">
        <v>19</v>
      </c>
      <c r="E1370" s="10" t="s">
        <v>436</v>
      </c>
      <c r="F1370" s="10" t="str">
        <f>"2170578344 "</f>
        <v xml:space="preserve">2170578344 </v>
      </c>
      <c r="G1370" s="10" t="str">
        <f t="shared" si="55"/>
        <v>ON1</v>
      </c>
      <c r="H1370" s="10" t="s">
        <v>21</v>
      </c>
      <c r="I1370" s="10" t="s">
        <v>252</v>
      </c>
      <c r="J1370" s="10" t="str">
        <f>""</f>
        <v/>
      </c>
      <c r="K1370" s="10" t="str">
        <f>"PFES1162561944_0001"</f>
        <v>PFES1162561944_0001</v>
      </c>
      <c r="L1370" s="10">
        <v>1</v>
      </c>
      <c r="M1370" s="10">
        <v>1</v>
      </c>
    </row>
    <row r="1371" spans="1:13">
      <c r="A1371" s="8">
        <v>42928</v>
      </c>
      <c r="B1371" s="9">
        <v>0.44791666666666669</v>
      </c>
      <c r="C1371" s="10" t="str">
        <f>"FES1162561887"</f>
        <v>FES1162561887</v>
      </c>
      <c r="D1371" s="10" t="s">
        <v>19</v>
      </c>
      <c r="E1371" s="10" t="s">
        <v>268</v>
      </c>
      <c r="F1371" s="10" t="str">
        <f>"2170572334 "</f>
        <v xml:space="preserve">2170572334 </v>
      </c>
      <c r="G1371" s="10" t="str">
        <f t="shared" si="55"/>
        <v>ON1</v>
      </c>
      <c r="H1371" s="10" t="s">
        <v>21</v>
      </c>
      <c r="I1371" s="10" t="s">
        <v>185</v>
      </c>
      <c r="J1371" s="10" t="str">
        <f>""</f>
        <v/>
      </c>
      <c r="K1371" s="10" t="str">
        <f>"PFES1162561887_0001"</f>
        <v>PFES1162561887_0001</v>
      </c>
      <c r="L1371" s="10">
        <v>1</v>
      </c>
      <c r="M1371" s="10">
        <v>2</v>
      </c>
    </row>
    <row r="1372" spans="1:13">
      <c r="A1372" s="8">
        <v>42928</v>
      </c>
      <c r="B1372" s="9">
        <v>0.44791666666666669</v>
      </c>
      <c r="C1372" s="10" t="str">
        <f>"FES1162561550"</f>
        <v>FES1162561550</v>
      </c>
      <c r="D1372" s="10" t="s">
        <v>19</v>
      </c>
      <c r="E1372" s="10" t="s">
        <v>99</v>
      </c>
      <c r="F1372" s="10" t="str">
        <f>"2170576040 "</f>
        <v xml:space="preserve">2170576040 </v>
      </c>
      <c r="G1372" s="10" t="str">
        <f t="shared" si="55"/>
        <v>ON1</v>
      </c>
      <c r="H1372" s="10" t="s">
        <v>21</v>
      </c>
      <c r="I1372" s="10" t="s">
        <v>100</v>
      </c>
      <c r="J1372" s="10" t="str">
        <f>""</f>
        <v/>
      </c>
      <c r="K1372" s="10" t="str">
        <f>"PFES1162561550_0001"</f>
        <v>PFES1162561550_0001</v>
      </c>
      <c r="L1372" s="10">
        <v>1</v>
      </c>
      <c r="M1372" s="10">
        <v>1</v>
      </c>
    </row>
    <row r="1373" spans="1:13">
      <c r="A1373" s="8">
        <v>42928</v>
      </c>
      <c r="B1373" s="9">
        <v>0.44722222222222219</v>
      </c>
      <c r="C1373" s="10" t="str">
        <f>"FES1162561962"</f>
        <v>FES1162561962</v>
      </c>
      <c r="D1373" s="10" t="s">
        <v>19</v>
      </c>
      <c r="E1373" s="10" t="s">
        <v>268</v>
      </c>
      <c r="F1373" s="10" t="str">
        <f>"2170578568 "</f>
        <v xml:space="preserve">2170578568 </v>
      </c>
      <c r="G1373" s="10" t="str">
        <f t="shared" si="55"/>
        <v>ON1</v>
      </c>
      <c r="H1373" s="10" t="s">
        <v>21</v>
      </c>
      <c r="I1373" s="10" t="s">
        <v>185</v>
      </c>
      <c r="J1373" s="10" t="str">
        <f>""</f>
        <v/>
      </c>
      <c r="K1373" s="10" t="str">
        <f>"PFES1162561962_0001"</f>
        <v>PFES1162561962_0001</v>
      </c>
      <c r="L1373" s="10">
        <v>1</v>
      </c>
      <c r="M1373" s="10">
        <v>1</v>
      </c>
    </row>
    <row r="1374" spans="1:13">
      <c r="A1374" s="8">
        <v>42928</v>
      </c>
      <c r="B1374" s="9">
        <v>0.44722222222222219</v>
      </c>
      <c r="C1374" s="10" t="str">
        <f>"FES1162561941"</f>
        <v>FES1162561941</v>
      </c>
      <c r="D1374" s="10" t="s">
        <v>19</v>
      </c>
      <c r="E1374" s="10" t="s">
        <v>436</v>
      </c>
      <c r="F1374" s="10" t="str">
        <f>"2170577561 "</f>
        <v xml:space="preserve">2170577561 </v>
      </c>
      <c r="G1374" s="10" t="str">
        <f t="shared" si="55"/>
        <v>ON1</v>
      </c>
      <c r="H1374" s="10" t="s">
        <v>21</v>
      </c>
      <c r="I1374" s="10" t="s">
        <v>252</v>
      </c>
      <c r="J1374" s="10" t="str">
        <f>""</f>
        <v/>
      </c>
      <c r="K1374" s="10" t="str">
        <f>"PFES1162561941_0001"</f>
        <v>PFES1162561941_0001</v>
      </c>
      <c r="L1374" s="10">
        <v>1</v>
      </c>
      <c r="M1374" s="10">
        <v>3</v>
      </c>
    </row>
    <row r="1375" spans="1:13">
      <c r="A1375" s="8">
        <v>42928</v>
      </c>
      <c r="B1375" s="9">
        <v>0.4465277777777778</v>
      </c>
      <c r="C1375" s="10" t="str">
        <f>"FES1162561868"</f>
        <v>FES1162561868</v>
      </c>
      <c r="D1375" s="10" t="s">
        <v>19</v>
      </c>
      <c r="E1375" s="10" t="s">
        <v>777</v>
      </c>
      <c r="F1375" s="10" t="str">
        <f>"2170578213 "</f>
        <v xml:space="preserve">2170578213 </v>
      </c>
      <c r="G1375" s="10" t="str">
        <f t="shared" si="55"/>
        <v>ON1</v>
      </c>
      <c r="H1375" s="10" t="s">
        <v>21</v>
      </c>
      <c r="I1375" s="10" t="s">
        <v>775</v>
      </c>
      <c r="J1375" s="10" t="str">
        <f>""</f>
        <v/>
      </c>
      <c r="K1375" s="10" t="str">
        <f>"PFES1162561868_0001"</f>
        <v>PFES1162561868_0001</v>
      </c>
      <c r="L1375" s="10">
        <v>1</v>
      </c>
      <c r="M1375" s="10">
        <v>5</v>
      </c>
    </row>
    <row r="1376" spans="1:13">
      <c r="A1376" s="8">
        <v>42928</v>
      </c>
      <c r="B1376" s="9">
        <v>0.4458333333333333</v>
      </c>
      <c r="C1376" s="10" t="str">
        <f>"FES1162561970"</f>
        <v>FES1162561970</v>
      </c>
      <c r="D1376" s="10" t="s">
        <v>19</v>
      </c>
      <c r="E1376" s="10" t="s">
        <v>99</v>
      </c>
      <c r="F1376" s="10" t="str">
        <f>"2170578578 "</f>
        <v xml:space="preserve">2170578578 </v>
      </c>
      <c r="G1376" s="10" t="str">
        <f t="shared" si="55"/>
        <v>ON1</v>
      </c>
      <c r="H1376" s="10" t="s">
        <v>21</v>
      </c>
      <c r="I1376" s="10" t="s">
        <v>100</v>
      </c>
      <c r="J1376" s="10" t="str">
        <f>""</f>
        <v/>
      </c>
      <c r="K1376" s="10" t="str">
        <f>"PFES1162561970_0001"</f>
        <v>PFES1162561970_0001</v>
      </c>
      <c r="L1376" s="10">
        <v>1</v>
      </c>
      <c r="M1376" s="10">
        <v>5</v>
      </c>
    </row>
    <row r="1377" spans="1:13">
      <c r="A1377" s="8">
        <v>42928</v>
      </c>
      <c r="B1377" s="9">
        <v>0.4458333333333333</v>
      </c>
      <c r="C1377" s="10" t="str">
        <f>"FES1162561959"</f>
        <v>FES1162561959</v>
      </c>
      <c r="D1377" s="10" t="s">
        <v>19</v>
      </c>
      <c r="E1377" s="10" t="s">
        <v>190</v>
      </c>
      <c r="F1377" s="10" t="str">
        <f>"2170578563 "</f>
        <v xml:space="preserve">2170578563 </v>
      </c>
      <c r="G1377" s="10" t="str">
        <f t="shared" si="55"/>
        <v>ON1</v>
      </c>
      <c r="H1377" s="10" t="s">
        <v>21</v>
      </c>
      <c r="I1377" s="10" t="s">
        <v>52</v>
      </c>
      <c r="J1377" s="10" t="str">
        <f>""</f>
        <v/>
      </c>
      <c r="K1377" s="10" t="str">
        <f>"PFES1162561959_0001"</f>
        <v>PFES1162561959_0001</v>
      </c>
      <c r="L1377" s="10">
        <v>1</v>
      </c>
      <c r="M1377" s="10">
        <v>3</v>
      </c>
    </row>
    <row r="1378" spans="1:13">
      <c r="A1378" s="8">
        <v>42928</v>
      </c>
      <c r="B1378" s="9">
        <v>0.4458333333333333</v>
      </c>
      <c r="C1378" s="10" t="str">
        <f>"FES1162561900"</f>
        <v>FES1162561900</v>
      </c>
      <c r="D1378" s="10" t="s">
        <v>19</v>
      </c>
      <c r="E1378" s="10" t="s">
        <v>184</v>
      </c>
      <c r="F1378" s="10" t="str">
        <f>"2170575872 "</f>
        <v xml:space="preserve">2170575872 </v>
      </c>
      <c r="G1378" s="10" t="str">
        <f t="shared" si="55"/>
        <v>ON1</v>
      </c>
      <c r="H1378" s="10" t="s">
        <v>21</v>
      </c>
      <c r="I1378" s="10" t="s">
        <v>185</v>
      </c>
      <c r="J1378" s="10" t="str">
        <f>""</f>
        <v/>
      </c>
      <c r="K1378" s="10" t="str">
        <f>"PFES1162561900_0001"</f>
        <v>PFES1162561900_0001</v>
      </c>
      <c r="L1378" s="10">
        <v>1</v>
      </c>
      <c r="M1378" s="10">
        <v>1</v>
      </c>
    </row>
    <row r="1379" spans="1:13">
      <c r="A1379" s="8">
        <v>42928</v>
      </c>
      <c r="B1379" s="9">
        <v>0.4458333333333333</v>
      </c>
      <c r="C1379" s="10" t="str">
        <f>"FES1162561872"</f>
        <v>FES1162561872</v>
      </c>
      <c r="D1379" s="10" t="s">
        <v>19</v>
      </c>
      <c r="E1379" s="10" t="s">
        <v>778</v>
      </c>
      <c r="F1379" s="10" t="str">
        <f>"2170578524 "</f>
        <v xml:space="preserve">2170578524 </v>
      </c>
      <c r="G1379" s="10" t="str">
        <f t="shared" si="55"/>
        <v>ON1</v>
      </c>
      <c r="H1379" s="10" t="s">
        <v>21</v>
      </c>
      <c r="I1379" s="10" t="s">
        <v>224</v>
      </c>
      <c r="J1379" s="10" t="str">
        <f>""</f>
        <v/>
      </c>
      <c r="K1379" s="10" t="str">
        <f>"PFES1162561872_0001"</f>
        <v>PFES1162561872_0001</v>
      </c>
      <c r="L1379" s="10">
        <v>1</v>
      </c>
      <c r="M1379" s="10">
        <v>1</v>
      </c>
    </row>
    <row r="1380" spans="1:13">
      <c r="A1380" s="8">
        <v>42928</v>
      </c>
      <c r="B1380" s="9">
        <v>0.44513888888888892</v>
      </c>
      <c r="C1380" s="10" t="str">
        <f>"FES1162561948"</f>
        <v>FES1162561948</v>
      </c>
      <c r="D1380" s="10" t="s">
        <v>19</v>
      </c>
      <c r="E1380" s="10" t="s">
        <v>165</v>
      </c>
      <c r="F1380" s="10" t="str">
        <f>"2170578550 "</f>
        <v xml:space="preserve">2170578550 </v>
      </c>
      <c r="G1380" s="10" t="str">
        <f t="shared" si="55"/>
        <v>ON1</v>
      </c>
      <c r="H1380" s="10" t="s">
        <v>21</v>
      </c>
      <c r="I1380" s="10" t="s">
        <v>166</v>
      </c>
      <c r="J1380" s="10" t="str">
        <f>""</f>
        <v/>
      </c>
      <c r="K1380" s="10" t="str">
        <f>"PFES1162561948_0001"</f>
        <v>PFES1162561948_0001</v>
      </c>
      <c r="L1380" s="10">
        <v>1</v>
      </c>
      <c r="M1380" s="10">
        <v>1</v>
      </c>
    </row>
    <row r="1381" spans="1:13">
      <c r="A1381" s="8">
        <v>42928</v>
      </c>
      <c r="B1381" s="9">
        <v>0.44513888888888892</v>
      </c>
      <c r="C1381" s="10" t="str">
        <f>"FES1162561875"</f>
        <v>FES1162561875</v>
      </c>
      <c r="D1381" s="10" t="s">
        <v>19</v>
      </c>
      <c r="E1381" s="10" t="s">
        <v>39</v>
      </c>
      <c r="F1381" s="10" t="str">
        <f>"2170578532 "</f>
        <v xml:space="preserve">2170578532 </v>
      </c>
      <c r="G1381" s="10" t="str">
        <f t="shared" si="55"/>
        <v>ON1</v>
      </c>
      <c r="H1381" s="10" t="s">
        <v>21</v>
      </c>
      <c r="I1381" s="10" t="s">
        <v>40</v>
      </c>
      <c r="J1381" s="10" t="str">
        <f>""</f>
        <v/>
      </c>
      <c r="K1381" s="10" t="str">
        <f>"PFES1162561875_0001"</f>
        <v>PFES1162561875_0001</v>
      </c>
      <c r="L1381" s="10">
        <v>1</v>
      </c>
      <c r="M1381" s="10">
        <v>1</v>
      </c>
    </row>
    <row r="1382" spans="1:13">
      <c r="A1382" s="8">
        <v>42928</v>
      </c>
      <c r="B1382" s="9">
        <v>0.44375000000000003</v>
      </c>
      <c r="C1382" s="10" t="str">
        <f>"FES1162561991"</f>
        <v>FES1162561991</v>
      </c>
      <c r="D1382" s="10" t="s">
        <v>19</v>
      </c>
      <c r="E1382" s="10" t="s">
        <v>277</v>
      </c>
      <c r="F1382" s="10" t="str">
        <f>"2170578595 "</f>
        <v xml:space="preserve">2170578595 </v>
      </c>
      <c r="G1382" s="10" t="str">
        <f t="shared" si="55"/>
        <v>ON1</v>
      </c>
      <c r="H1382" s="10" t="s">
        <v>21</v>
      </c>
      <c r="I1382" s="10" t="s">
        <v>234</v>
      </c>
      <c r="J1382" s="10" t="str">
        <f>""</f>
        <v/>
      </c>
      <c r="K1382" s="10" t="str">
        <f>"PFES1162561991_0001"</f>
        <v>PFES1162561991_0001</v>
      </c>
      <c r="L1382" s="10">
        <v>1</v>
      </c>
      <c r="M1382" s="10">
        <v>4</v>
      </c>
    </row>
    <row r="1383" spans="1:13">
      <c r="A1383" s="8">
        <v>42928</v>
      </c>
      <c r="B1383" s="9">
        <v>0.44375000000000003</v>
      </c>
      <c r="C1383" s="10" t="str">
        <f>"FES1162561892"</f>
        <v>FES1162561892</v>
      </c>
      <c r="D1383" s="10" t="s">
        <v>19</v>
      </c>
      <c r="E1383" s="10" t="s">
        <v>173</v>
      </c>
      <c r="F1383" s="10" t="str">
        <f>"2170574399 "</f>
        <v xml:space="preserve">2170574399 </v>
      </c>
      <c r="G1383" s="10" t="str">
        <f>"DBC"</f>
        <v>DBC</v>
      </c>
      <c r="H1383" s="10" t="s">
        <v>21</v>
      </c>
      <c r="I1383" s="10" t="s">
        <v>174</v>
      </c>
      <c r="J1383" s="10" t="str">
        <f>""</f>
        <v/>
      </c>
      <c r="K1383" s="10" t="str">
        <f>"PFES1162561892_0001"</f>
        <v>PFES1162561892_0001</v>
      </c>
      <c r="L1383" s="10">
        <v>5</v>
      </c>
      <c r="M1383" s="10">
        <v>29</v>
      </c>
    </row>
    <row r="1384" spans="1:13">
      <c r="A1384" s="8">
        <v>42928</v>
      </c>
      <c r="B1384" s="9">
        <v>0.44375000000000003</v>
      </c>
      <c r="C1384" s="10" t="str">
        <f>"FES1162561892"</f>
        <v>FES1162561892</v>
      </c>
      <c r="D1384" s="10" t="s">
        <v>19</v>
      </c>
      <c r="E1384" s="10" t="s">
        <v>173</v>
      </c>
      <c r="F1384" s="10" t="str">
        <f t="shared" ref="F1384:F1387" si="56">"2170574399 "</f>
        <v xml:space="preserve">2170574399 </v>
      </c>
      <c r="G1384" s="10" t="str">
        <f t="shared" ref="G1384:G1387" si="57">"DBC"</f>
        <v>DBC</v>
      </c>
      <c r="H1384" s="10" t="s">
        <v>21</v>
      </c>
      <c r="I1384" s="10" t="s">
        <v>174</v>
      </c>
      <c r="J1384" s="10"/>
      <c r="K1384" s="10" t="str">
        <f>"PFES1162561892_0002"</f>
        <v>PFES1162561892_0002</v>
      </c>
      <c r="L1384" s="10">
        <v>5</v>
      </c>
      <c r="M1384" s="10">
        <v>29</v>
      </c>
    </row>
    <row r="1385" spans="1:13">
      <c r="A1385" s="8">
        <v>42928</v>
      </c>
      <c r="B1385" s="9">
        <v>0.44375000000000003</v>
      </c>
      <c r="C1385" s="10" t="str">
        <f>"FES1162561892"</f>
        <v>FES1162561892</v>
      </c>
      <c r="D1385" s="10" t="s">
        <v>19</v>
      </c>
      <c r="E1385" s="10" t="s">
        <v>173</v>
      </c>
      <c r="F1385" s="10" t="str">
        <f t="shared" si="56"/>
        <v xml:space="preserve">2170574399 </v>
      </c>
      <c r="G1385" s="10" t="str">
        <f t="shared" si="57"/>
        <v>DBC</v>
      </c>
      <c r="H1385" s="10" t="s">
        <v>21</v>
      </c>
      <c r="I1385" s="10" t="s">
        <v>174</v>
      </c>
      <c r="J1385" s="10"/>
      <c r="K1385" s="10" t="str">
        <f>"PFES1162561892_0003"</f>
        <v>PFES1162561892_0003</v>
      </c>
      <c r="L1385" s="10">
        <v>5</v>
      </c>
      <c r="M1385" s="10">
        <v>29</v>
      </c>
    </row>
    <row r="1386" spans="1:13">
      <c r="A1386" s="8">
        <v>42928</v>
      </c>
      <c r="B1386" s="9">
        <v>0.44375000000000003</v>
      </c>
      <c r="C1386" s="10" t="str">
        <f>"FES1162561892"</f>
        <v>FES1162561892</v>
      </c>
      <c r="D1386" s="10" t="s">
        <v>19</v>
      </c>
      <c r="E1386" s="10" t="s">
        <v>173</v>
      </c>
      <c r="F1386" s="10" t="str">
        <f t="shared" si="56"/>
        <v xml:space="preserve">2170574399 </v>
      </c>
      <c r="G1386" s="10" t="str">
        <f t="shared" si="57"/>
        <v>DBC</v>
      </c>
      <c r="H1386" s="10" t="s">
        <v>21</v>
      </c>
      <c r="I1386" s="10" t="s">
        <v>174</v>
      </c>
      <c r="J1386" s="10"/>
      <c r="K1386" s="10" t="str">
        <f>"PFES1162561892_0004"</f>
        <v>PFES1162561892_0004</v>
      </c>
      <c r="L1386" s="10">
        <v>5</v>
      </c>
      <c r="M1386" s="10">
        <v>29</v>
      </c>
    </row>
    <row r="1387" spans="1:13">
      <c r="A1387" s="8">
        <v>42928</v>
      </c>
      <c r="B1387" s="9">
        <v>0.44375000000000003</v>
      </c>
      <c r="C1387" s="10" t="str">
        <f>"FES1162561892"</f>
        <v>FES1162561892</v>
      </c>
      <c r="D1387" s="10" t="s">
        <v>19</v>
      </c>
      <c r="E1387" s="10" t="s">
        <v>173</v>
      </c>
      <c r="F1387" s="10" t="str">
        <f t="shared" si="56"/>
        <v xml:space="preserve">2170574399 </v>
      </c>
      <c r="G1387" s="10" t="str">
        <f t="shared" si="57"/>
        <v>DBC</v>
      </c>
      <c r="H1387" s="10" t="s">
        <v>21</v>
      </c>
      <c r="I1387" s="10" t="s">
        <v>174</v>
      </c>
      <c r="J1387" s="10"/>
      <c r="K1387" s="10" t="str">
        <f>"PFES1162561892_0005"</f>
        <v>PFES1162561892_0005</v>
      </c>
      <c r="L1387" s="10">
        <v>5</v>
      </c>
      <c r="M1387" s="10">
        <v>29</v>
      </c>
    </row>
    <row r="1388" spans="1:13">
      <c r="A1388" s="8">
        <v>42928</v>
      </c>
      <c r="B1388" s="9">
        <v>0.44305555555555554</v>
      </c>
      <c r="C1388" s="10" t="str">
        <f>"FES1162561898"</f>
        <v>FES1162561898</v>
      </c>
      <c r="D1388" s="10" t="s">
        <v>19</v>
      </c>
      <c r="E1388" s="10" t="s">
        <v>190</v>
      </c>
      <c r="F1388" s="10" t="str">
        <f>"2170575621 "</f>
        <v xml:space="preserve">2170575621 </v>
      </c>
      <c r="G1388" s="10" t="str">
        <f>"ON1"</f>
        <v>ON1</v>
      </c>
      <c r="H1388" s="10" t="s">
        <v>21</v>
      </c>
      <c r="I1388" s="10" t="s">
        <v>52</v>
      </c>
      <c r="J1388" s="10" t="str">
        <f>""</f>
        <v/>
      </c>
      <c r="K1388" s="10" t="str">
        <f>"PFES1162561898_0001"</f>
        <v>PFES1162561898_0001</v>
      </c>
      <c r="L1388" s="10">
        <v>1</v>
      </c>
      <c r="M1388" s="10">
        <v>1</v>
      </c>
    </row>
    <row r="1389" spans="1:13">
      <c r="A1389" s="8">
        <v>42928</v>
      </c>
      <c r="B1389" s="9">
        <v>0.44305555555555554</v>
      </c>
      <c r="C1389" s="10" t="str">
        <f>"FES1162561866"</f>
        <v>FES1162561866</v>
      </c>
      <c r="D1389" s="10" t="s">
        <v>19</v>
      </c>
      <c r="E1389" s="10" t="s">
        <v>779</v>
      </c>
      <c r="F1389" s="10" t="str">
        <f>"2170578520 "</f>
        <v xml:space="preserve">2170578520 </v>
      </c>
      <c r="G1389" s="10" t="str">
        <f>"ON1"</f>
        <v>ON1</v>
      </c>
      <c r="H1389" s="10" t="s">
        <v>21</v>
      </c>
      <c r="I1389" s="10" t="s">
        <v>780</v>
      </c>
      <c r="J1389" s="10" t="str">
        <f>""</f>
        <v/>
      </c>
      <c r="K1389" s="10" t="str">
        <f>"PFES1162561866_0001"</f>
        <v>PFES1162561866_0001</v>
      </c>
      <c r="L1389" s="10">
        <v>2</v>
      </c>
      <c r="M1389" s="10">
        <v>5</v>
      </c>
    </row>
    <row r="1390" spans="1:13">
      <c r="A1390" s="8">
        <v>42928</v>
      </c>
      <c r="B1390" s="9">
        <v>0.44305555555555554</v>
      </c>
      <c r="C1390" s="10" t="str">
        <f>"FES1162561866"</f>
        <v>FES1162561866</v>
      </c>
      <c r="D1390" s="10" t="s">
        <v>19</v>
      </c>
      <c r="E1390" s="10" t="s">
        <v>779</v>
      </c>
      <c r="F1390" s="10" t="str">
        <f>"2170578520 "</f>
        <v xml:space="preserve">2170578520 </v>
      </c>
      <c r="G1390" s="10" t="str">
        <f>"ON1"</f>
        <v>ON1</v>
      </c>
      <c r="H1390" s="10" t="s">
        <v>21</v>
      </c>
      <c r="I1390" s="10" t="s">
        <v>780</v>
      </c>
      <c r="J1390" s="10"/>
      <c r="K1390" s="10" t="str">
        <f>"PFES1162561866_0002"</f>
        <v>PFES1162561866_0002</v>
      </c>
      <c r="L1390" s="10">
        <v>2</v>
      </c>
      <c r="M1390" s="10">
        <v>5</v>
      </c>
    </row>
    <row r="1391" spans="1:13">
      <c r="A1391" s="8">
        <v>42928</v>
      </c>
      <c r="B1391" s="9">
        <v>0.44236111111111115</v>
      </c>
      <c r="C1391" s="10" t="str">
        <f>"FES1162561874"</f>
        <v>FES1162561874</v>
      </c>
      <c r="D1391" s="10" t="s">
        <v>19</v>
      </c>
      <c r="E1391" s="10" t="s">
        <v>781</v>
      </c>
      <c r="F1391" s="10" t="str">
        <f>"2170578530 "</f>
        <v xml:space="preserve">2170578530 </v>
      </c>
      <c r="G1391" s="10" t="str">
        <f t="shared" ref="G1391:G1397" si="58">"ON1"</f>
        <v>ON1</v>
      </c>
      <c r="H1391" s="10" t="s">
        <v>21</v>
      </c>
      <c r="I1391" s="10" t="s">
        <v>405</v>
      </c>
      <c r="J1391" s="10" t="str">
        <f>""</f>
        <v/>
      </c>
      <c r="K1391" s="10" t="str">
        <f>"PFES1162561874_0001"</f>
        <v>PFES1162561874_0001</v>
      </c>
      <c r="L1391" s="10">
        <v>1</v>
      </c>
      <c r="M1391" s="10">
        <v>1</v>
      </c>
    </row>
    <row r="1392" spans="1:13">
      <c r="A1392" s="8">
        <v>42928</v>
      </c>
      <c r="B1392" s="9">
        <v>0.44166666666666665</v>
      </c>
      <c r="C1392" s="10" t="str">
        <f>"FES1162561871"</f>
        <v>FES1162561871</v>
      </c>
      <c r="D1392" s="10" t="s">
        <v>19</v>
      </c>
      <c r="E1392" s="10" t="s">
        <v>782</v>
      </c>
      <c r="F1392" s="10" t="str">
        <f>"2170578522 "</f>
        <v xml:space="preserve">2170578522 </v>
      </c>
      <c r="G1392" s="10" t="str">
        <f t="shared" si="58"/>
        <v>ON1</v>
      </c>
      <c r="H1392" s="10" t="s">
        <v>21</v>
      </c>
      <c r="I1392" s="10" t="s">
        <v>325</v>
      </c>
      <c r="J1392" s="10" t="str">
        <f>""</f>
        <v/>
      </c>
      <c r="K1392" s="10" t="str">
        <f>"PFES1162561871_0001"</f>
        <v>PFES1162561871_0001</v>
      </c>
      <c r="L1392" s="10">
        <v>1</v>
      </c>
      <c r="M1392" s="10">
        <v>2</v>
      </c>
    </row>
    <row r="1393" spans="1:13">
      <c r="A1393" s="8">
        <v>42928</v>
      </c>
      <c r="B1393" s="9">
        <v>0.43263888888888885</v>
      </c>
      <c r="C1393" s="10" t="str">
        <f>"FES1162561927"</f>
        <v>FES1162561927</v>
      </c>
      <c r="D1393" s="10" t="s">
        <v>19</v>
      </c>
      <c r="E1393" s="10" t="s">
        <v>396</v>
      </c>
      <c r="F1393" s="10" t="str">
        <f>"2170576698 "</f>
        <v xml:space="preserve">2170576698 </v>
      </c>
      <c r="G1393" s="10" t="str">
        <f t="shared" si="58"/>
        <v>ON1</v>
      </c>
      <c r="H1393" s="10" t="s">
        <v>21</v>
      </c>
      <c r="I1393" s="10" t="s">
        <v>340</v>
      </c>
      <c r="J1393" s="10" t="str">
        <f>""</f>
        <v/>
      </c>
      <c r="K1393" s="10" t="str">
        <f>"PFES1162561927_0001"</f>
        <v>PFES1162561927_0001</v>
      </c>
      <c r="L1393" s="10">
        <v>1</v>
      </c>
      <c r="M1393" s="10">
        <v>4</v>
      </c>
    </row>
    <row r="1394" spans="1:13">
      <c r="A1394" s="8">
        <v>42928</v>
      </c>
      <c r="B1394" s="9">
        <v>0.69097222222222221</v>
      </c>
      <c r="C1394" s="10" t="str">
        <f>"FES1162562192"</f>
        <v>FES1162562192</v>
      </c>
      <c r="D1394" s="10" t="s">
        <v>19</v>
      </c>
      <c r="E1394" s="10" t="s">
        <v>59</v>
      </c>
      <c r="F1394" s="10" t="str">
        <f>"2170578794 "</f>
        <v xml:space="preserve">2170578794 </v>
      </c>
      <c r="G1394" s="10" t="str">
        <f t="shared" si="58"/>
        <v>ON1</v>
      </c>
      <c r="H1394" s="10" t="s">
        <v>21</v>
      </c>
      <c r="I1394" s="10" t="s">
        <v>38</v>
      </c>
      <c r="J1394" s="10" t="str">
        <f>""</f>
        <v/>
      </c>
      <c r="K1394" s="10" t="str">
        <f>"PFES1162562192_0001"</f>
        <v>PFES1162562192_0001</v>
      </c>
      <c r="L1394" s="10">
        <v>1</v>
      </c>
      <c r="M1394" s="10">
        <v>1</v>
      </c>
    </row>
    <row r="1395" spans="1:13">
      <c r="A1395" s="8">
        <v>42928</v>
      </c>
      <c r="B1395" s="9">
        <v>0.68888888888888899</v>
      </c>
      <c r="C1395" s="10" t="str">
        <f>"FES1162562190"</f>
        <v>FES1162562190</v>
      </c>
      <c r="D1395" s="10" t="s">
        <v>19</v>
      </c>
      <c r="E1395" s="10" t="s">
        <v>783</v>
      </c>
      <c r="F1395" s="10" t="str">
        <f>"2170578802 "</f>
        <v xml:space="preserve">2170578802 </v>
      </c>
      <c r="G1395" s="10" t="str">
        <f t="shared" si="58"/>
        <v>ON1</v>
      </c>
      <c r="H1395" s="10" t="s">
        <v>21</v>
      </c>
      <c r="I1395" s="10" t="s">
        <v>784</v>
      </c>
      <c r="J1395" s="10" t="str">
        <f>""</f>
        <v/>
      </c>
      <c r="K1395" s="10" t="str">
        <f>"PFES1162562190_0001"</f>
        <v>PFES1162562190_0001</v>
      </c>
      <c r="L1395" s="10">
        <v>1</v>
      </c>
      <c r="M1395" s="10">
        <v>6</v>
      </c>
    </row>
    <row r="1396" spans="1:13">
      <c r="A1396" s="8">
        <v>42928</v>
      </c>
      <c r="B1396" s="9">
        <v>0.68819444444444444</v>
      </c>
      <c r="C1396" s="10" t="str">
        <f>"FES1162562197"</f>
        <v>FES1162562197</v>
      </c>
      <c r="D1396" s="10" t="s">
        <v>19</v>
      </c>
      <c r="E1396" s="10" t="s">
        <v>107</v>
      </c>
      <c r="F1396" s="10" t="str">
        <f>"2170578801 "</f>
        <v xml:space="preserve">2170578801 </v>
      </c>
      <c r="G1396" s="10" t="str">
        <f t="shared" si="58"/>
        <v>ON1</v>
      </c>
      <c r="H1396" s="10" t="s">
        <v>21</v>
      </c>
      <c r="I1396" s="10" t="s">
        <v>75</v>
      </c>
      <c r="J1396" s="10" t="str">
        <f>""</f>
        <v/>
      </c>
      <c r="K1396" s="10" t="str">
        <f>"PFES1162562197_0001"</f>
        <v>PFES1162562197_0001</v>
      </c>
      <c r="L1396" s="10">
        <v>1</v>
      </c>
      <c r="M1396" s="10">
        <v>1</v>
      </c>
    </row>
    <row r="1397" spans="1:13">
      <c r="A1397" s="8">
        <v>42928</v>
      </c>
      <c r="B1397" s="9">
        <v>0.6875</v>
      </c>
      <c r="C1397" s="10" t="str">
        <f>"FES1162561717"</f>
        <v>FES1162561717</v>
      </c>
      <c r="D1397" s="10" t="s">
        <v>19</v>
      </c>
      <c r="E1397" s="10" t="s">
        <v>785</v>
      </c>
      <c r="F1397" s="10" t="str">
        <f>"2170578354 "</f>
        <v xml:space="preserve">2170578354 </v>
      </c>
      <c r="G1397" s="10" t="str">
        <f t="shared" si="58"/>
        <v>ON1</v>
      </c>
      <c r="H1397" s="10" t="s">
        <v>21</v>
      </c>
      <c r="I1397" s="10" t="s">
        <v>786</v>
      </c>
      <c r="J1397" s="10" t="str">
        <f>""</f>
        <v/>
      </c>
      <c r="K1397" s="10" t="str">
        <f>"PFES1162561717_0001"</f>
        <v>PFES1162561717_0001</v>
      </c>
      <c r="L1397" s="10">
        <v>1</v>
      </c>
      <c r="M1397" s="10">
        <v>1</v>
      </c>
    </row>
    <row r="1398" spans="1:13">
      <c r="A1398" s="8">
        <v>42928</v>
      </c>
      <c r="B1398" s="9">
        <v>0.68611111111111101</v>
      </c>
      <c r="C1398" s="10" t="str">
        <f>"FES1162562196"</f>
        <v>FES1162562196</v>
      </c>
      <c r="D1398" s="10" t="s">
        <v>19</v>
      </c>
      <c r="E1398" s="10" t="s">
        <v>787</v>
      </c>
      <c r="F1398" s="10" t="str">
        <f>"2170578800 "</f>
        <v xml:space="preserve">2170578800 </v>
      </c>
      <c r="G1398" s="10" t="str">
        <f>"ON2"</f>
        <v>ON2</v>
      </c>
      <c r="H1398" s="10" t="s">
        <v>21</v>
      </c>
      <c r="I1398" s="10" t="s">
        <v>36</v>
      </c>
      <c r="J1398" s="10" t="str">
        <f>""</f>
        <v/>
      </c>
      <c r="K1398" s="10" t="str">
        <f>"PFES1162562196_0001"</f>
        <v>PFES1162562196_0001</v>
      </c>
      <c r="L1398" s="10">
        <v>1</v>
      </c>
      <c r="M1398" s="10">
        <v>5</v>
      </c>
    </row>
    <row r="1399" spans="1:13">
      <c r="A1399" s="8">
        <v>42928</v>
      </c>
      <c r="B1399" s="9">
        <v>0.68541666666666667</v>
      </c>
      <c r="C1399" s="10" t="str">
        <f>"FES1162562195"</f>
        <v>FES1162562195</v>
      </c>
      <c r="D1399" s="10" t="s">
        <v>19</v>
      </c>
      <c r="E1399" s="10" t="s">
        <v>107</v>
      </c>
      <c r="F1399" s="10" t="str">
        <f>"2170578799 "</f>
        <v xml:space="preserve">2170578799 </v>
      </c>
      <c r="G1399" s="10" t="str">
        <f t="shared" ref="G1399:G1404" si="59">"ON1"</f>
        <v>ON1</v>
      </c>
      <c r="H1399" s="10" t="s">
        <v>21</v>
      </c>
      <c r="I1399" s="10" t="s">
        <v>75</v>
      </c>
      <c r="J1399" s="10" t="str">
        <f>""</f>
        <v/>
      </c>
      <c r="K1399" s="10" t="str">
        <f>"PFES1162562195_0001"</f>
        <v>PFES1162562195_0001</v>
      </c>
      <c r="L1399" s="10">
        <v>1</v>
      </c>
      <c r="M1399" s="10">
        <v>1</v>
      </c>
    </row>
    <row r="1400" spans="1:13">
      <c r="A1400" s="8">
        <v>42928</v>
      </c>
      <c r="B1400" s="9">
        <v>0.68333333333333324</v>
      </c>
      <c r="C1400" s="10" t="str">
        <f>"FES1162562194"</f>
        <v>FES1162562194</v>
      </c>
      <c r="D1400" s="10" t="s">
        <v>19</v>
      </c>
      <c r="E1400" s="10" t="s">
        <v>143</v>
      </c>
      <c r="F1400" s="10" t="str">
        <f>"2170578796 "</f>
        <v xml:space="preserve">2170578796 </v>
      </c>
      <c r="G1400" s="10" t="str">
        <f t="shared" si="59"/>
        <v>ON1</v>
      </c>
      <c r="H1400" s="10" t="s">
        <v>21</v>
      </c>
      <c r="I1400" s="10" t="s">
        <v>121</v>
      </c>
      <c r="J1400" s="10" t="str">
        <f>""</f>
        <v/>
      </c>
      <c r="K1400" s="10" t="str">
        <f>"PFES1162562194_0001"</f>
        <v>PFES1162562194_0001</v>
      </c>
      <c r="L1400" s="10">
        <v>1</v>
      </c>
      <c r="M1400" s="10">
        <v>1</v>
      </c>
    </row>
    <row r="1401" spans="1:13">
      <c r="A1401" s="8">
        <v>42928</v>
      </c>
      <c r="B1401" s="9">
        <v>0.68263888888888891</v>
      </c>
      <c r="C1401" s="10" t="str">
        <f>"FES1162562189"</f>
        <v>FES1162562189</v>
      </c>
      <c r="D1401" s="10" t="s">
        <v>19</v>
      </c>
      <c r="E1401" s="10" t="s">
        <v>788</v>
      </c>
      <c r="F1401" s="10" t="str">
        <f>"2170578793 "</f>
        <v xml:space="preserve">2170578793 </v>
      </c>
      <c r="G1401" s="10" t="str">
        <f t="shared" si="59"/>
        <v>ON1</v>
      </c>
      <c r="H1401" s="10" t="s">
        <v>21</v>
      </c>
      <c r="I1401" s="10" t="s">
        <v>68</v>
      </c>
      <c r="J1401" s="10" t="str">
        <f>""</f>
        <v/>
      </c>
      <c r="K1401" s="10" t="str">
        <f>"PFES1162562189_0001"</f>
        <v>PFES1162562189_0001</v>
      </c>
      <c r="L1401" s="10">
        <v>1</v>
      </c>
      <c r="M1401" s="10">
        <v>3</v>
      </c>
    </row>
    <row r="1402" spans="1:13">
      <c r="A1402" s="8">
        <v>42928</v>
      </c>
      <c r="B1402" s="9">
        <v>0.68125000000000002</v>
      </c>
      <c r="C1402" s="10" t="str">
        <f>"FES1162562186"</f>
        <v>FES1162562186</v>
      </c>
      <c r="D1402" s="10" t="s">
        <v>19</v>
      </c>
      <c r="E1402" s="10" t="s">
        <v>89</v>
      </c>
      <c r="F1402" s="10" t="str">
        <f>"2170578789 "</f>
        <v xml:space="preserve">2170578789 </v>
      </c>
      <c r="G1402" s="10" t="str">
        <f t="shared" si="59"/>
        <v>ON1</v>
      </c>
      <c r="H1402" s="10" t="s">
        <v>21</v>
      </c>
      <c r="I1402" s="10" t="s">
        <v>90</v>
      </c>
      <c r="J1402" s="10" t="str">
        <f>""</f>
        <v/>
      </c>
      <c r="K1402" s="10" t="str">
        <f>"PFES1162562186_0001"</f>
        <v>PFES1162562186_0001</v>
      </c>
      <c r="L1402" s="10">
        <v>1</v>
      </c>
      <c r="M1402" s="10">
        <v>1</v>
      </c>
    </row>
    <row r="1403" spans="1:13">
      <c r="A1403" s="8">
        <v>42928</v>
      </c>
      <c r="B1403" s="9">
        <v>0.67986111111111114</v>
      </c>
      <c r="C1403" s="10" t="str">
        <f>"FES1162561694"</f>
        <v>FES1162561694</v>
      </c>
      <c r="D1403" s="10" t="s">
        <v>19</v>
      </c>
      <c r="E1403" s="10" t="s">
        <v>212</v>
      </c>
      <c r="F1403" s="10" t="str">
        <f>"2170575831 "</f>
        <v xml:space="preserve">2170575831 </v>
      </c>
      <c r="G1403" s="10" t="str">
        <f t="shared" si="59"/>
        <v>ON1</v>
      </c>
      <c r="H1403" s="10" t="s">
        <v>21</v>
      </c>
      <c r="I1403" s="10" t="s">
        <v>213</v>
      </c>
      <c r="J1403" s="10" t="str">
        <f>""</f>
        <v/>
      </c>
      <c r="K1403" s="10" t="str">
        <f>"PFES1162561694_0001"</f>
        <v>PFES1162561694_0001</v>
      </c>
      <c r="L1403" s="10">
        <v>1</v>
      </c>
      <c r="M1403" s="10">
        <v>4</v>
      </c>
    </row>
    <row r="1404" spans="1:13">
      <c r="A1404" s="8">
        <v>42928</v>
      </c>
      <c r="B1404" s="9">
        <v>0.6791666666666667</v>
      </c>
      <c r="C1404" s="10" t="str">
        <f>"FES1162562158"</f>
        <v>FES1162562158</v>
      </c>
      <c r="D1404" s="10" t="s">
        <v>19</v>
      </c>
      <c r="E1404" s="10" t="s">
        <v>789</v>
      </c>
      <c r="F1404" s="10" t="str">
        <f>"2170578548 "</f>
        <v xml:space="preserve">2170578548 </v>
      </c>
      <c r="G1404" s="10" t="str">
        <f t="shared" si="59"/>
        <v>ON1</v>
      </c>
      <c r="H1404" s="10" t="s">
        <v>21</v>
      </c>
      <c r="I1404" s="10" t="s">
        <v>443</v>
      </c>
      <c r="J1404" s="10" t="str">
        <f>""</f>
        <v/>
      </c>
      <c r="K1404" s="10" t="str">
        <f>"PFES1162562158_0001"</f>
        <v>PFES1162562158_0001</v>
      </c>
      <c r="L1404" s="10">
        <v>1</v>
      </c>
      <c r="M1404" s="10">
        <v>5</v>
      </c>
    </row>
    <row r="1405" spans="1:13">
      <c r="A1405" s="8">
        <v>42928</v>
      </c>
      <c r="B1405" s="9">
        <v>0.67847222222222225</v>
      </c>
      <c r="C1405" s="10" t="str">
        <f>"FES1162562157"</f>
        <v>FES1162562157</v>
      </c>
      <c r="D1405" s="10" t="s">
        <v>19</v>
      </c>
      <c r="E1405" s="10" t="s">
        <v>744</v>
      </c>
      <c r="F1405" s="10" t="str">
        <f>"2170578441 "</f>
        <v xml:space="preserve">2170578441 </v>
      </c>
      <c r="G1405" s="10" t="str">
        <f>"DBC"</f>
        <v>DBC</v>
      </c>
      <c r="H1405" s="10" t="s">
        <v>21</v>
      </c>
      <c r="I1405" s="10" t="s">
        <v>745</v>
      </c>
      <c r="J1405" s="10" t="str">
        <f>""</f>
        <v/>
      </c>
      <c r="K1405" s="10" t="str">
        <f>"PFES1162562157_0001"</f>
        <v>PFES1162562157_0001</v>
      </c>
      <c r="L1405" s="10">
        <v>1</v>
      </c>
      <c r="M1405" s="10">
        <v>3</v>
      </c>
    </row>
    <row r="1406" spans="1:13">
      <c r="A1406" s="8">
        <v>42928</v>
      </c>
      <c r="B1406" s="9">
        <v>0.67708333333333337</v>
      </c>
      <c r="C1406" s="10" t="str">
        <f>"FES1162562184"</f>
        <v>FES1162562184</v>
      </c>
      <c r="D1406" s="10" t="s">
        <v>19</v>
      </c>
      <c r="E1406" s="10" t="s">
        <v>162</v>
      </c>
      <c r="F1406" s="10" t="str">
        <f>"2170578786 "</f>
        <v xml:space="preserve">2170578786 </v>
      </c>
      <c r="G1406" s="10" t="str">
        <f>"ON1"</f>
        <v>ON1</v>
      </c>
      <c r="H1406" s="10" t="s">
        <v>21</v>
      </c>
      <c r="I1406" s="10" t="s">
        <v>163</v>
      </c>
      <c r="J1406" s="10" t="str">
        <f>""</f>
        <v/>
      </c>
      <c r="K1406" s="10" t="str">
        <f>"PFES1162562184_0001"</f>
        <v>PFES1162562184_0001</v>
      </c>
      <c r="L1406" s="10">
        <v>2</v>
      </c>
      <c r="M1406" s="10">
        <v>6</v>
      </c>
    </row>
    <row r="1407" spans="1:13">
      <c r="A1407" s="8">
        <v>42928</v>
      </c>
      <c r="B1407" s="9">
        <v>0.67708333333333337</v>
      </c>
      <c r="C1407" s="10" t="str">
        <f>"FES1162562184"</f>
        <v>FES1162562184</v>
      </c>
      <c r="D1407" s="10" t="s">
        <v>19</v>
      </c>
      <c r="E1407" s="10" t="s">
        <v>162</v>
      </c>
      <c r="F1407" s="10" t="str">
        <f>"2170578786 "</f>
        <v xml:space="preserve">2170578786 </v>
      </c>
      <c r="G1407" s="10" t="str">
        <f>"ON1"</f>
        <v>ON1</v>
      </c>
      <c r="H1407" s="10" t="s">
        <v>21</v>
      </c>
      <c r="I1407" s="10" t="s">
        <v>163</v>
      </c>
      <c r="J1407" s="10"/>
      <c r="K1407" s="10" t="str">
        <f>"PFES1162562184_0002"</f>
        <v>PFES1162562184_0002</v>
      </c>
      <c r="L1407" s="10">
        <v>2</v>
      </c>
      <c r="M1407" s="10">
        <v>6</v>
      </c>
    </row>
    <row r="1408" spans="1:13">
      <c r="A1408" s="8">
        <v>42928</v>
      </c>
      <c r="B1408" s="9">
        <v>0.67569444444444438</v>
      </c>
      <c r="C1408" s="10" t="str">
        <f>"FES1162562178"</f>
        <v>FES1162562178</v>
      </c>
      <c r="D1408" s="10" t="s">
        <v>19</v>
      </c>
      <c r="E1408" s="10" t="s">
        <v>89</v>
      </c>
      <c r="F1408" s="10" t="str">
        <f>"2170578780 "</f>
        <v xml:space="preserve">2170578780 </v>
      </c>
      <c r="G1408" s="10" t="str">
        <f t="shared" ref="G1408:G1424" si="60">"ON1"</f>
        <v>ON1</v>
      </c>
      <c r="H1408" s="10" t="s">
        <v>21</v>
      </c>
      <c r="I1408" s="10" t="s">
        <v>90</v>
      </c>
      <c r="J1408" s="10" t="str">
        <f>""</f>
        <v/>
      </c>
      <c r="K1408" s="10" t="str">
        <f>"PFES1162562178_0001"</f>
        <v>PFES1162562178_0001</v>
      </c>
      <c r="L1408" s="10">
        <v>1</v>
      </c>
      <c r="M1408" s="10">
        <v>1</v>
      </c>
    </row>
    <row r="1409" spans="1:13">
      <c r="A1409" s="8">
        <v>42928</v>
      </c>
      <c r="B1409" s="9">
        <v>0.67569444444444438</v>
      </c>
      <c r="C1409" s="10" t="str">
        <f>"FES1162562187"</f>
        <v>FES1162562187</v>
      </c>
      <c r="D1409" s="10" t="s">
        <v>19</v>
      </c>
      <c r="E1409" s="10" t="s">
        <v>329</v>
      </c>
      <c r="F1409" s="10" t="str">
        <f>"2170578790 "</f>
        <v xml:space="preserve">2170578790 </v>
      </c>
      <c r="G1409" s="10" t="str">
        <f t="shared" si="60"/>
        <v>ON1</v>
      </c>
      <c r="H1409" s="10" t="s">
        <v>21</v>
      </c>
      <c r="I1409" s="10" t="s">
        <v>330</v>
      </c>
      <c r="J1409" s="10" t="str">
        <f>""</f>
        <v/>
      </c>
      <c r="K1409" s="10" t="str">
        <f>"PFES1162562187_0001"</f>
        <v>PFES1162562187_0001</v>
      </c>
      <c r="L1409" s="10">
        <v>1</v>
      </c>
      <c r="M1409" s="10">
        <v>1</v>
      </c>
    </row>
    <row r="1410" spans="1:13">
      <c r="A1410" s="8">
        <v>42928</v>
      </c>
      <c r="B1410" s="9">
        <v>0.65694444444444444</v>
      </c>
      <c r="C1410" s="10" t="str">
        <f>"FES1162562069"</f>
        <v>FES1162562069</v>
      </c>
      <c r="D1410" s="10" t="s">
        <v>19</v>
      </c>
      <c r="E1410" s="10" t="s">
        <v>295</v>
      </c>
      <c r="F1410" s="10" t="str">
        <f>"2170578683 "</f>
        <v xml:space="preserve">2170578683 </v>
      </c>
      <c r="G1410" s="10" t="str">
        <f t="shared" si="60"/>
        <v>ON1</v>
      </c>
      <c r="H1410" s="10" t="s">
        <v>21</v>
      </c>
      <c r="I1410" s="10" t="s">
        <v>179</v>
      </c>
      <c r="J1410" s="10" t="str">
        <f>""</f>
        <v/>
      </c>
      <c r="K1410" s="10" t="str">
        <f>"PFES1162562069_0001"</f>
        <v>PFES1162562069_0001</v>
      </c>
      <c r="L1410" s="10">
        <v>1</v>
      </c>
      <c r="M1410" s="10">
        <v>1</v>
      </c>
    </row>
    <row r="1411" spans="1:13">
      <c r="A1411" s="8">
        <v>42928</v>
      </c>
      <c r="B1411" s="9">
        <v>0.65694444444444444</v>
      </c>
      <c r="C1411" s="10" t="str">
        <f>"FES1162562161"</f>
        <v>FES1162562161</v>
      </c>
      <c r="D1411" s="10" t="s">
        <v>19</v>
      </c>
      <c r="E1411" s="10" t="s">
        <v>251</v>
      </c>
      <c r="F1411" s="10" t="str">
        <f>"2170578762 "</f>
        <v xml:space="preserve">2170578762 </v>
      </c>
      <c r="G1411" s="10" t="str">
        <f t="shared" si="60"/>
        <v>ON1</v>
      </c>
      <c r="H1411" s="10" t="s">
        <v>21</v>
      </c>
      <c r="I1411" s="10" t="s">
        <v>252</v>
      </c>
      <c r="J1411" s="10" t="str">
        <f>""</f>
        <v/>
      </c>
      <c r="K1411" s="10" t="str">
        <f>"PFES1162562161_0001"</f>
        <v>PFES1162562161_0001</v>
      </c>
      <c r="L1411" s="10">
        <v>1</v>
      </c>
      <c r="M1411" s="10">
        <v>1</v>
      </c>
    </row>
    <row r="1412" spans="1:13">
      <c r="A1412" s="8">
        <v>42928</v>
      </c>
      <c r="B1412" s="9">
        <v>0.65625</v>
      </c>
      <c r="C1412" s="10" t="str">
        <f>"FES1162562064"</f>
        <v>FES1162562064</v>
      </c>
      <c r="D1412" s="10" t="s">
        <v>19</v>
      </c>
      <c r="E1412" s="10" t="s">
        <v>477</v>
      </c>
      <c r="F1412" s="10" t="str">
        <f>"2170578680 "</f>
        <v xml:space="preserve">2170578680 </v>
      </c>
      <c r="G1412" s="10" t="str">
        <f t="shared" si="60"/>
        <v>ON1</v>
      </c>
      <c r="H1412" s="10" t="s">
        <v>21</v>
      </c>
      <c r="I1412" s="10" t="s">
        <v>138</v>
      </c>
      <c r="J1412" s="10" t="str">
        <f>""</f>
        <v/>
      </c>
      <c r="K1412" s="10" t="str">
        <f>"PFES1162562064_0001"</f>
        <v>PFES1162562064_0001</v>
      </c>
      <c r="L1412" s="10">
        <v>1</v>
      </c>
      <c r="M1412" s="10">
        <v>1</v>
      </c>
    </row>
    <row r="1413" spans="1:13">
      <c r="A1413" s="8">
        <v>42928</v>
      </c>
      <c r="B1413" s="9">
        <v>0.65625</v>
      </c>
      <c r="C1413" s="10" t="str">
        <f>"FES1162562089"</f>
        <v>FES1162562089</v>
      </c>
      <c r="D1413" s="10" t="s">
        <v>19</v>
      </c>
      <c r="E1413" s="10" t="s">
        <v>333</v>
      </c>
      <c r="F1413" s="10" t="str">
        <f>"2170576804 "</f>
        <v xml:space="preserve">2170576804 </v>
      </c>
      <c r="G1413" s="10" t="str">
        <f t="shared" si="60"/>
        <v>ON1</v>
      </c>
      <c r="H1413" s="10" t="s">
        <v>21</v>
      </c>
      <c r="I1413" s="10" t="s">
        <v>334</v>
      </c>
      <c r="J1413" s="10" t="str">
        <f>""</f>
        <v/>
      </c>
      <c r="K1413" s="10" t="str">
        <f>"PFES1162562089_0001"</f>
        <v>PFES1162562089_0001</v>
      </c>
      <c r="L1413" s="10">
        <v>1</v>
      </c>
      <c r="M1413" s="10">
        <v>1</v>
      </c>
    </row>
    <row r="1414" spans="1:13">
      <c r="A1414" s="8">
        <v>42928</v>
      </c>
      <c r="B1414" s="9">
        <v>0.65555555555555556</v>
      </c>
      <c r="C1414" s="10" t="str">
        <f>"FES1162562165"</f>
        <v>FES1162562165</v>
      </c>
      <c r="D1414" s="10" t="s">
        <v>19</v>
      </c>
      <c r="E1414" s="10" t="s">
        <v>790</v>
      </c>
      <c r="F1414" s="10" t="str">
        <f>"2170578766 "</f>
        <v xml:space="preserve">2170578766 </v>
      </c>
      <c r="G1414" s="10" t="str">
        <f t="shared" si="60"/>
        <v>ON1</v>
      </c>
      <c r="H1414" s="10" t="s">
        <v>21</v>
      </c>
      <c r="I1414" s="10" t="s">
        <v>652</v>
      </c>
      <c r="J1414" s="10" t="str">
        <f>""</f>
        <v/>
      </c>
      <c r="K1414" s="10" t="str">
        <f>"PFES1162562165_0001"</f>
        <v>PFES1162562165_0001</v>
      </c>
      <c r="L1414" s="10">
        <v>1</v>
      </c>
      <c r="M1414" s="10">
        <v>1</v>
      </c>
    </row>
    <row r="1415" spans="1:13">
      <c r="A1415" s="8">
        <v>42928</v>
      </c>
      <c r="B1415" s="9">
        <v>0.65277777777777779</v>
      </c>
      <c r="C1415" s="10" t="str">
        <f>"FES1162562098"</f>
        <v>FES1162562098</v>
      </c>
      <c r="D1415" s="10" t="s">
        <v>19</v>
      </c>
      <c r="E1415" s="10" t="s">
        <v>663</v>
      </c>
      <c r="F1415" s="10" t="str">
        <f>"2170578705 "</f>
        <v xml:space="preserve">2170578705 </v>
      </c>
      <c r="G1415" s="10" t="str">
        <f t="shared" si="60"/>
        <v>ON1</v>
      </c>
      <c r="H1415" s="10" t="s">
        <v>21</v>
      </c>
      <c r="I1415" s="10" t="s">
        <v>183</v>
      </c>
      <c r="J1415" s="10" t="str">
        <f>""</f>
        <v/>
      </c>
      <c r="K1415" s="10" t="str">
        <f>"PFES1162562098_0001"</f>
        <v>PFES1162562098_0001</v>
      </c>
      <c r="L1415" s="10">
        <v>1</v>
      </c>
      <c r="M1415" s="10">
        <v>1</v>
      </c>
    </row>
    <row r="1416" spans="1:13">
      <c r="A1416" s="8">
        <v>42928</v>
      </c>
      <c r="B1416" s="9">
        <v>0.65208333333333335</v>
      </c>
      <c r="C1416" s="10" t="str">
        <f>"FES1162562079"</f>
        <v>FES1162562079</v>
      </c>
      <c r="D1416" s="10" t="s">
        <v>19</v>
      </c>
      <c r="E1416" s="10" t="s">
        <v>118</v>
      </c>
      <c r="F1416" s="10" t="str">
        <f>"2170576783 "</f>
        <v xml:space="preserve">2170576783 </v>
      </c>
      <c r="G1416" s="10" t="str">
        <f t="shared" si="60"/>
        <v>ON1</v>
      </c>
      <c r="H1416" s="10" t="s">
        <v>21</v>
      </c>
      <c r="I1416" s="10" t="s">
        <v>119</v>
      </c>
      <c r="J1416" s="10" t="str">
        <f>""</f>
        <v/>
      </c>
      <c r="K1416" s="10" t="str">
        <f>"PFES1162562079_0001"</f>
        <v>PFES1162562079_0001</v>
      </c>
      <c r="L1416" s="10">
        <v>1</v>
      </c>
      <c r="M1416" s="10">
        <v>1</v>
      </c>
    </row>
    <row r="1417" spans="1:13">
      <c r="A1417" s="8">
        <v>42928</v>
      </c>
      <c r="B1417" s="9">
        <v>0.65069444444444446</v>
      </c>
      <c r="C1417" s="10" t="str">
        <f>"FES1162562172"</f>
        <v>FES1162562172</v>
      </c>
      <c r="D1417" s="10" t="s">
        <v>19</v>
      </c>
      <c r="E1417" s="10" t="s">
        <v>527</v>
      </c>
      <c r="F1417" s="10" t="str">
        <f>"2170578771 "</f>
        <v xml:space="preserve">2170578771 </v>
      </c>
      <c r="G1417" s="10" t="str">
        <f t="shared" si="60"/>
        <v>ON1</v>
      </c>
      <c r="H1417" s="10" t="s">
        <v>21</v>
      </c>
      <c r="I1417" s="10" t="s">
        <v>217</v>
      </c>
      <c r="J1417" s="10" t="str">
        <f>""</f>
        <v/>
      </c>
      <c r="K1417" s="10" t="str">
        <f>"PFES1162562172_0001"</f>
        <v>PFES1162562172_0001</v>
      </c>
      <c r="L1417" s="10">
        <v>1</v>
      </c>
      <c r="M1417" s="10">
        <v>1</v>
      </c>
    </row>
    <row r="1418" spans="1:13">
      <c r="A1418" s="8">
        <v>42928</v>
      </c>
      <c r="B1418" s="9">
        <v>0.65</v>
      </c>
      <c r="C1418" s="10" t="str">
        <f>"FES1162562162"</f>
        <v>FES1162562162</v>
      </c>
      <c r="D1418" s="10" t="s">
        <v>19</v>
      </c>
      <c r="E1418" s="10" t="s">
        <v>394</v>
      </c>
      <c r="F1418" s="10" t="str">
        <f>"2170578763 "</f>
        <v xml:space="preserve">2170578763 </v>
      </c>
      <c r="G1418" s="10" t="str">
        <f t="shared" si="60"/>
        <v>ON1</v>
      </c>
      <c r="H1418" s="10" t="s">
        <v>21</v>
      </c>
      <c r="I1418" s="10" t="s">
        <v>98</v>
      </c>
      <c r="J1418" s="10" t="str">
        <f>""</f>
        <v/>
      </c>
      <c r="K1418" s="10" t="str">
        <f>"PFES1162562162_0001"</f>
        <v>PFES1162562162_0001</v>
      </c>
      <c r="L1418" s="10">
        <v>1</v>
      </c>
      <c r="M1418" s="10">
        <v>1</v>
      </c>
    </row>
    <row r="1419" spans="1:13">
      <c r="A1419" s="8">
        <v>42928</v>
      </c>
      <c r="B1419" s="9">
        <v>0.64722222222222225</v>
      </c>
      <c r="C1419" s="10" t="str">
        <f>"009935791625"</f>
        <v>009935791625</v>
      </c>
      <c r="D1419" s="10" t="s">
        <v>19</v>
      </c>
      <c r="E1419" s="10" t="s">
        <v>525</v>
      </c>
      <c r="F1419" s="10" t="str">
        <f>"1162561278 "</f>
        <v xml:space="preserve">1162561278 </v>
      </c>
      <c r="G1419" s="10" t="str">
        <f t="shared" si="60"/>
        <v>ON1</v>
      </c>
      <c r="H1419" s="10" t="s">
        <v>21</v>
      </c>
      <c r="I1419" s="10" t="s">
        <v>168</v>
      </c>
      <c r="J1419" s="10" t="str">
        <f>"incorrect item as per enos"</f>
        <v>incorrect item as per enos</v>
      </c>
      <c r="K1419" s="10" t="str">
        <f>"P009935791625_0001"</f>
        <v>P009935791625_0001</v>
      </c>
      <c r="L1419" s="10">
        <v>1</v>
      </c>
      <c r="M1419" s="10">
        <v>4</v>
      </c>
    </row>
    <row r="1420" spans="1:13">
      <c r="A1420" s="8">
        <v>42928</v>
      </c>
      <c r="B1420" s="9">
        <v>0.64652777777777781</v>
      </c>
      <c r="C1420" s="10" t="str">
        <f>"009935791624"</f>
        <v>009935791624</v>
      </c>
      <c r="D1420" s="10" t="s">
        <v>19</v>
      </c>
      <c r="E1420" s="10" t="s">
        <v>791</v>
      </c>
      <c r="F1420" s="10" t="str">
        <f>"217057mike "</f>
        <v xml:space="preserve">217057mike </v>
      </c>
      <c r="G1420" s="10" t="str">
        <f t="shared" si="60"/>
        <v>ON1</v>
      </c>
      <c r="H1420" s="10" t="s">
        <v>21</v>
      </c>
      <c r="I1420" s="10" t="s">
        <v>792</v>
      </c>
      <c r="J1420" s="10" t="str">
        <f>""</f>
        <v/>
      </c>
      <c r="K1420" s="10" t="str">
        <f>"P009935791624_0001"</f>
        <v>P009935791624_0001</v>
      </c>
      <c r="L1420" s="10">
        <v>1</v>
      </c>
      <c r="M1420" s="10">
        <v>1</v>
      </c>
    </row>
    <row r="1421" spans="1:13">
      <c r="A1421" s="8">
        <v>42928</v>
      </c>
      <c r="B1421" s="9">
        <v>0.64513888888888882</v>
      </c>
      <c r="C1421" s="10" t="str">
        <f>"FES1162562131"</f>
        <v>FES1162562131</v>
      </c>
      <c r="D1421" s="10" t="s">
        <v>19</v>
      </c>
      <c r="E1421" s="10" t="s">
        <v>390</v>
      </c>
      <c r="F1421" s="10" t="str">
        <f>"2170578709 "</f>
        <v xml:space="preserve">2170578709 </v>
      </c>
      <c r="G1421" s="10" t="str">
        <f t="shared" si="60"/>
        <v>ON1</v>
      </c>
      <c r="H1421" s="10" t="s">
        <v>21</v>
      </c>
      <c r="I1421" s="10" t="s">
        <v>300</v>
      </c>
      <c r="J1421" s="10" t="str">
        <f>""</f>
        <v/>
      </c>
      <c r="K1421" s="10" t="str">
        <f>"PFES1162562131_0001"</f>
        <v>PFES1162562131_0001</v>
      </c>
      <c r="L1421" s="10">
        <v>1</v>
      </c>
      <c r="M1421" s="10">
        <v>2</v>
      </c>
    </row>
    <row r="1422" spans="1:13">
      <c r="A1422" s="8">
        <v>42928</v>
      </c>
      <c r="B1422" s="9">
        <v>0.64444444444444449</v>
      </c>
      <c r="C1422" s="10" t="str">
        <f>"FES1162561990"</f>
        <v>FES1162561990</v>
      </c>
      <c r="D1422" s="10" t="s">
        <v>19</v>
      </c>
      <c r="E1422" s="10" t="s">
        <v>324</v>
      </c>
      <c r="F1422" s="10" t="str">
        <f>"2170578589 "</f>
        <v xml:space="preserve">2170578589 </v>
      </c>
      <c r="G1422" s="10" t="str">
        <f t="shared" si="60"/>
        <v>ON1</v>
      </c>
      <c r="H1422" s="10" t="s">
        <v>21</v>
      </c>
      <c r="I1422" s="10" t="s">
        <v>325</v>
      </c>
      <c r="J1422" s="10" t="str">
        <f>""</f>
        <v/>
      </c>
      <c r="K1422" s="10" t="str">
        <f>"PFES1162561990_0001"</f>
        <v>PFES1162561990_0001</v>
      </c>
      <c r="L1422" s="10">
        <v>1</v>
      </c>
      <c r="M1422" s="10">
        <v>6</v>
      </c>
    </row>
    <row r="1423" spans="1:13">
      <c r="A1423" s="8">
        <v>42928</v>
      </c>
      <c r="B1423" s="9">
        <v>0.64236111111111105</v>
      </c>
      <c r="C1423" s="10" t="str">
        <f>"FES1162562054"</f>
        <v>FES1162562054</v>
      </c>
      <c r="D1423" s="10" t="s">
        <v>19</v>
      </c>
      <c r="E1423" s="10" t="s">
        <v>324</v>
      </c>
      <c r="F1423" s="10" t="str">
        <f>"2170578649 "</f>
        <v xml:space="preserve">2170578649 </v>
      </c>
      <c r="G1423" s="10" t="str">
        <f t="shared" si="60"/>
        <v>ON1</v>
      </c>
      <c r="H1423" s="10" t="s">
        <v>21</v>
      </c>
      <c r="I1423" s="10" t="s">
        <v>325</v>
      </c>
      <c r="J1423" s="10" t="str">
        <f>""</f>
        <v/>
      </c>
      <c r="K1423" s="10" t="str">
        <f>"PFES1162562054_0001"</f>
        <v>PFES1162562054_0001</v>
      </c>
      <c r="L1423" s="10">
        <v>2</v>
      </c>
      <c r="M1423" s="10">
        <v>13</v>
      </c>
    </row>
    <row r="1424" spans="1:13">
      <c r="A1424" s="8">
        <v>42928</v>
      </c>
      <c r="B1424" s="9">
        <v>0.64236111111111105</v>
      </c>
      <c r="C1424" s="10" t="str">
        <f>"FES1162562054"</f>
        <v>FES1162562054</v>
      </c>
      <c r="D1424" s="10" t="s">
        <v>19</v>
      </c>
      <c r="E1424" s="10" t="s">
        <v>324</v>
      </c>
      <c r="F1424" s="10" t="str">
        <f>"2170578649 "</f>
        <v xml:space="preserve">2170578649 </v>
      </c>
      <c r="G1424" s="10" t="str">
        <f t="shared" si="60"/>
        <v>ON1</v>
      </c>
      <c r="H1424" s="10" t="s">
        <v>21</v>
      </c>
      <c r="I1424" s="10" t="s">
        <v>325</v>
      </c>
      <c r="J1424" s="10"/>
      <c r="K1424" s="10" t="str">
        <f>"PFES1162562054_0002"</f>
        <v>PFES1162562054_0002</v>
      </c>
      <c r="L1424" s="10">
        <v>2</v>
      </c>
      <c r="M1424" s="10">
        <v>13</v>
      </c>
    </row>
    <row r="1425" spans="1:13">
      <c r="A1425" s="8">
        <v>42928</v>
      </c>
      <c r="B1425" s="9">
        <v>0.64166666666666672</v>
      </c>
      <c r="C1425" s="10" t="str">
        <f>"FES1162562145"</f>
        <v>FES1162562145</v>
      </c>
      <c r="D1425" s="10" t="s">
        <v>19</v>
      </c>
      <c r="E1425" s="10" t="s">
        <v>288</v>
      </c>
      <c r="F1425" s="10" t="str">
        <f>"2170578748 "</f>
        <v xml:space="preserve">2170578748 </v>
      </c>
      <c r="G1425" s="10" t="str">
        <f t="shared" ref="G1425:G1432" si="61">"ON1"</f>
        <v>ON1</v>
      </c>
      <c r="H1425" s="10" t="s">
        <v>21</v>
      </c>
      <c r="I1425" s="10" t="s">
        <v>84</v>
      </c>
      <c r="J1425" s="10" t="str">
        <f>""</f>
        <v/>
      </c>
      <c r="K1425" s="10" t="str">
        <f>"PFES1162562145_0001"</f>
        <v>PFES1162562145_0001</v>
      </c>
      <c r="L1425" s="10">
        <v>1</v>
      </c>
      <c r="M1425" s="10">
        <v>4</v>
      </c>
    </row>
    <row r="1426" spans="1:13">
      <c r="A1426" s="8">
        <v>42928</v>
      </c>
      <c r="B1426" s="9">
        <v>0.64097222222222217</v>
      </c>
      <c r="C1426" s="10" t="str">
        <f>"FES1162562142"</f>
        <v>FES1162562142</v>
      </c>
      <c r="D1426" s="10" t="s">
        <v>19</v>
      </c>
      <c r="E1426" s="10" t="s">
        <v>451</v>
      </c>
      <c r="F1426" s="10" t="str">
        <f>"2170578745 "</f>
        <v xml:space="preserve">2170578745 </v>
      </c>
      <c r="G1426" s="10" t="str">
        <f t="shared" si="61"/>
        <v>ON1</v>
      </c>
      <c r="H1426" s="10" t="s">
        <v>21</v>
      </c>
      <c r="I1426" s="10" t="s">
        <v>66</v>
      </c>
      <c r="J1426" s="10" t="str">
        <f>""</f>
        <v/>
      </c>
      <c r="K1426" s="10" t="str">
        <f>"PFES1162562142_0001"</f>
        <v>PFES1162562142_0001</v>
      </c>
      <c r="L1426" s="10">
        <v>1</v>
      </c>
      <c r="M1426" s="10">
        <v>4</v>
      </c>
    </row>
    <row r="1427" spans="1:13">
      <c r="A1427" s="8">
        <v>42928</v>
      </c>
      <c r="B1427" s="9">
        <v>0.64027777777777783</v>
      </c>
      <c r="C1427" s="10" t="str">
        <f>"FES1162562151"</f>
        <v>FES1162562151</v>
      </c>
      <c r="D1427" s="10" t="s">
        <v>19</v>
      </c>
      <c r="E1427" s="10" t="s">
        <v>352</v>
      </c>
      <c r="F1427" s="10" t="str">
        <f>"2170578754 "</f>
        <v xml:space="preserve">2170578754 </v>
      </c>
      <c r="G1427" s="10" t="str">
        <f t="shared" si="61"/>
        <v>ON1</v>
      </c>
      <c r="H1427" s="10" t="s">
        <v>21</v>
      </c>
      <c r="I1427" s="10" t="s">
        <v>36</v>
      </c>
      <c r="J1427" s="10" t="str">
        <f>""</f>
        <v/>
      </c>
      <c r="K1427" s="10" t="str">
        <f>"PFES1162562151_0001"</f>
        <v>PFES1162562151_0001</v>
      </c>
      <c r="L1427" s="10">
        <v>1</v>
      </c>
      <c r="M1427" s="10">
        <v>3</v>
      </c>
    </row>
    <row r="1428" spans="1:13">
      <c r="A1428" s="8">
        <v>42928</v>
      </c>
      <c r="B1428" s="9">
        <v>0.63958333333333328</v>
      </c>
      <c r="C1428" s="10" t="str">
        <f>"FES1162562091"</f>
        <v>FES1162562091</v>
      </c>
      <c r="D1428" s="10" t="s">
        <v>19</v>
      </c>
      <c r="E1428" s="10" t="s">
        <v>87</v>
      </c>
      <c r="F1428" s="10" t="str">
        <f>"2170577751 "</f>
        <v xml:space="preserve">2170577751 </v>
      </c>
      <c r="G1428" s="10" t="str">
        <f t="shared" si="61"/>
        <v>ON1</v>
      </c>
      <c r="H1428" s="10" t="s">
        <v>21</v>
      </c>
      <c r="I1428" s="10" t="s">
        <v>88</v>
      </c>
      <c r="J1428" s="10" t="str">
        <f>""</f>
        <v/>
      </c>
      <c r="K1428" s="10" t="str">
        <f>"PFES1162562091_0001"</f>
        <v>PFES1162562091_0001</v>
      </c>
      <c r="L1428" s="10">
        <v>1</v>
      </c>
      <c r="M1428" s="10">
        <v>1</v>
      </c>
    </row>
    <row r="1429" spans="1:13">
      <c r="A1429" s="8">
        <v>42928</v>
      </c>
      <c r="B1429" s="9">
        <v>0.63750000000000007</v>
      </c>
      <c r="C1429" s="10" t="str">
        <f>"FES1162562154"</f>
        <v>FES1162562154</v>
      </c>
      <c r="D1429" s="10" t="s">
        <v>19</v>
      </c>
      <c r="E1429" s="10" t="s">
        <v>790</v>
      </c>
      <c r="F1429" s="10" t="str">
        <f>"2170578766 "</f>
        <v xml:space="preserve">2170578766 </v>
      </c>
      <c r="G1429" s="10" t="str">
        <f t="shared" si="61"/>
        <v>ON1</v>
      </c>
      <c r="H1429" s="10" t="s">
        <v>21</v>
      </c>
      <c r="I1429" s="10" t="s">
        <v>652</v>
      </c>
      <c r="J1429" s="10" t="str">
        <f>""</f>
        <v/>
      </c>
      <c r="K1429" s="10" t="str">
        <f>"PFES1162562154_0001"</f>
        <v>PFES1162562154_0001</v>
      </c>
      <c r="L1429" s="10">
        <v>1</v>
      </c>
      <c r="M1429" s="10">
        <v>1</v>
      </c>
    </row>
    <row r="1430" spans="1:13">
      <c r="A1430" s="8">
        <v>42928</v>
      </c>
      <c r="B1430" s="9">
        <v>0.63680555555555551</v>
      </c>
      <c r="C1430" s="10" t="str">
        <f>"FES1162562146"</f>
        <v>FES1162562146</v>
      </c>
      <c r="D1430" s="10" t="s">
        <v>19</v>
      </c>
      <c r="E1430" s="10" t="s">
        <v>793</v>
      </c>
      <c r="F1430" s="10" t="str">
        <f>"2170578749 "</f>
        <v xml:space="preserve">2170578749 </v>
      </c>
      <c r="G1430" s="10" t="str">
        <f t="shared" si="61"/>
        <v>ON1</v>
      </c>
      <c r="H1430" s="10" t="s">
        <v>21</v>
      </c>
      <c r="I1430" s="10" t="s">
        <v>794</v>
      </c>
      <c r="J1430" s="10" t="str">
        <f>""</f>
        <v/>
      </c>
      <c r="K1430" s="10" t="str">
        <f>"PFES1162562146_0001"</f>
        <v>PFES1162562146_0001</v>
      </c>
      <c r="L1430" s="10">
        <v>1</v>
      </c>
      <c r="M1430" s="10">
        <v>1</v>
      </c>
    </row>
    <row r="1431" spans="1:13">
      <c r="A1431" s="8">
        <v>42928</v>
      </c>
      <c r="B1431" s="9">
        <v>0.63402777777777775</v>
      </c>
      <c r="C1431" s="10" t="str">
        <f>"FES1162562149"</f>
        <v>FES1162562149</v>
      </c>
      <c r="D1431" s="10" t="s">
        <v>19</v>
      </c>
      <c r="E1431" s="10" t="s">
        <v>243</v>
      </c>
      <c r="F1431" s="10" t="str">
        <f>"2170578752 "</f>
        <v xml:space="preserve">2170578752 </v>
      </c>
      <c r="G1431" s="10" t="str">
        <f t="shared" si="61"/>
        <v>ON1</v>
      </c>
      <c r="H1431" s="10" t="s">
        <v>21</v>
      </c>
      <c r="I1431" s="10" t="s">
        <v>244</v>
      </c>
      <c r="J1431" s="10" t="str">
        <f>""</f>
        <v/>
      </c>
      <c r="K1431" s="10" t="str">
        <f>"PFES1162562149_0001"</f>
        <v>PFES1162562149_0001</v>
      </c>
      <c r="L1431" s="10">
        <v>1</v>
      </c>
      <c r="M1431" s="10">
        <v>1</v>
      </c>
    </row>
    <row r="1432" spans="1:13">
      <c r="A1432" s="8">
        <v>42928</v>
      </c>
      <c r="B1432" s="9">
        <v>0.63263888888888886</v>
      </c>
      <c r="C1432" s="10" t="str">
        <f>"FES1162562141"</f>
        <v>FES1162562141</v>
      </c>
      <c r="D1432" s="10" t="s">
        <v>19</v>
      </c>
      <c r="E1432" s="10" t="s">
        <v>243</v>
      </c>
      <c r="F1432" s="10" t="str">
        <f>"2170578744 "</f>
        <v xml:space="preserve">2170578744 </v>
      </c>
      <c r="G1432" s="10" t="str">
        <f t="shared" si="61"/>
        <v>ON1</v>
      </c>
      <c r="H1432" s="10" t="s">
        <v>21</v>
      </c>
      <c r="I1432" s="10" t="s">
        <v>244</v>
      </c>
      <c r="J1432" s="10" t="str">
        <f>""</f>
        <v/>
      </c>
      <c r="K1432" s="10" t="str">
        <f>"PFES1162562141_0001"</f>
        <v>PFES1162562141_0001</v>
      </c>
      <c r="L1432" s="10">
        <v>1</v>
      </c>
      <c r="M1432" s="10">
        <v>3</v>
      </c>
    </row>
    <row r="1433" spans="1:13">
      <c r="A1433" s="8">
        <v>42928</v>
      </c>
      <c r="B1433" s="9">
        <v>0.62152777777777779</v>
      </c>
      <c r="C1433" s="10" t="str">
        <f>"FES1162561806"</f>
        <v>FES1162561806</v>
      </c>
      <c r="D1433" s="10" t="s">
        <v>19</v>
      </c>
      <c r="E1433" s="10" t="s">
        <v>516</v>
      </c>
      <c r="F1433" s="10" t="str">
        <f>"2170578452 "</f>
        <v xml:space="preserve">2170578452 </v>
      </c>
      <c r="G1433" s="10" t="str">
        <f>"ON2"</f>
        <v>ON2</v>
      </c>
      <c r="H1433" s="10" t="s">
        <v>21</v>
      </c>
      <c r="I1433" s="10" t="s">
        <v>517</v>
      </c>
      <c r="J1433" s="10" t="str">
        <f>""</f>
        <v/>
      </c>
      <c r="K1433" s="10" t="str">
        <f>"PFES1162561806_0001"</f>
        <v>PFES1162561806_0001</v>
      </c>
      <c r="L1433" s="10">
        <v>1</v>
      </c>
      <c r="M1433" s="10">
        <v>7</v>
      </c>
    </row>
    <row r="1434" spans="1:13">
      <c r="A1434" s="8">
        <v>42928</v>
      </c>
      <c r="B1434" s="9">
        <v>0.62083333333333335</v>
      </c>
      <c r="C1434" s="10" t="str">
        <f>"FES1162562034"</f>
        <v>FES1162562034</v>
      </c>
      <c r="D1434" s="10" t="s">
        <v>19</v>
      </c>
      <c r="E1434" s="10" t="s">
        <v>795</v>
      </c>
      <c r="F1434" s="10" t="str">
        <f>"2170578645 "</f>
        <v xml:space="preserve">2170578645 </v>
      </c>
      <c r="G1434" s="10" t="str">
        <f>"ON1"</f>
        <v>ON1</v>
      </c>
      <c r="H1434" s="10" t="s">
        <v>21</v>
      </c>
      <c r="I1434" s="10" t="s">
        <v>58</v>
      </c>
      <c r="J1434" s="10" t="str">
        <f>""</f>
        <v/>
      </c>
      <c r="K1434" s="10" t="str">
        <f>"PFES1162562034_0001"</f>
        <v>PFES1162562034_0001</v>
      </c>
      <c r="L1434" s="10">
        <v>1</v>
      </c>
      <c r="M1434" s="10">
        <v>2</v>
      </c>
    </row>
    <row r="1435" spans="1:13">
      <c r="A1435" s="8">
        <v>42928</v>
      </c>
      <c r="B1435" s="9">
        <v>0.62013888888888891</v>
      </c>
      <c r="C1435" s="10" t="str">
        <f>"FES1162561938"</f>
        <v>FES1162561938</v>
      </c>
      <c r="D1435" s="10" t="s">
        <v>19</v>
      </c>
      <c r="E1435" s="10" t="s">
        <v>502</v>
      </c>
      <c r="F1435" s="10" t="str">
        <f>"2170577451 "</f>
        <v xml:space="preserve">2170577451 </v>
      </c>
      <c r="G1435" s="10" t="str">
        <f>"ON1"</f>
        <v>ON1</v>
      </c>
      <c r="H1435" s="10" t="s">
        <v>21</v>
      </c>
      <c r="I1435" s="10" t="s">
        <v>503</v>
      </c>
      <c r="J1435" s="10" t="str">
        <f>""</f>
        <v/>
      </c>
      <c r="K1435" s="10" t="str">
        <f>"PFES1162561938_0001"</f>
        <v>PFES1162561938_0001</v>
      </c>
      <c r="L1435" s="10">
        <v>1</v>
      </c>
      <c r="M1435" s="10">
        <v>7</v>
      </c>
    </row>
    <row r="1436" spans="1:13">
      <c r="A1436" s="8">
        <v>42928</v>
      </c>
      <c r="B1436" s="9">
        <v>0.61875000000000002</v>
      </c>
      <c r="C1436" s="10" t="str">
        <f>"FES1162562150"</f>
        <v>FES1162562150</v>
      </c>
      <c r="D1436" s="10" t="s">
        <v>19</v>
      </c>
      <c r="E1436" s="10" t="s">
        <v>47</v>
      </c>
      <c r="F1436" s="10" t="str">
        <f>"2170578753 "</f>
        <v xml:space="preserve">2170578753 </v>
      </c>
      <c r="G1436" s="10" t="str">
        <f>"ON1"</f>
        <v>ON1</v>
      </c>
      <c r="H1436" s="10" t="s">
        <v>21</v>
      </c>
      <c r="I1436" s="10" t="s">
        <v>48</v>
      </c>
      <c r="J1436" s="10" t="str">
        <f>""</f>
        <v/>
      </c>
      <c r="K1436" s="10" t="str">
        <f>"PFES1162562150_0001"</f>
        <v>PFES1162562150_0001</v>
      </c>
      <c r="L1436" s="10">
        <v>1</v>
      </c>
      <c r="M1436" s="10">
        <v>1</v>
      </c>
    </row>
    <row r="1437" spans="1:13">
      <c r="A1437" s="8">
        <v>42928</v>
      </c>
      <c r="B1437" s="9">
        <v>0.61805555555555558</v>
      </c>
      <c r="C1437" s="10" t="str">
        <f>"FES1162562143"</f>
        <v>FES1162562143</v>
      </c>
      <c r="D1437" s="10" t="s">
        <v>19</v>
      </c>
      <c r="E1437" s="10" t="s">
        <v>535</v>
      </c>
      <c r="F1437" s="10" t="str">
        <f>"2170578746 "</f>
        <v xml:space="preserve">2170578746 </v>
      </c>
      <c r="G1437" s="10" t="str">
        <f>"DBC"</f>
        <v>DBC</v>
      </c>
      <c r="H1437" s="10" t="s">
        <v>21</v>
      </c>
      <c r="I1437" s="10" t="s">
        <v>240</v>
      </c>
      <c r="J1437" s="10" t="str">
        <f>""</f>
        <v/>
      </c>
      <c r="K1437" s="10" t="str">
        <f>"PFES1162562143_0001"</f>
        <v>PFES1162562143_0001</v>
      </c>
      <c r="L1437" s="10">
        <v>2</v>
      </c>
      <c r="M1437" s="10">
        <v>32</v>
      </c>
    </row>
    <row r="1438" spans="1:13">
      <c r="A1438" s="8">
        <v>42928</v>
      </c>
      <c r="B1438" s="9">
        <v>0.61805555555555558</v>
      </c>
      <c r="C1438" s="10" t="str">
        <f>"FES1162562143"</f>
        <v>FES1162562143</v>
      </c>
      <c r="D1438" s="10" t="s">
        <v>19</v>
      </c>
      <c r="E1438" s="10" t="s">
        <v>535</v>
      </c>
      <c r="F1438" s="10" t="str">
        <f>"2170578746 "</f>
        <v xml:space="preserve">2170578746 </v>
      </c>
      <c r="G1438" s="10" t="str">
        <f>"DBC"</f>
        <v>DBC</v>
      </c>
      <c r="H1438" s="10" t="s">
        <v>21</v>
      </c>
      <c r="I1438" s="10" t="s">
        <v>240</v>
      </c>
      <c r="J1438" s="10"/>
      <c r="K1438" s="10" t="str">
        <f>"PFES1162562143_0002"</f>
        <v>PFES1162562143_0002</v>
      </c>
      <c r="L1438" s="10">
        <v>2</v>
      </c>
      <c r="M1438" s="10">
        <v>32</v>
      </c>
    </row>
    <row r="1439" spans="1:13">
      <c r="A1439" s="8">
        <v>42928</v>
      </c>
      <c r="B1439" s="9">
        <v>0.61527777777777781</v>
      </c>
      <c r="C1439" s="10" t="str">
        <f>"FES1162562133"</f>
        <v>FES1162562133</v>
      </c>
      <c r="D1439" s="10" t="s">
        <v>19</v>
      </c>
      <c r="E1439" s="10" t="s">
        <v>381</v>
      </c>
      <c r="F1439" s="10" t="str">
        <f>"2170578738 "</f>
        <v xml:space="preserve">2170578738 </v>
      </c>
      <c r="G1439" s="10" t="str">
        <f>"ON1"</f>
        <v>ON1</v>
      </c>
      <c r="H1439" s="10" t="s">
        <v>21</v>
      </c>
      <c r="I1439" s="10" t="s">
        <v>149</v>
      </c>
      <c r="J1439" s="10" t="str">
        <f>""</f>
        <v/>
      </c>
      <c r="K1439" s="10" t="str">
        <f>"PFES1162562133_0001"</f>
        <v>PFES1162562133_0001</v>
      </c>
      <c r="L1439" s="10">
        <v>1</v>
      </c>
      <c r="M1439" s="10">
        <v>4</v>
      </c>
    </row>
    <row r="1440" spans="1:13">
      <c r="A1440" s="8">
        <v>42928</v>
      </c>
      <c r="B1440" s="9">
        <v>0.61388888888888882</v>
      </c>
      <c r="C1440" s="10" t="str">
        <f>"FES1162562052"</f>
        <v>FES1162562052</v>
      </c>
      <c r="D1440" s="10" t="s">
        <v>19</v>
      </c>
      <c r="E1440" s="10" t="s">
        <v>396</v>
      </c>
      <c r="F1440" s="10" t="str">
        <f>"2170572146 "</f>
        <v xml:space="preserve">2170572146 </v>
      </c>
      <c r="G1440" s="10" t="str">
        <f>"ON1"</f>
        <v>ON1</v>
      </c>
      <c r="H1440" s="10" t="s">
        <v>21</v>
      </c>
      <c r="I1440" s="10" t="s">
        <v>340</v>
      </c>
      <c r="J1440" s="10" t="str">
        <f>""</f>
        <v/>
      </c>
      <c r="K1440" s="10" t="str">
        <f>"PFES1162562052_0001"</f>
        <v>PFES1162562052_0001</v>
      </c>
      <c r="L1440" s="10">
        <v>1</v>
      </c>
      <c r="M1440" s="10">
        <v>8</v>
      </c>
    </row>
    <row r="1441" spans="1:13">
      <c r="A1441" s="8">
        <v>42928</v>
      </c>
      <c r="B1441" s="9">
        <v>0.61319444444444449</v>
      </c>
      <c r="C1441" s="10" t="str">
        <f>"FES1162561843"</f>
        <v>FES1162561843</v>
      </c>
      <c r="D1441" s="10" t="s">
        <v>19</v>
      </c>
      <c r="E1441" s="10" t="s">
        <v>471</v>
      </c>
      <c r="F1441" s="10" t="str">
        <f>"2170572172 "</f>
        <v xml:space="preserve">2170572172 </v>
      </c>
      <c r="G1441" s="10" t="str">
        <f>"ON1"</f>
        <v>ON1</v>
      </c>
      <c r="H1441" s="10" t="s">
        <v>21</v>
      </c>
      <c r="I1441" s="10" t="s">
        <v>138</v>
      </c>
      <c r="J1441" s="10" t="str">
        <f>""</f>
        <v/>
      </c>
      <c r="K1441" s="10" t="str">
        <f>"PFES1162561843_0001"</f>
        <v>PFES1162561843_0001</v>
      </c>
      <c r="L1441" s="10">
        <v>1</v>
      </c>
      <c r="M1441" s="10">
        <v>4</v>
      </c>
    </row>
    <row r="1442" spans="1:13">
      <c r="A1442" s="8">
        <v>42928</v>
      </c>
      <c r="B1442" s="9">
        <v>0.61319444444444449</v>
      </c>
      <c r="C1442" s="10" t="str">
        <f>"FES1162561894"</f>
        <v>FES1162561894</v>
      </c>
      <c r="D1442" s="10" t="s">
        <v>19</v>
      </c>
      <c r="E1442" s="10" t="s">
        <v>466</v>
      </c>
      <c r="F1442" s="10" t="str">
        <f>"2170575012 "</f>
        <v xml:space="preserve">2170575012 </v>
      </c>
      <c r="G1442" s="10" t="str">
        <f>"ON1"</f>
        <v>ON1</v>
      </c>
      <c r="H1442" s="10" t="s">
        <v>21</v>
      </c>
      <c r="I1442" s="10" t="s">
        <v>467</v>
      </c>
      <c r="J1442" s="10" t="str">
        <f>""</f>
        <v/>
      </c>
      <c r="K1442" s="10" t="str">
        <f>"PFES1162561894_0001"</f>
        <v>PFES1162561894_0001</v>
      </c>
      <c r="L1442" s="10">
        <v>1</v>
      </c>
      <c r="M1442" s="10">
        <v>1</v>
      </c>
    </row>
    <row r="1443" spans="1:13">
      <c r="A1443" s="8">
        <v>42929</v>
      </c>
      <c r="B1443" s="9">
        <v>0.59305555555555556</v>
      </c>
      <c r="C1443" s="10" t="str">
        <f>"FES1162562357"</f>
        <v>FES1162562357</v>
      </c>
      <c r="D1443" s="10" t="s">
        <v>19</v>
      </c>
      <c r="E1443" s="10" t="s">
        <v>376</v>
      </c>
      <c r="F1443" s="10" t="str">
        <f>"2170578946 "</f>
        <v xml:space="preserve">2170578946 </v>
      </c>
      <c r="G1443" s="10" t="str">
        <f t="shared" ref="G1443:G1506" si="62">"ON1"</f>
        <v>ON1</v>
      </c>
      <c r="H1443" s="10" t="s">
        <v>21</v>
      </c>
      <c r="I1443" s="10" t="s">
        <v>377</v>
      </c>
      <c r="J1443" s="10" t="str">
        <f>""</f>
        <v/>
      </c>
      <c r="K1443" s="10" t="str">
        <f>"PFES1162562357_0001"</f>
        <v>PFES1162562357_0001</v>
      </c>
      <c r="L1443" s="10">
        <v>1</v>
      </c>
      <c r="M1443" s="10">
        <v>1</v>
      </c>
    </row>
    <row r="1444" spans="1:13">
      <c r="A1444" s="8">
        <v>42929</v>
      </c>
      <c r="B1444" s="9">
        <v>0.59305555555555556</v>
      </c>
      <c r="C1444" s="10" t="str">
        <f>"FES1162562356"</f>
        <v>FES1162562356</v>
      </c>
      <c r="D1444" s="10" t="s">
        <v>19</v>
      </c>
      <c r="E1444" s="10" t="s">
        <v>376</v>
      </c>
      <c r="F1444" s="10" t="str">
        <f>"2170578943 "</f>
        <v xml:space="preserve">2170578943 </v>
      </c>
      <c r="G1444" s="10" t="str">
        <f t="shared" si="62"/>
        <v>ON1</v>
      </c>
      <c r="H1444" s="10" t="s">
        <v>21</v>
      </c>
      <c r="I1444" s="10" t="s">
        <v>377</v>
      </c>
      <c r="J1444" s="10" t="str">
        <f>""</f>
        <v/>
      </c>
      <c r="K1444" s="10" t="str">
        <f>"PFES1162562356_0001"</f>
        <v>PFES1162562356_0001</v>
      </c>
      <c r="L1444" s="10">
        <v>1</v>
      </c>
      <c r="M1444" s="10">
        <v>1</v>
      </c>
    </row>
    <row r="1445" spans="1:13">
      <c r="A1445" s="8">
        <v>42929</v>
      </c>
      <c r="B1445" s="9">
        <v>0.59236111111111112</v>
      </c>
      <c r="C1445" s="10" t="str">
        <f>"FES1162562365"</f>
        <v>FES1162562365</v>
      </c>
      <c r="D1445" s="10" t="s">
        <v>19</v>
      </c>
      <c r="E1445" s="10" t="s">
        <v>376</v>
      </c>
      <c r="F1445" s="10" t="str">
        <f>"2170578957 "</f>
        <v xml:space="preserve">2170578957 </v>
      </c>
      <c r="G1445" s="10" t="str">
        <f t="shared" si="62"/>
        <v>ON1</v>
      </c>
      <c r="H1445" s="10" t="s">
        <v>21</v>
      </c>
      <c r="I1445" s="10" t="s">
        <v>377</v>
      </c>
      <c r="J1445" s="10" t="str">
        <f>""</f>
        <v/>
      </c>
      <c r="K1445" s="10" t="str">
        <f>"PFES1162562365_0001"</f>
        <v>PFES1162562365_0001</v>
      </c>
      <c r="L1445" s="10">
        <v>1</v>
      </c>
      <c r="M1445" s="10">
        <v>1</v>
      </c>
    </row>
    <row r="1446" spans="1:13">
      <c r="A1446" s="8">
        <v>42929</v>
      </c>
      <c r="B1446" s="9">
        <v>0.59236111111111112</v>
      </c>
      <c r="C1446" s="10" t="str">
        <f>"FES1162562358"</f>
        <v>FES1162562358</v>
      </c>
      <c r="D1446" s="10" t="s">
        <v>19</v>
      </c>
      <c r="E1446" s="10" t="s">
        <v>376</v>
      </c>
      <c r="F1446" s="10" t="str">
        <f>"2170578947 "</f>
        <v xml:space="preserve">2170578947 </v>
      </c>
      <c r="G1446" s="10" t="str">
        <f t="shared" si="62"/>
        <v>ON1</v>
      </c>
      <c r="H1446" s="10" t="s">
        <v>21</v>
      </c>
      <c r="I1446" s="10" t="s">
        <v>377</v>
      </c>
      <c r="J1446" s="10" t="str">
        <f>""</f>
        <v/>
      </c>
      <c r="K1446" s="10" t="str">
        <f>"PFES1162562358_0001"</f>
        <v>PFES1162562358_0001</v>
      </c>
      <c r="L1446" s="10">
        <v>1</v>
      </c>
      <c r="M1446" s="10">
        <v>1</v>
      </c>
    </row>
    <row r="1447" spans="1:13">
      <c r="A1447" s="8">
        <v>42929</v>
      </c>
      <c r="B1447" s="9">
        <v>0.59166666666666667</v>
      </c>
      <c r="C1447" s="10" t="str">
        <f>"FES1162562361"</f>
        <v>FES1162562361</v>
      </c>
      <c r="D1447" s="10" t="s">
        <v>19</v>
      </c>
      <c r="E1447" s="10" t="s">
        <v>376</v>
      </c>
      <c r="F1447" s="10" t="str">
        <f>"2170578952 "</f>
        <v xml:space="preserve">2170578952 </v>
      </c>
      <c r="G1447" s="10" t="str">
        <f t="shared" si="62"/>
        <v>ON1</v>
      </c>
      <c r="H1447" s="10" t="s">
        <v>21</v>
      </c>
      <c r="I1447" s="10" t="s">
        <v>377</v>
      </c>
      <c r="J1447" s="10" t="str">
        <f>""</f>
        <v/>
      </c>
      <c r="K1447" s="10" t="str">
        <f>"PFES1162562361_0001"</f>
        <v>PFES1162562361_0001</v>
      </c>
      <c r="L1447" s="10">
        <v>1</v>
      </c>
      <c r="M1447" s="10">
        <v>1</v>
      </c>
    </row>
    <row r="1448" spans="1:13">
      <c r="A1448" s="8">
        <v>42929</v>
      </c>
      <c r="B1448" s="9">
        <v>0.59166666666666667</v>
      </c>
      <c r="C1448" s="10" t="str">
        <f>"FES1162562360"</f>
        <v>FES1162562360</v>
      </c>
      <c r="D1448" s="10" t="s">
        <v>19</v>
      </c>
      <c r="E1448" s="10" t="s">
        <v>376</v>
      </c>
      <c r="F1448" s="10" t="str">
        <f>"2170578951 "</f>
        <v xml:space="preserve">2170578951 </v>
      </c>
      <c r="G1448" s="10" t="str">
        <f t="shared" si="62"/>
        <v>ON1</v>
      </c>
      <c r="H1448" s="10" t="s">
        <v>21</v>
      </c>
      <c r="I1448" s="10" t="s">
        <v>377</v>
      </c>
      <c r="J1448" s="10" t="str">
        <f>""</f>
        <v/>
      </c>
      <c r="K1448" s="10" t="str">
        <f>"PFES1162562360_0001"</f>
        <v>PFES1162562360_0001</v>
      </c>
      <c r="L1448" s="10">
        <v>1</v>
      </c>
      <c r="M1448" s="10">
        <v>1</v>
      </c>
    </row>
    <row r="1449" spans="1:13">
      <c r="A1449" s="8">
        <v>42929</v>
      </c>
      <c r="B1449" s="9">
        <v>0.59097222222222223</v>
      </c>
      <c r="C1449" s="10" t="str">
        <f>"FES1162562368"</f>
        <v>FES1162562368</v>
      </c>
      <c r="D1449" s="10" t="s">
        <v>19</v>
      </c>
      <c r="E1449" s="10" t="s">
        <v>376</v>
      </c>
      <c r="F1449" s="10" t="str">
        <f>"2170578960 "</f>
        <v xml:space="preserve">2170578960 </v>
      </c>
      <c r="G1449" s="10" t="str">
        <f t="shared" si="62"/>
        <v>ON1</v>
      </c>
      <c r="H1449" s="10" t="s">
        <v>21</v>
      </c>
      <c r="I1449" s="10" t="s">
        <v>377</v>
      </c>
      <c r="J1449" s="10" t="str">
        <f>""</f>
        <v/>
      </c>
      <c r="K1449" s="10" t="str">
        <f>"PFES1162562368_0001"</f>
        <v>PFES1162562368_0001</v>
      </c>
      <c r="L1449" s="10">
        <v>1</v>
      </c>
      <c r="M1449" s="10">
        <v>1</v>
      </c>
    </row>
    <row r="1450" spans="1:13">
      <c r="A1450" s="8">
        <v>42929</v>
      </c>
      <c r="B1450" s="9">
        <v>0.59097222222222223</v>
      </c>
      <c r="C1450" s="10" t="str">
        <f>"FES1162562366"</f>
        <v>FES1162562366</v>
      </c>
      <c r="D1450" s="10" t="s">
        <v>19</v>
      </c>
      <c r="E1450" s="10" t="s">
        <v>376</v>
      </c>
      <c r="F1450" s="10" t="str">
        <f>"2170578958 "</f>
        <v xml:space="preserve">2170578958 </v>
      </c>
      <c r="G1450" s="10" t="str">
        <f t="shared" si="62"/>
        <v>ON1</v>
      </c>
      <c r="H1450" s="10" t="s">
        <v>21</v>
      </c>
      <c r="I1450" s="10" t="s">
        <v>377</v>
      </c>
      <c r="J1450" s="10" t="str">
        <f>""</f>
        <v/>
      </c>
      <c r="K1450" s="10" t="str">
        <f>"PFES1162562366_0001"</f>
        <v>PFES1162562366_0001</v>
      </c>
      <c r="L1450" s="10">
        <v>1</v>
      </c>
      <c r="M1450" s="10">
        <v>1</v>
      </c>
    </row>
    <row r="1451" spans="1:13">
      <c r="A1451" s="8">
        <v>42929</v>
      </c>
      <c r="B1451" s="9">
        <v>0.59097222222222223</v>
      </c>
      <c r="C1451" s="10" t="str">
        <f>"FES1162562363"</f>
        <v>FES1162562363</v>
      </c>
      <c r="D1451" s="10" t="s">
        <v>19</v>
      </c>
      <c r="E1451" s="10" t="s">
        <v>376</v>
      </c>
      <c r="F1451" s="10" t="str">
        <f>"2170578955 "</f>
        <v xml:space="preserve">2170578955 </v>
      </c>
      <c r="G1451" s="10" t="str">
        <f t="shared" si="62"/>
        <v>ON1</v>
      </c>
      <c r="H1451" s="10" t="s">
        <v>21</v>
      </c>
      <c r="I1451" s="10" t="s">
        <v>377</v>
      </c>
      <c r="J1451" s="10" t="str">
        <f>""</f>
        <v/>
      </c>
      <c r="K1451" s="10" t="str">
        <f>"PFES1162562363_0001"</f>
        <v>PFES1162562363_0001</v>
      </c>
      <c r="L1451" s="10">
        <v>1</v>
      </c>
      <c r="M1451" s="10">
        <v>1</v>
      </c>
    </row>
    <row r="1452" spans="1:13">
      <c r="A1452" s="8">
        <v>42929</v>
      </c>
      <c r="B1452" s="9">
        <v>0.59027777777777779</v>
      </c>
      <c r="C1452" s="10" t="str">
        <f>"FES1162562390"</f>
        <v>FES1162562390</v>
      </c>
      <c r="D1452" s="10" t="s">
        <v>19</v>
      </c>
      <c r="E1452" s="10" t="s">
        <v>376</v>
      </c>
      <c r="F1452" s="10" t="str">
        <f>"2170578982 "</f>
        <v xml:space="preserve">2170578982 </v>
      </c>
      <c r="G1452" s="10" t="str">
        <f t="shared" si="62"/>
        <v>ON1</v>
      </c>
      <c r="H1452" s="10" t="s">
        <v>21</v>
      </c>
      <c r="I1452" s="10" t="s">
        <v>377</v>
      </c>
      <c r="J1452" s="10" t="str">
        <f>""</f>
        <v/>
      </c>
      <c r="K1452" s="10" t="str">
        <f>"PFES1162562390_0001"</f>
        <v>PFES1162562390_0001</v>
      </c>
      <c r="L1452" s="10">
        <v>1</v>
      </c>
      <c r="M1452" s="10">
        <v>1</v>
      </c>
    </row>
    <row r="1453" spans="1:13">
      <c r="A1453" s="8">
        <v>42929</v>
      </c>
      <c r="B1453" s="9">
        <v>0.58958333333333335</v>
      </c>
      <c r="C1453" s="10" t="str">
        <f>"FES1162562432"</f>
        <v>FES1162562432</v>
      </c>
      <c r="D1453" s="10" t="s">
        <v>19</v>
      </c>
      <c r="E1453" s="10" t="s">
        <v>176</v>
      </c>
      <c r="F1453" s="10" t="str">
        <f>"2170579026 "</f>
        <v xml:space="preserve">2170579026 </v>
      </c>
      <c r="G1453" s="10" t="str">
        <f t="shared" si="62"/>
        <v>ON1</v>
      </c>
      <c r="H1453" s="10" t="s">
        <v>21</v>
      </c>
      <c r="I1453" s="10" t="s">
        <v>796</v>
      </c>
      <c r="J1453" s="10" t="str">
        <f>""</f>
        <v/>
      </c>
      <c r="K1453" s="10" t="str">
        <f>"PFES1162562432_0001"</f>
        <v>PFES1162562432_0001</v>
      </c>
      <c r="L1453" s="10">
        <v>1</v>
      </c>
      <c r="M1453" s="10">
        <v>1</v>
      </c>
    </row>
    <row r="1454" spans="1:13">
      <c r="A1454" s="8">
        <v>42929</v>
      </c>
      <c r="B1454" s="9">
        <v>0.58819444444444446</v>
      </c>
      <c r="C1454" s="10" t="str">
        <f>"FES1162562393"</f>
        <v>FES1162562393</v>
      </c>
      <c r="D1454" s="10" t="s">
        <v>19</v>
      </c>
      <c r="E1454" s="10" t="s">
        <v>49</v>
      </c>
      <c r="F1454" s="10" t="str">
        <f>"2170578988 "</f>
        <v xml:space="preserve">2170578988 </v>
      </c>
      <c r="G1454" s="10" t="str">
        <f t="shared" si="62"/>
        <v>ON1</v>
      </c>
      <c r="H1454" s="10" t="s">
        <v>21</v>
      </c>
      <c r="I1454" s="10" t="s">
        <v>50</v>
      </c>
      <c r="J1454" s="10" t="str">
        <f>""</f>
        <v/>
      </c>
      <c r="K1454" s="10" t="str">
        <f>"PFES1162562393_0001"</f>
        <v>PFES1162562393_0001</v>
      </c>
      <c r="L1454" s="10">
        <v>1</v>
      </c>
      <c r="M1454" s="10">
        <v>1</v>
      </c>
    </row>
    <row r="1455" spans="1:13">
      <c r="A1455" s="8">
        <v>42929</v>
      </c>
      <c r="B1455" s="9">
        <v>0.58819444444444446</v>
      </c>
      <c r="C1455" s="10" t="str">
        <f>"FES1162562376"</f>
        <v>FES1162562376</v>
      </c>
      <c r="D1455" s="10" t="s">
        <v>19</v>
      </c>
      <c r="E1455" s="10" t="s">
        <v>391</v>
      </c>
      <c r="F1455" s="10" t="str">
        <f>"217057869 "</f>
        <v xml:space="preserve">217057869 </v>
      </c>
      <c r="G1455" s="10" t="str">
        <f t="shared" si="62"/>
        <v>ON1</v>
      </c>
      <c r="H1455" s="10" t="s">
        <v>21</v>
      </c>
      <c r="I1455" s="10" t="s">
        <v>183</v>
      </c>
      <c r="J1455" s="10" t="str">
        <f>""</f>
        <v/>
      </c>
      <c r="K1455" s="10" t="str">
        <f>"PFES1162562376_0001"</f>
        <v>PFES1162562376_0001</v>
      </c>
      <c r="L1455" s="10">
        <v>1</v>
      </c>
      <c r="M1455" s="10">
        <v>7</v>
      </c>
    </row>
    <row r="1456" spans="1:13">
      <c r="A1456" s="8">
        <v>42929</v>
      </c>
      <c r="B1456" s="9">
        <v>0.58819444444444446</v>
      </c>
      <c r="C1456" s="10" t="str">
        <f>"FES1162562330"</f>
        <v>FES1162562330</v>
      </c>
      <c r="D1456" s="10" t="s">
        <v>19</v>
      </c>
      <c r="E1456" s="10" t="s">
        <v>797</v>
      </c>
      <c r="F1456" s="10" t="str">
        <f>"2170578505 "</f>
        <v xml:space="preserve">2170578505 </v>
      </c>
      <c r="G1456" s="10" t="str">
        <f t="shared" si="62"/>
        <v>ON1</v>
      </c>
      <c r="H1456" s="10" t="s">
        <v>21</v>
      </c>
      <c r="I1456" s="10" t="s">
        <v>798</v>
      </c>
      <c r="J1456" s="10" t="str">
        <f>""</f>
        <v/>
      </c>
      <c r="K1456" s="10" t="str">
        <f>"PFES1162562330_0001"</f>
        <v>PFES1162562330_0001</v>
      </c>
      <c r="L1456" s="10">
        <v>1</v>
      </c>
      <c r="M1456" s="10">
        <v>2</v>
      </c>
    </row>
    <row r="1457" spans="1:13">
      <c r="A1457" s="8">
        <v>42929</v>
      </c>
      <c r="B1457" s="9">
        <v>0.58750000000000002</v>
      </c>
      <c r="C1457" s="10" t="str">
        <f>"FES1162562434"</f>
        <v>FES1162562434</v>
      </c>
      <c r="D1457" s="10" t="s">
        <v>19</v>
      </c>
      <c r="E1457" s="10" t="s">
        <v>698</v>
      </c>
      <c r="F1457" s="10" t="str">
        <f>"2170579028 "</f>
        <v xml:space="preserve">2170579028 </v>
      </c>
      <c r="G1457" s="10" t="str">
        <f t="shared" si="62"/>
        <v>ON1</v>
      </c>
      <c r="H1457" s="10" t="s">
        <v>21</v>
      </c>
      <c r="I1457" s="10" t="s">
        <v>234</v>
      </c>
      <c r="J1457" s="10" t="str">
        <f>""</f>
        <v/>
      </c>
      <c r="K1457" s="10" t="str">
        <f>"PFES1162562434_0001"</f>
        <v>PFES1162562434_0001</v>
      </c>
      <c r="L1457" s="10">
        <v>1</v>
      </c>
      <c r="M1457" s="10">
        <v>4</v>
      </c>
    </row>
    <row r="1458" spans="1:13">
      <c r="A1458" s="8">
        <v>42929</v>
      </c>
      <c r="B1458" s="9">
        <v>0.57916666666666672</v>
      </c>
      <c r="C1458" s="10" t="str">
        <f>"FES1162562404"</f>
        <v>FES1162562404</v>
      </c>
      <c r="D1458" s="10" t="s">
        <v>19</v>
      </c>
      <c r="E1458" s="10" t="s">
        <v>336</v>
      </c>
      <c r="F1458" s="10" t="str">
        <f>"2170578996 "</f>
        <v xml:space="preserve">2170578996 </v>
      </c>
      <c r="G1458" s="10" t="str">
        <f t="shared" si="62"/>
        <v>ON1</v>
      </c>
      <c r="H1458" s="10" t="s">
        <v>21</v>
      </c>
      <c r="I1458" s="10" t="s">
        <v>337</v>
      </c>
      <c r="J1458" s="10" t="str">
        <f>"PLEASE DELIVER AT 10:00 CALL DAWIE 082 479 6051 FOR DELIVERY"</f>
        <v>PLEASE DELIVER AT 10:00 CALL DAWIE 082 479 6051 FOR DELIVERY</v>
      </c>
      <c r="K1458" s="10" t="str">
        <f>"PFES1162562404_0001"</f>
        <v>PFES1162562404_0001</v>
      </c>
      <c r="L1458" s="10">
        <v>1</v>
      </c>
      <c r="M1458" s="10">
        <v>1</v>
      </c>
    </row>
    <row r="1459" spans="1:13">
      <c r="A1459" s="8">
        <v>42929</v>
      </c>
      <c r="B1459" s="9">
        <v>0.57916666666666672</v>
      </c>
      <c r="C1459" s="10" t="str">
        <f>"FES1162562201"</f>
        <v>FES1162562201</v>
      </c>
      <c r="D1459" s="10" t="s">
        <v>19</v>
      </c>
      <c r="E1459" s="10" t="s">
        <v>799</v>
      </c>
      <c r="F1459" s="10" t="str">
        <f>"2170578806 "</f>
        <v xml:space="preserve">2170578806 </v>
      </c>
      <c r="G1459" s="10" t="str">
        <f t="shared" si="62"/>
        <v>ON1</v>
      </c>
      <c r="H1459" s="10" t="s">
        <v>21</v>
      </c>
      <c r="I1459" s="10" t="s">
        <v>226</v>
      </c>
      <c r="J1459" s="10" t="str">
        <f>""</f>
        <v/>
      </c>
      <c r="K1459" s="10" t="str">
        <f>"PFES1162562201_0001"</f>
        <v>PFES1162562201_0001</v>
      </c>
      <c r="L1459" s="10">
        <v>1</v>
      </c>
      <c r="M1459" s="10">
        <v>16</v>
      </c>
    </row>
    <row r="1460" spans="1:13">
      <c r="A1460" s="8">
        <v>42929</v>
      </c>
      <c r="B1460" s="9">
        <v>0.57847222222222217</v>
      </c>
      <c r="C1460" s="10" t="str">
        <f>"FES1162562318"</f>
        <v>FES1162562318</v>
      </c>
      <c r="D1460" s="10" t="s">
        <v>19</v>
      </c>
      <c r="E1460" s="10" t="s">
        <v>99</v>
      </c>
      <c r="F1460" s="10" t="str">
        <f>"217058897 "</f>
        <v xml:space="preserve">217058897 </v>
      </c>
      <c r="G1460" s="10" t="str">
        <f t="shared" si="62"/>
        <v>ON1</v>
      </c>
      <c r="H1460" s="10" t="s">
        <v>21</v>
      </c>
      <c r="I1460" s="10" t="s">
        <v>100</v>
      </c>
      <c r="J1460" s="10" t="str">
        <f>""</f>
        <v/>
      </c>
      <c r="K1460" s="10" t="str">
        <f>"PFES1162562318_0001"</f>
        <v>PFES1162562318_0001</v>
      </c>
      <c r="L1460" s="10">
        <v>1</v>
      </c>
      <c r="M1460" s="10">
        <v>1</v>
      </c>
    </row>
    <row r="1461" spans="1:13">
      <c r="A1461" s="8">
        <v>42929</v>
      </c>
      <c r="B1461" s="9">
        <v>0.57847222222222217</v>
      </c>
      <c r="C1461" s="10" t="str">
        <f>"FES1162562338"</f>
        <v>FES1162562338</v>
      </c>
      <c r="D1461" s="10" t="s">
        <v>19</v>
      </c>
      <c r="E1461" s="10" t="s">
        <v>53</v>
      </c>
      <c r="F1461" s="10" t="str">
        <f>"2170578921 "</f>
        <v xml:space="preserve">2170578921 </v>
      </c>
      <c r="G1461" s="10" t="str">
        <f t="shared" si="62"/>
        <v>ON1</v>
      </c>
      <c r="H1461" s="10" t="s">
        <v>21</v>
      </c>
      <c r="I1461" s="10" t="s">
        <v>54</v>
      </c>
      <c r="J1461" s="10" t="str">
        <f>""</f>
        <v/>
      </c>
      <c r="K1461" s="10" t="str">
        <f>"PFES1162562338_0001"</f>
        <v>PFES1162562338_0001</v>
      </c>
      <c r="L1461" s="10">
        <v>1</v>
      </c>
      <c r="M1461" s="10">
        <v>1</v>
      </c>
    </row>
    <row r="1462" spans="1:13">
      <c r="A1462" s="8">
        <v>42929</v>
      </c>
      <c r="B1462" s="9">
        <v>0.57777777777777783</v>
      </c>
      <c r="C1462" s="10" t="str">
        <f>"FES1162562322"</f>
        <v>FES1162562322</v>
      </c>
      <c r="D1462" s="10" t="s">
        <v>19</v>
      </c>
      <c r="E1462" s="10" t="s">
        <v>397</v>
      </c>
      <c r="F1462" s="10" t="str">
        <f>"2170578901 "</f>
        <v xml:space="preserve">2170578901 </v>
      </c>
      <c r="G1462" s="10" t="str">
        <f t="shared" si="62"/>
        <v>ON1</v>
      </c>
      <c r="H1462" s="10" t="s">
        <v>21</v>
      </c>
      <c r="I1462" s="10" t="s">
        <v>800</v>
      </c>
      <c r="J1462" s="10" t="str">
        <f>""</f>
        <v/>
      </c>
      <c r="K1462" s="10" t="str">
        <f>"PFES1162562322_0001"</f>
        <v>PFES1162562322_0001</v>
      </c>
      <c r="L1462" s="10">
        <v>1</v>
      </c>
      <c r="M1462" s="10">
        <v>1</v>
      </c>
    </row>
    <row r="1463" spans="1:13">
      <c r="A1463" s="8">
        <v>42929</v>
      </c>
      <c r="B1463" s="9">
        <v>0.57777777777777783</v>
      </c>
      <c r="C1463" s="10" t="str">
        <f>"FES1162562304"</f>
        <v>FES1162562304</v>
      </c>
      <c r="D1463" s="10" t="s">
        <v>19</v>
      </c>
      <c r="E1463" s="10" t="s">
        <v>487</v>
      </c>
      <c r="F1463" s="10" t="str">
        <f>"2170578879 "</f>
        <v xml:space="preserve">2170578879 </v>
      </c>
      <c r="G1463" s="10" t="str">
        <f t="shared" si="62"/>
        <v>ON1</v>
      </c>
      <c r="H1463" s="10" t="s">
        <v>21</v>
      </c>
      <c r="I1463" s="10" t="s">
        <v>313</v>
      </c>
      <c r="J1463" s="10" t="str">
        <f>""</f>
        <v/>
      </c>
      <c r="K1463" s="10" t="str">
        <f>"PFES1162562304_0001"</f>
        <v>PFES1162562304_0001</v>
      </c>
      <c r="L1463" s="10">
        <v>1</v>
      </c>
      <c r="M1463" s="10">
        <v>1</v>
      </c>
    </row>
    <row r="1464" spans="1:13">
      <c r="A1464" s="8">
        <v>42929</v>
      </c>
      <c r="B1464" s="9">
        <v>0.57777777777777783</v>
      </c>
      <c r="C1464" s="10" t="str">
        <f>"FES1162562327"</f>
        <v>FES1162562327</v>
      </c>
      <c r="D1464" s="10" t="s">
        <v>19</v>
      </c>
      <c r="E1464" s="10" t="s">
        <v>397</v>
      </c>
      <c r="F1464" s="10" t="str">
        <f>"2170578912 "</f>
        <v xml:space="preserve">2170578912 </v>
      </c>
      <c r="G1464" s="10" t="str">
        <f t="shared" si="62"/>
        <v>ON1</v>
      </c>
      <c r="H1464" s="10" t="s">
        <v>21</v>
      </c>
      <c r="I1464" s="10" t="s">
        <v>800</v>
      </c>
      <c r="J1464" s="10" t="str">
        <f>""</f>
        <v/>
      </c>
      <c r="K1464" s="10" t="str">
        <f>"PFES1162562327_0001"</f>
        <v>PFES1162562327_0001</v>
      </c>
      <c r="L1464" s="10">
        <v>1</v>
      </c>
      <c r="M1464" s="10">
        <v>1</v>
      </c>
    </row>
    <row r="1465" spans="1:13">
      <c r="A1465" s="8">
        <v>42929</v>
      </c>
      <c r="B1465" s="9">
        <v>0.57708333333333328</v>
      </c>
      <c r="C1465" s="10" t="str">
        <f>"FES1162562388"</f>
        <v>FES1162562388</v>
      </c>
      <c r="D1465" s="10" t="s">
        <v>19</v>
      </c>
      <c r="E1465" s="10" t="s">
        <v>376</v>
      </c>
      <c r="F1465" s="10" t="str">
        <f>"2170578980 "</f>
        <v xml:space="preserve">2170578980 </v>
      </c>
      <c r="G1465" s="10" t="str">
        <f t="shared" si="62"/>
        <v>ON1</v>
      </c>
      <c r="H1465" s="10" t="s">
        <v>21</v>
      </c>
      <c r="I1465" s="10" t="s">
        <v>377</v>
      </c>
      <c r="J1465" s="10" t="str">
        <f>""</f>
        <v/>
      </c>
      <c r="K1465" s="10" t="str">
        <f>"PFES1162562388_0001"</f>
        <v>PFES1162562388_0001</v>
      </c>
      <c r="L1465" s="10">
        <v>1</v>
      </c>
      <c r="M1465" s="10">
        <v>1</v>
      </c>
    </row>
    <row r="1466" spans="1:13">
      <c r="A1466" s="8">
        <v>42929</v>
      </c>
      <c r="B1466" s="9">
        <v>0.57708333333333328</v>
      </c>
      <c r="C1466" s="10" t="str">
        <f>"FES1162562386"</f>
        <v>FES1162562386</v>
      </c>
      <c r="D1466" s="10" t="s">
        <v>19</v>
      </c>
      <c r="E1466" s="10" t="s">
        <v>376</v>
      </c>
      <c r="F1466" s="10" t="str">
        <f>"2170578987 "</f>
        <v xml:space="preserve">2170578987 </v>
      </c>
      <c r="G1466" s="10" t="str">
        <f t="shared" si="62"/>
        <v>ON1</v>
      </c>
      <c r="H1466" s="10" t="s">
        <v>21</v>
      </c>
      <c r="I1466" s="10" t="s">
        <v>377</v>
      </c>
      <c r="J1466" s="10" t="str">
        <f>""</f>
        <v/>
      </c>
      <c r="K1466" s="10" t="str">
        <f>"PFES1162562386_0001"</f>
        <v>PFES1162562386_0001</v>
      </c>
      <c r="L1466" s="10">
        <v>1</v>
      </c>
      <c r="M1466" s="10">
        <v>1</v>
      </c>
    </row>
    <row r="1467" spans="1:13">
      <c r="A1467" s="8">
        <v>42929</v>
      </c>
      <c r="B1467" s="9">
        <v>0.57708333333333328</v>
      </c>
      <c r="C1467" s="10" t="str">
        <f>"FES1162562339"</f>
        <v>FES1162562339</v>
      </c>
      <c r="D1467" s="10" t="s">
        <v>19</v>
      </c>
      <c r="E1467" s="10" t="s">
        <v>801</v>
      </c>
      <c r="F1467" s="10" t="str">
        <f>"217058923 "</f>
        <v xml:space="preserve">217058923 </v>
      </c>
      <c r="G1467" s="10" t="str">
        <f t="shared" si="62"/>
        <v>ON1</v>
      </c>
      <c r="H1467" s="10" t="s">
        <v>21</v>
      </c>
      <c r="I1467" s="10" t="s">
        <v>70</v>
      </c>
      <c r="J1467" s="10" t="str">
        <f>""</f>
        <v/>
      </c>
      <c r="K1467" s="10" t="str">
        <f>"PFES1162562339_0001"</f>
        <v>PFES1162562339_0001</v>
      </c>
      <c r="L1467" s="10">
        <v>1</v>
      </c>
      <c r="M1467" s="10">
        <v>1</v>
      </c>
    </row>
    <row r="1468" spans="1:13">
      <c r="A1468" s="8">
        <v>42929</v>
      </c>
      <c r="B1468" s="9">
        <v>0.57638888888888895</v>
      </c>
      <c r="C1468" s="10" t="str">
        <f>"FES1162562389"</f>
        <v>FES1162562389</v>
      </c>
      <c r="D1468" s="10" t="s">
        <v>19</v>
      </c>
      <c r="E1468" s="10" t="s">
        <v>376</v>
      </c>
      <c r="F1468" s="10" t="str">
        <f>"2170578981 "</f>
        <v xml:space="preserve">2170578981 </v>
      </c>
      <c r="G1468" s="10" t="str">
        <f t="shared" si="62"/>
        <v>ON1</v>
      </c>
      <c r="H1468" s="10" t="s">
        <v>21</v>
      </c>
      <c r="I1468" s="10" t="s">
        <v>377</v>
      </c>
      <c r="J1468" s="10" t="str">
        <f>""</f>
        <v/>
      </c>
      <c r="K1468" s="10" t="str">
        <f>"PFES1162562389_0001"</f>
        <v>PFES1162562389_0001</v>
      </c>
      <c r="L1468" s="10">
        <v>1</v>
      </c>
      <c r="M1468" s="10">
        <v>1</v>
      </c>
    </row>
    <row r="1469" spans="1:13">
      <c r="A1469" s="8">
        <v>42929</v>
      </c>
      <c r="B1469" s="9">
        <v>0.57638888888888895</v>
      </c>
      <c r="C1469" s="10" t="str">
        <f>"FES1162562355"</f>
        <v>FES1162562355</v>
      </c>
      <c r="D1469" s="10" t="s">
        <v>19</v>
      </c>
      <c r="E1469" s="10" t="s">
        <v>376</v>
      </c>
      <c r="F1469" s="10" t="str">
        <f>"217057952 "</f>
        <v xml:space="preserve">217057952 </v>
      </c>
      <c r="G1469" s="10" t="str">
        <f t="shared" si="62"/>
        <v>ON1</v>
      </c>
      <c r="H1469" s="10" t="s">
        <v>21</v>
      </c>
      <c r="I1469" s="10" t="s">
        <v>377</v>
      </c>
      <c r="J1469" s="10" t="str">
        <f>""</f>
        <v/>
      </c>
      <c r="K1469" s="10" t="str">
        <f>"PFES1162562355_0001"</f>
        <v>PFES1162562355_0001</v>
      </c>
      <c r="L1469" s="10">
        <v>1</v>
      </c>
      <c r="M1469" s="10">
        <v>1</v>
      </c>
    </row>
    <row r="1470" spans="1:13">
      <c r="A1470" s="8">
        <v>42929</v>
      </c>
      <c r="B1470" s="9">
        <v>0.5756944444444444</v>
      </c>
      <c r="C1470" s="10" t="str">
        <f>"FES1162562353"</f>
        <v>FES1162562353</v>
      </c>
      <c r="D1470" s="10" t="s">
        <v>19</v>
      </c>
      <c r="E1470" s="10" t="s">
        <v>376</v>
      </c>
      <c r="F1470" s="10" t="str">
        <f>"2170578939 "</f>
        <v xml:space="preserve">2170578939 </v>
      </c>
      <c r="G1470" s="10" t="str">
        <f t="shared" si="62"/>
        <v>ON1</v>
      </c>
      <c r="H1470" s="10" t="s">
        <v>21</v>
      </c>
      <c r="I1470" s="10" t="s">
        <v>377</v>
      </c>
      <c r="J1470" s="10" t="str">
        <f>""</f>
        <v/>
      </c>
      <c r="K1470" s="10" t="str">
        <f>"PFES1162562353_0001"</f>
        <v>PFES1162562353_0001</v>
      </c>
      <c r="L1470" s="10">
        <v>1</v>
      </c>
      <c r="M1470" s="10">
        <v>1</v>
      </c>
    </row>
    <row r="1471" spans="1:13">
      <c r="A1471" s="8">
        <v>42929</v>
      </c>
      <c r="B1471" s="9">
        <v>0.5756944444444444</v>
      </c>
      <c r="C1471" s="10" t="str">
        <f>"FES1162562364"</f>
        <v>FES1162562364</v>
      </c>
      <c r="D1471" s="10" t="s">
        <v>19</v>
      </c>
      <c r="E1471" s="10" t="s">
        <v>376</v>
      </c>
      <c r="F1471" s="10" t="str">
        <f>"2170578956 "</f>
        <v xml:space="preserve">2170578956 </v>
      </c>
      <c r="G1471" s="10" t="str">
        <f t="shared" si="62"/>
        <v>ON1</v>
      </c>
      <c r="H1471" s="10" t="s">
        <v>21</v>
      </c>
      <c r="I1471" s="10" t="s">
        <v>377</v>
      </c>
      <c r="J1471" s="10" t="str">
        <f>""</f>
        <v/>
      </c>
      <c r="K1471" s="10" t="str">
        <f>"PFES1162562364_0001"</f>
        <v>PFES1162562364_0001</v>
      </c>
      <c r="L1471" s="10">
        <v>1</v>
      </c>
      <c r="M1471" s="10">
        <v>1</v>
      </c>
    </row>
    <row r="1472" spans="1:13">
      <c r="A1472" s="8">
        <v>42929</v>
      </c>
      <c r="B1472" s="9">
        <v>0.5756944444444444</v>
      </c>
      <c r="C1472" s="10" t="str">
        <f>"FES1162562354"</f>
        <v>FES1162562354</v>
      </c>
      <c r="D1472" s="10" t="s">
        <v>19</v>
      </c>
      <c r="E1472" s="10" t="s">
        <v>376</v>
      </c>
      <c r="F1472" s="10" t="str">
        <f>"21708941 "</f>
        <v xml:space="preserve">21708941 </v>
      </c>
      <c r="G1472" s="10" t="str">
        <f t="shared" si="62"/>
        <v>ON1</v>
      </c>
      <c r="H1472" s="10" t="s">
        <v>21</v>
      </c>
      <c r="I1472" s="10" t="s">
        <v>377</v>
      </c>
      <c r="J1472" s="10" t="str">
        <f>""</f>
        <v/>
      </c>
      <c r="K1472" s="10" t="str">
        <f>"PFES1162562354_0001"</f>
        <v>PFES1162562354_0001</v>
      </c>
      <c r="L1472" s="10">
        <v>1</v>
      </c>
      <c r="M1472" s="10">
        <v>1</v>
      </c>
    </row>
    <row r="1473" spans="1:13">
      <c r="A1473" s="8">
        <v>42929</v>
      </c>
      <c r="B1473" s="9">
        <v>0.57500000000000007</v>
      </c>
      <c r="C1473" s="10" t="str">
        <f>"FES1162562352"</f>
        <v>FES1162562352</v>
      </c>
      <c r="D1473" s="10" t="s">
        <v>19</v>
      </c>
      <c r="E1473" s="10" t="s">
        <v>376</v>
      </c>
      <c r="F1473" s="10" t="str">
        <f>"2170578938 "</f>
        <v xml:space="preserve">2170578938 </v>
      </c>
      <c r="G1473" s="10" t="str">
        <f t="shared" si="62"/>
        <v>ON1</v>
      </c>
      <c r="H1473" s="10" t="s">
        <v>21</v>
      </c>
      <c r="I1473" s="10" t="s">
        <v>377</v>
      </c>
      <c r="J1473" s="10" t="str">
        <f>""</f>
        <v/>
      </c>
      <c r="K1473" s="10" t="str">
        <f>"PFES1162562352_0001"</f>
        <v>PFES1162562352_0001</v>
      </c>
      <c r="L1473" s="10">
        <v>1</v>
      </c>
      <c r="M1473" s="10">
        <v>1</v>
      </c>
    </row>
    <row r="1474" spans="1:13">
      <c r="A1474" s="8">
        <v>42929</v>
      </c>
      <c r="B1474" s="9">
        <v>0.57500000000000007</v>
      </c>
      <c r="C1474" s="10" t="str">
        <f>"FES1162562384"</f>
        <v>FES1162562384</v>
      </c>
      <c r="D1474" s="10" t="s">
        <v>19</v>
      </c>
      <c r="E1474" s="10" t="s">
        <v>359</v>
      </c>
      <c r="F1474" s="10" t="str">
        <f>"217058975 "</f>
        <v xml:space="preserve">217058975 </v>
      </c>
      <c r="G1474" s="10" t="str">
        <f t="shared" si="62"/>
        <v>ON1</v>
      </c>
      <c r="H1474" s="10" t="s">
        <v>21</v>
      </c>
      <c r="I1474" s="10" t="s">
        <v>360</v>
      </c>
      <c r="J1474" s="10" t="str">
        <f>""</f>
        <v/>
      </c>
      <c r="K1474" s="10" t="str">
        <f>"PFES1162562384_0001"</f>
        <v>PFES1162562384_0001</v>
      </c>
      <c r="L1474" s="10">
        <v>1</v>
      </c>
      <c r="M1474" s="10">
        <v>1</v>
      </c>
    </row>
    <row r="1475" spans="1:13">
      <c r="A1475" s="8">
        <v>42929</v>
      </c>
      <c r="B1475" s="9">
        <v>0.57500000000000007</v>
      </c>
      <c r="C1475" s="10" t="str">
        <f>"FES1162562362"</f>
        <v>FES1162562362</v>
      </c>
      <c r="D1475" s="10" t="s">
        <v>19</v>
      </c>
      <c r="E1475" s="10" t="s">
        <v>376</v>
      </c>
      <c r="F1475" s="10" t="str">
        <f>"2170578953 "</f>
        <v xml:space="preserve">2170578953 </v>
      </c>
      <c r="G1475" s="10" t="str">
        <f t="shared" si="62"/>
        <v>ON1</v>
      </c>
      <c r="H1475" s="10" t="s">
        <v>21</v>
      </c>
      <c r="I1475" s="10" t="s">
        <v>377</v>
      </c>
      <c r="J1475" s="10" t="str">
        <f>""</f>
        <v/>
      </c>
      <c r="K1475" s="10" t="str">
        <f>"PFES1162562362_0001"</f>
        <v>PFES1162562362_0001</v>
      </c>
      <c r="L1475" s="10">
        <v>1</v>
      </c>
      <c r="M1475" s="10">
        <v>3</v>
      </c>
    </row>
    <row r="1476" spans="1:13">
      <c r="A1476" s="8">
        <v>42929</v>
      </c>
      <c r="B1476" s="9">
        <v>0.57430555555555551</v>
      </c>
      <c r="C1476" s="10" t="str">
        <f>"FES1162562262"</f>
        <v>FES1162562262</v>
      </c>
      <c r="D1476" s="10" t="s">
        <v>19</v>
      </c>
      <c r="E1476" s="10" t="s">
        <v>598</v>
      </c>
      <c r="F1476" s="10" t="str">
        <f>"2170578829 "</f>
        <v xml:space="preserve">2170578829 </v>
      </c>
      <c r="G1476" s="10" t="str">
        <f t="shared" si="62"/>
        <v>ON1</v>
      </c>
      <c r="H1476" s="10" t="s">
        <v>21</v>
      </c>
      <c r="I1476" s="10" t="s">
        <v>599</v>
      </c>
      <c r="J1476" s="10" t="str">
        <f>""</f>
        <v/>
      </c>
      <c r="K1476" s="10" t="str">
        <f>"PFES1162562262_0001"</f>
        <v>PFES1162562262_0001</v>
      </c>
      <c r="L1476" s="10">
        <v>1</v>
      </c>
      <c r="M1476" s="10">
        <v>15</v>
      </c>
    </row>
    <row r="1477" spans="1:13">
      <c r="A1477" s="8">
        <v>42929</v>
      </c>
      <c r="B1477" s="9">
        <v>0.57430555555555551</v>
      </c>
      <c r="C1477" s="10" t="str">
        <f>"FES1162562398"</f>
        <v>FES1162562398</v>
      </c>
      <c r="D1477" s="10" t="s">
        <v>19</v>
      </c>
      <c r="E1477" s="10" t="s">
        <v>802</v>
      </c>
      <c r="F1477" s="10" t="str">
        <f>"2170578987 "</f>
        <v xml:space="preserve">2170578987 </v>
      </c>
      <c r="G1477" s="10" t="str">
        <f t="shared" si="62"/>
        <v>ON1</v>
      </c>
      <c r="H1477" s="10" t="s">
        <v>21</v>
      </c>
      <c r="I1477" s="10" t="s">
        <v>803</v>
      </c>
      <c r="J1477" s="10" t="str">
        <f>""</f>
        <v/>
      </c>
      <c r="K1477" s="10" t="str">
        <f>"PFES1162562398_0001"</f>
        <v>PFES1162562398_0001</v>
      </c>
      <c r="L1477" s="10">
        <v>1</v>
      </c>
      <c r="M1477" s="10">
        <v>4</v>
      </c>
    </row>
    <row r="1478" spans="1:13">
      <c r="A1478" s="8">
        <v>42929</v>
      </c>
      <c r="B1478" s="9">
        <v>0.57361111111111118</v>
      </c>
      <c r="C1478" s="10" t="str">
        <f>"FES1162562405"</f>
        <v>FES1162562405</v>
      </c>
      <c r="D1478" s="10" t="s">
        <v>19</v>
      </c>
      <c r="E1478" s="10" t="s">
        <v>160</v>
      </c>
      <c r="F1478" s="10" t="str">
        <f>"2170578998 "</f>
        <v xml:space="preserve">2170578998 </v>
      </c>
      <c r="G1478" s="10" t="str">
        <f t="shared" si="62"/>
        <v>ON1</v>
      </c>
      <c r="H1478" s="10" t="s">
        <v>21</v>
      </c>
      <c r="I1478" s="10" t="s">
        <v>161</v>
      </c>
      <c r="J1478" s="10" t="str">
        <f>""</f>
        <v/>
      </c>
      <c r="K1478" s="10" t="str">
        <f>"PFES1162562405_0001"</f>
        <v>PFES1162562405_0001</v>
      </c>
      <c r="L1478" s="10">
        <v>1</v>
      </c>
      <c r="M1478" s="10">
        <v>1</v>
      </c>
    </row>
    <row r="1479" spans="1:13">
      <c r="A1479" s="8">
        <v>42929</v>
      </c>
      <c r="B1479" s="9">
        <v>0.57361111111111118</v>
      </c>
      <c r="C1479" s="10" t="str">
        <f>"FES1162562359"</f>
        <v>FES1162562359</v>
      </c>
      <c r="D1479" s="10" t="s">
        <v>19</v>
      </c>
      <c r="E1479" s="10" t="s">
        <v>180</v>
      </c>
      <c r="F1479" s="10" t="str">
        <f>"2170578950 "</f>
        <v xml:space="preserve">2170578950 </v>
      </c>
      <c r="G1479" s="10" t="str">
        <f t="shared" si="62"/>
        <v>ON1</v>
      </c>
      <c r="H1479" s="10" t="s">
        <v>21</v>
      </c>
      <c r="I1479" s="10" t="s">
        <v>168</v>
      </c>
      <c r="J1479" s="10" t="str">
        <f>""</f>
        <v/>
      </c>
      <c r="K1479" s="10" t="str">
        <f>"PFES1162562359_0001"</f>
        <v>PFES1162562359_0001</v>
      </c>
      <c r="L1479" s="10">
        <v>1</v>
      </c>
      <c r="M1479" s="10">
        <v>1</v>
      </c>
    </row>
    <row r="1480" spans="1:13">
      <c r="A1480" s="8">
        <v>42929</v>
      </c>
      <c r="B1480" s="9">
        <v>0.57291666666666663</v>
      </c>
      <c r="C1480" s="10" t="str">
        <f>"FES1162562411"</f>
        <v>FES1162562411</v>
      </c>
      <c r="D1480" s="10" t="s">
        <v>19</v>
      </c>
      <c r="E1480" s="10" t="s">
        <v>186</v>
      </c>
      <c r="F1480" s="10" t="str">
        <f>"2170579000 "</f>
        <v xml:space="preserve">2170579000 </v>
      </c>
      <c r="G1480" s="10" t="str">
        <f t="shared" si="62"/>
        <v>ON1</v>
      </c>
      <c r="H1480" s="10" t="s">
        <v>21</v>
      </c>
      <c r="I1480" s="10" t="s">
        <v>187</v>
      </c>
      <c r="J1480" s="10" t="str">
        <f>""</f>
        <v/>
      </c>
      <c r="K1480" s="10" t="str">
        <f>"PFES1162562411_0001"</f>
        <v>PFES1162562411_0001</v>
      </c>
      <c r="L1480" s="10">
        <v>1</v>
      </c>
      <c r="M1480" s="10">
        <v>1</v>
      </c>
    </row>
    <row r="1481" spans="1:13">
      <c r="A1481" s="8">
        <v>42929</v>
      </c>
      <c r="B1481" s="9">
        <v>0.57291666666666663</v>
      </c>
      <c r="C1481" s="10" t="str">
        <f>"FES1162562400"</f>
        <v>FES1162562400</v>
      </c>
      <c r="D1481" s="10" t="s">
        <v>19</v>
      </c>
      <c r="E1481" s="10" t="s">
        <v>521</v>
      </c>
      <c r="F1481" s="10" t="str">
        <f>"2170578992 "</f>
        <v xml:space="preserve">2170578992 </v>
      </c>
      <c r="G1481" s="10" t="str">
        <f t="shared" si="62"/>
        <v>ON1</v>
      </c>
      <c r="H1481" s="10" t="s">
        <v>21</v>
      </c>
      <c r="I1481" s="10" t="s">
        <v>215</v>
      </c>
      <c r="J1481" s="10" t="str">
        <f>""</f>
        <v/>
      </c>
      <c r="K1481" s="10" t="str">
        <f>"PFES1162562400_0001"</f>
        <v>PFES1162562400_0001</v>
      </c>
      <c r="L1481" s="10">
        <v>1</v>
      </c>
      <c r="M1481" s="10">
        <v>1</v>
      </c>
    </row>
    <row r="1482" spans="1:13">
      <c r="A1482" s="8">
        <v>42929</v>
      </c>
      <c r="B1482" s="9">
        <v>0.57222222222222219</v>
      </c>
      <c r="C1482" s="10" t="str">
        <f>"FES1162562401"</f>
        <v>FES1162562401</v>
      </c>
      <c r="D1482" s="10" t="s">
        <v>19</v>
      </c>
      <c r="E1482" s="10" t="s">
        <v>595</v>
      </c>
      <c r="F1482" s="10" t="str">
        <f>"2170578993 "</f>
        <v xml:space="preserve">2170578993 </v>
      </c>
      <c r="G1482" s="10" t="str">
        <f t="shared" si="62"/>
        <v>ON1</v>
      </c>
      <c r="H1482" s="10" t="s">
        <v>21</v>
      </c>
      <c r="I1482" s="10" t="s">
        <v>179</v>
      </c>
      <c r="J1482" s="10" t="str">
        <f>""</f>
        <v/>
      </c>
      <c r="K1482" s="10" t="str">
        <f>"PFES1162562401_0001"</f>
        <v>PFES1162562401_0001</v>
      </c>
      <c r="L1482" s="10">
        <v>1</v>
      </c>
      <c r="M1482" s="10">
        <v>1</v>
      </c>
    </row>
    <row r="1483" spans="1:13">
      <c r="A1483" s="8">
        <v>42929</v>
      </c>
      <c r="B1483" s="9">
        <v>0.57222222222222219</v>
      </c>
      <c r="C1483" s="10" t="str">
        <f>"FES1162562340"</f>
        <v>FES1162562340</v>
      </c>
      <c r="D1483" s="10" t="s">
        <v>19</v>
      </c>
      <c r="E1483" s="10" t="s">
        <v>804</v>
      </c>
      <c r="F1483" s="10" t="str">
        <f>"2170578924 "</f>
        <v xml:space="preserve">2170578924 </v>
      </c>
      <c r="G1483" s="10" t="str">
        <f t="shared" si="62"/>
        <v>ON1</v>
      </c>
      <c r="H1483" s="10" t="s">
        <v>21</v>
      </c>
      <c r="I1483" s="10" t="s">
        <v>24</v>
      </c>
      <c r="J1483" s="10" t="str">
        <f>""</f>
        <v/>
      </c>
      <c r="K1483" s="10" t="str">
        <f>"PFES1162562340_0001"</f>
        <v>PFES1162562340_0001</v>
      </c>
      <c r="L1483" s="10">
        <v>1</v>
      </c>
      <c r="M1483" s="10">
        <v>1</v>
      </c>
    </row>
    <row r="1484" spans="1:13">
      <c r="A1484" s="8">
        <v>42929</v>
      </c>
      <c r="B1484" s="9">
        <v>0.57222222222222219</v>
      </c>
      <c r="C1484" s="10" t="str">
        <f>"FES1162562344"</f>
        <v>FES1162562344</v>
      </c>
      <c r="D1484" s="10" t="s">
        <v>19</v>
      </c>
      <c r="E1484" s="10" t="s">
        <v>209</v>
      </c>
      <c r="F1484" s="10" t="str">
        <f>"2170578931 "</f>
        <v xml:space="preserve">2170578931 </v>
      </c>
      <c r="G1484" s="10" t="str">
        <f t="shared" si="62"/>
        <v>ON1</v>
      </c>
      <c r="H1484" s="10" t="s">
        <v>21</v>
      </c>
      <c r="I1484" s="10" t="s">
        <v>196</v>
      </c>
      <c r="J1484" s="10" t="str">
        <f>""</f>
        <v/>
      </c>
      <c r="K1484" s="10" t="str">
        <f>"PFES1162562344_0001"</f>
        <v>PFES1162562344_0001</v>
      </c>
      <c r="L1484" s="10">
        <v>1</v>
      </c>
      <c r="M1484" s="10">
        <v>1</v>
      </c>
    </row>
    <row r="1485" spans="1:13">
      <c r="A1485" s="8">
        <v>42929</v>
      </c>
      <c r="B1485" s="9">
        <v>0.57152777777777775</v>
      </c>
      <c r="C1485" s="10" t="str">
        <f>"FES1162562342"</f>
        <v>FES1162562342</v>
      </c>
      <c r="D1485" s="10" t="s">
        <v>19</v>
      </c>
      <c r="E1485" s="10" t="s">
        <v>466</v>
      </c>
      <c r="F1485" s="10" t="str">
        <f>"2170578927 "</f>
        <v xml:space="preserve">2170578927 </v>
      </c>
      <c r="G1485" s="10" t="str">
        <f t="shared" si="62"/>
        <v>ON1</v>
      </c>
      <c r="H1485" s="10" t="s">
        <v>21</v>
      </c>
      <c r="I1485" s="10" t="s">
        <v>467</v>
      </c>
      <c r="J1485" s="10" t="str">
        <f>""</f>
        <v/>
      </c>
      <c r="K1485" s="10" t="str">
        <f>"PFES1162562342_0001"</f>
        <v>PFES1162562342_0001</v>
      </c>
      <c r="L1485" s="10">
        <v>1</v>
      </c>
      <c r="M1485" s="10">
        <v>1</v>
      </c>
    </row>
    <row r="1486" spans="1:13">
      <c r="A1486" s="8">
        <v>42929</v>
      </c>
      <c r="B1486" s="9">
        <v>0.57152777777777775</v>
      </c>
      <c r="C1486" s="10" t="str">
        <f>"FES1162562274"</f>
        <v>FES1162562274</v>
      </c>
      <c r="D1486" s="10" t="s">
        <v>19</v>
      </c>
      <c r="E1486" s="10" t="s">
        <v>805</v>
      </c>
      <c r="F1486" s="10" t="str">
        <f>"2170578843 "</f>
        <v xml:space="preserve">2170578843 </v>
      </c>
      <c r="G1486" s="10" t="str">
        <f t="shared" si="62"/>
        <v>ON1</v>
      </c>
      <c r="H1486" s="10" t="s">
        <v>21</v>
      </c>
      <c r="I1486" s="10" t="s">
        <v>70</v>
      </c>
      <c r="J1486" s="10" t="str">
        <f>""</f>
        <v/>
      </c>
      <c r="K1486" s="10" t="str">
        <f>"PFES1162562274_0001"</f>
        <v>PFES1162562274_0001</v>
      </c>
      <c r="L1486" s="10">
        <v>1</v>
      </c>
      <c r="M1486" s="10">
        <v>1</v>
      </c>
    </row>
    <row r="1487" spans="1:13">
      <c r="A1487" s="8">
        <v>42929</v>
      </c>
      <c r="B1487" s="9">
        <v>0.57152777777777775</v>
      </c>
      <c r="C1487" s="10" t="str">
        <f>"FES1162562313"</f>
        <v>FES1162562313</v>
      </c>
      <c r="D1487" s="10" t="s">
        <v>19</v>
      </c>
      <c r="E1487" s="10" t="s">
        <v>288</v>
      </c>
      <c r="F1487" s="10" t="str">
        <f>"21705778855 "</f>
        <v xml:space="preserve">21705778855 </v>
      </c>
      <c r="G1487" s="10" t="str">
        <f t="shared" si="62"/>
        <v>ON1</v>
      </c>
      <c r="H1487" s="10" t="s">
        <v>21</v>
      </c>
      <c r="I1487" s="10" t="s">
        <v>412</v>
      </c>
      <c r="J1487" s="10" t="str">
        <f>""</f>
        <v/>
      </c>
      <c r="K1487" s="10" t="str">
        <f>"PFES1162562313_0001"</f>
        <v>PFES1162562313_0001</v>
      </c>
      <c r="L1487" s="10">
        <v>1</v>
      </c>
      <c r="M1487" s="10">
        <v>1</v>
      </c>
    </row>
    <row r="1488" spans="1:13">
      <c r="A1488" s="8">
        <v>42929</v>
      </c>
      <c r="B1488" s="9">
        <v>0.5708333333333333</v>
      </c>
      <c r="C1488" s="10" t="str">
        <f>"FES1162562310"</f>
        <v>FES1162562310</v>
      </c>
      <c r="D1488" s="10" t="s">
        <v>19</v>
      </c>
      <c r="E1488" s="10" t="s">
        <v>33</v>
      </c>
      <c r="F1488" s="10" t="str">
        <f>"2170578886 "</f>
        <v xml:space="preserve">2170578886 </v>
      </c>
      <c r="G1488" s="10" t="str">
        <f t="shared" si="62"/>
        <v>ON1</v>
      </c>
      <c r="H1488" s="10" t="s">
        <v>21</v>
      </c>
      <c r="I1488" s="10" t="s">
        <v>34</v>
      </c>
      <c r="J1488" s="10" t="str">
        <f>""</f>
        <v/>
      </c>
      <c r="K1488" s="10" t="str">
        <f>"PFES1162562310_0001"</f>
        <v>PFES1162562310_0001</v>
      </c>
      <c r="L1488" s="10">
        <v>1</v>
      </c>
      <c r="M1488" s="10">
        <v>1</v>
      </c>
    </row>
    <row r="1489" spans="1:13">
      <c r="A1489" s="8">
        <v>42929</v>
      </c>
      <c r="B1489" s="9">
        <v>0.5708333333333333</v>
      </c>
      <c r="C1489" s="10" t="str">
        <f>"FES1162562431"</f>
        <v>FES1162562431</v>
      </c>
      <c r="D1489" s="10" t="s">
        <v>19</v>
      </c>
      <c r="E1489" s="10" t="s">
        <v>806</v>
      </c>
      <c r="F1489" s="10" t="str">
        <f>"2170579024 "</f>
        <v xml:space="preserve">2170579024 </v>
      </c>
      <c r="G1489" s="10" t="str">
        <f t="shared" si="62"/>
        <v>ON1</v>
      </c>
      <c r="H1489" s="10" t="s">
        <v>21</v>
      </c>
      <c r="I1489" s="10" t="s">
        <v>130</v>
      </c>
      <c r="J1489" s="10" t="str">
        <f>""</f>
        <v/>
      </c>
      <c r="K1489" s="10" t="str">
        <f>"PFES1162562431_0001"</f>
        <v>PFES1162562431_0001</v>
      </c>
      <c r="L1489" s="10">
        <v>1</v>
      </c>
      <c r="M1489" s="10">
        <v>1</v>
      </c>
    </row>
    <row r="1490" spans="1:13">
      <c r="A1490" s="8">
        <v>42929</v>
      </c>
      <c r="B1490" s="9">
        <v>0.53263888888888888</v>
      </c>
      <c r="C1490" s="10" t="str">
        <f>"FES1162562351"</f>
        <v>FES1162562351</v>
      </c>
      <c r="D1490" s="10" t="s">
        <v>19</v>
      </c>
      <c r="E1490" s="10" t="s">
        <v>272</v>
      </c>
      <c r="F1490" s="10" t="str">
        <f>"2170578930 "</f>
        <v xml:space="preserve">2170578930 </v>
      </c>
      <c r="G1490" s="10" t="str">
        <f t="shared" si="62"/>
        <v>ON1</v>
      </c>
      <c r="H1490" s="10" t="s">
        <v>21</v>
      </c>
      <c r="I1490" s="10" t="s">
        <v>166</v>
      </c>
      <c r="J1490" s="10" t="str">
        <f>""</f>
        <v/>
      </c>
      <c r="K1490" s="10" t="str">
        <f>"PFES1162562351_0001"</f>
        <v>PFES1162562351_0001</v>
      </c>
      <c r="L1490" s="10">
        <v>1</v>
      </c>
      <c r="M1490" s="10">
        <v>1</v>
      </c>
    </row>
    <row r="1491" spans="1:13">
      <c r="A1491" s="8">
        <v>42929</v>
      </c>
      <c r="B1491" s="9">
        <v>0.53263888888888888</v>
      </c>
      <c r="C1491" s="10" t="str">
        <f>"FES1162562383"</f>
        <v>FES1162562383</v>
      </c>
      <c r="D1491" s="10" t="s">
        <v>19</v>
      </c>
      <c r="E1491" s="10" t="s">
        <v>154</v>
      </c>
      <c r="F1491" s="10" t="str">
        <f>"2170577507 "</f>
        <v xml:space="preserve">2170577507 </v>
      </c>
      <c r="G1491" s="10" t="str">
        <f t="shared" si="62"/>
        <v>ON1</v>
      </c>
      <c r="H1491" s="10" t="s">
        <v>21</v>
      </c>
      <c r="I1491" s="10" t="s">
        <v>130</v>
      </c>
      <c r="J1491" s="10" t="str">
        <f>""</f>
        <v/>
      </c>
      <c r="K1491" s="10" t="str">
        <f>"PFES1162562383_0001"</f>
        <v>PFES1162562383_0001</v>
      </c>
      <c r="L1491" s="10">
        <v>1</v>
      </c>
      <c r="M1491" s="10">
        <v>1</v>
      </c>
    </row>
    <row r="1492" spans="1:13">
      <c r="A1492" s="8">
        <v>42929</v>
      </c>
      <c r="B1492" s="9">
        <v>0.53125</v>
      </c>
      <c r="C1492" s="10" t="str">
        <f>"FES1162562266"</f>
        <v>FES1162562266</v>
      </c>
      <c r="D1492" s="10" t="s">
        <v>19</v>
      </c>
      <c r="E1492" s="10" t="s">
        <v>220</v>
      </c>
      <c r="F1492" s="10" t="str">
        <f>"2170575816 "</f>
        <v xml:space="preserve">2170575816 </v>
      </c>
      <c r="G1492" s="10" t="str">
        <f t="shared" si="62"/>
        <v>ON1</v>
      </c>
      <c r="H1492" s="10" t="s">
        <v>21</v>
      </c>
      <c r="I1492" s="10" t="s">
        <v>24</v>
      </c>
      <c r="J1492" s="10" t="str">
        <f>""</f>
        <v/>
      </c>
      <c r="K1492" s="10" t="str">
        <f>"PFES1162562266_0001"</f>
        <v>PFES1162562266_0001</v>
      </c>
      <c r="L1492" s="10">
        <v>1</v>
      </c>
      <c r="M1492" s="10">
        <v>6</v>
      </c>
    </row>
    <row r="1493" spans="1:13">
      <c r="A1493" s="8">
        <v>42929</v>
      </c>
      <c r="B1493" s="9">
        <v>0.53125</v>
      </c>
      <c r="C1493" s="10" t="str">
        <f>"FES1162562350"</f>
        <v>FES1162562350</v>
      </c>
      <c r="D1493" s="10" t="s">
        <v>19</v>
      </c>
      <c r="E1493" s="10" t="s">
        <v>272</v>
      </c>
      <c r="F1493" s="10" t="str">
        <f>"217058925 "</f>
        <v xml:space="preserve">217058925 </v>
      </c>
      <c r="G1493" s="10" t="str">
        <f t="shared" si="62"/>
        <v>ON1</v>
      </c>
      <c r="H1493" s="10" t="s">
        <v>21</v>
      </c>
      <c r="I1493" s="10" t="s">
        <v>166</v>
      </c>
      <c r="J1493" s="10" t="str">
        <f>""</f>
        <v/>
      </c>
      <c r="K1493" s="10" t="str">
        <f>"PFES1162562350_0001"</f>
        <v>PFES1162562350_0001</v>
      </c>
      <c r="L1493" s="10">
        <v>1</v>
      </c>
      <c r="M1493" s="10">
        <v>2</v>
      </c>
    </row>
    <row r="1494" spans="1:13">
      <c r="A1494" s="8">
        <v>42929</v>
      </c>
      <c r="B1494" s="9">
        <v>0.53055555555555556</v>
      </c>
      <c r="C1494" s="10" t="str">
        <f>"FES1162562392"</f>
        <v>FES1162562392</v>
      </c>
      <c r="D1494" s="10" t="s">
        <v>19</v>
      </c>
      <c r="E1494" s="10" t="s">
        <v>765</v>
      </c>
      <c r="F1494" s="10" t="str">
        <f>"2170578984 "</f>
        <v xml:space="preserve">2170578984 </v>
      </c>
      <c r="G1494" s="10" t="str">
        <f t="shared" si="62"/>
        <v>ON1</v>
      </c>
      <c r="H1494" s="10" t="s">
        <v>21</v>
      </c>
      <c r="I1494" s="10" t="s">
        <v>563</v>
      </c>
      <c r="J1494" s="10" t="str">
        <f>""</f>
        <v/>
      </c>
      <c r="K1494" s="10" t="str">
        <f>"PFES1162562392_0001"</f>
        <v>PFES1162562392_0001</v>
      </c>
      <c r="L1494" s="10">
        <v>1</v>
      </c>
      <c r="M1494" s="10">
        <v>7</v>
      </c>
    </row>
    <row r="1495" spans="1:13">
      <c r="A1495" s="8">
        <v>42929</v>
      </c>
      <c r="B1495" s="9">
        <v>0.52847222222222223</v>
      </c>
      <c r="C1495" s="10" t="str">
        <f>"FES1162562292"</f>
        <v>FES1162562292</v>
      </c>
      <c r="D1495" s="10" t="s">
        <v>19</v>
      </c>
      <c r="E1495" s="10" t="s">
        <v>755</v>
      </c>
      <c r="F1495" s="10" t="str">
        <f>"1162561502 "</f>
        <v xml:space="preserve">1162561502 </v>
      </c>
      <c r="G1495" s="10" t="str">
        <f t="shared" si="62"/>
        <v>ON1</v>
      </c>
      <c r="H1495" s="10" t="s">
        <v>21</v>
      </c>
      <c r="I1495" s="10" t="s">
        <v>228</v>
      </c>
      <c r="J1495" s="10" t="str">
        <f>""</f>
        <v/>
      </c>
      <c r="K1495" s="10" t="str">
        <f>"PFES1162562292_0001"</f>
        <v>PFES1162562292_0001</v>
      </c>
      <c r="L1495" s="10">
        <v>1</v>
      </c>
      <c r="M1495" s="10">
        <v>7</v>
      </c>
    </row>
    <row r="1496" spans="1:13">
      <c r="A1496" s="8">
        <v>42929</v>
      </c>
      <c r="B1496" s="9">
        <v>0.52708333333333335</v>
      </c>
      <c r="C1496" s="10" t="str">
        <f>"FES1162562283"</f>
        <v>FES1162562283</v>
      </c>
      <c r="D1496" s="10" t="s">
        <v>19</v>
      </c>
      <c r="E1496" s="10" t="s">
        <v>403</v>
      </c>
      <c r="F1496" s="10" t="str">
        <f>"2170578850 "</f>
        <v xml:space="preserve">2170578850 </v>
      </c>
      <c r="G1496" s="10" t="str">
        <f t="shared" si="62"/>
        <v>ON1</v>
      </c>
      <c r="H1496" s="10" t="s">
        <v>21</v>
      </c>
      <c r="I1496" s="10" t="s">
        <v>222</v>
      </c>
      <c r="J1496" s="10" t="str">
        <f>""</f>
        <v/>
      </c>
      <c r="K1496" s="10" t="str">
        <f>"PFES1162562283_0001"</f>
        <v>PFES1162562283_0001</v>
      </c>
      <c r="L1496" s="10">
        <v>1</v>
      </c>
      <c r="M1496" s="10">
        <v>1</v>
      </c>
    </row>
    <row r="1497" spans="1:13">
      <c r="A1497" s="8">
        <v>42929</v>
      </c>
      <c r="B1497" s="9">
        <v>0.52638888888888891</v>
      </c>
      <c r="C1497" s="10" t="str">
        <f>"FES1162562272"</f>
        <v>FES1162562272</v>
      </c>
      <c r="D1497" s="10" t="s">
        <v>19</v>
      </c>
      <c r="E1497" s="10" t="s">
        <v>110</v>
      </c>
      <c r="F1497" s="10" t="str">
        <f>"2170578840 "</f>
        <v xml:space="preserve">2170578840 </v>
      </c>
      <c r="G1497" s="10" t="str">
        <f t="shared" si="62"/>
        <v>ON1</v>
      </c>
      <c r="H1497" s="10" t="s">
        <v>21</v>
      </c>
      <c r="I1497" s="10" t="s">
        <v>111</v>
      </c>
      <c r="J1497" s="10" t="str">
        <f>""</f>
        <v/>
      </c>
      <c r="K1497" s="10" t="str">
        <f>"PFES1162562272_0001"</f>
        <v>PFES1162562272_0001</v>
      </c>
      <c r="L1497" s="10">
        <v>1</v>
      </c>
      <c r="M1497" s="10">
        <v>1</v>
      </c>
    </row>
    <row r="1498" spans="1:13">
      <c r="A1498" s="8">
        <v>42929</v>
      </c>
      <c r="B1498" s="9">
        <v>0.52500000000000002</v>
      </c>
      <c r="C1498" s="10" t="str">
        <f>"FES1162562270"</f>
        <v>FES1162562270</v>
      </c>
      <c r="D1498" s="10" t="s">
        <v>19</v>
      </c>
      <c r="E1498" s="10" t="s">
        <v>245</v>
      </c>
      <c r="F1498" s="10" t="str">
        <f>"2170578837 "</f>
        <v xml:space="preserve">2170578837 </v>
      </c>
      <c r="G1498" s="10" t="str">
        <f t="shared" si="62"/>
        <v>ON1</v>
      </c>
      <c r="H1498" s="10" t="s">
        <v>21</v>
      </c>
      <c r="I1498" s="10" t="s">
        <v>246</v>
      </c>
      <c r="J1498" s="10" t="str">
        <f>""</f>
        <v/>
      </c>
      <c r="K1498" s="10" t="str">
        <f>"PFES1162562270_0001"</f>
        <v>PFES1162562270_0001</v>
      </c>
      <c r="L1498" s="10">
        <v>1</v>
      </c>
      <c r="M1498" s="10">
        <v>1</v>
      </c>
    </row>
    <row r="1499" spans="1:13">
      <c r="A1499" s="8">
        <v>42929</v>
      </c>
      <c r="B1499" s="9">
        <v>0.5229166666666667</v>
      </c>
      <c r="C1499" s="10" t="str">
        <f>"FES1162562323"</f>
        <v>FES1162562323</v>
      </c>
      <c r="D1499" s="10" t="s">
        <v>19</v>
      </c>
      <c r="E1499" s="10" t="s">
        <v>218</v>
      </c>
      <c r="F1499" s="10" t="str">
        <f>"217058902 "</f>
        <v xml:space="preserve">217058902 </v>
      </c>
      <c r="G1499" s="10" t="str">
        <f t="shared" si="62"/>
        <v>ON1</v>
      </c>
      <c r="H1499" s="10" t="s">
        <v>21</v>
      </c>
      <c r="I1499" s="10" t="s">
        <v>219</v>
      </c>
      <c r="J1499" s="10" t="str">
        <f>""</f>
        <v/>
      </c>
      <c r="K1499" s="10" t="str">
        <f>"PFES1162562323_0001"</f>
        <v>PFES1162562323_0001</v>
      </c>
      <c r="L1499" s="10">
        <v>1</v>
      </c>
      <c r="M1499" s="10">
        <v>6</v>
      </c>
    </row>
    <row r="1500" spans="1:13">
      <c r="A1500" s="8">
        <v>42929</v>
      </c>
      <c r="B1500" s="9">
        <v>0.52222222222222225</v>
      </c>
      <c r="C1500" s="10" t="str">
        <f>"FES1162562309"</f>
        <v>FES1162562309</v>
      </c>
      <c r="D1500" s="10" t="s">
        <v>19</v>
      </c>
      <c r="E1500" s="10" t="s">
        <v>324</v>
      </c>
      <c r="F1500" s="10" t="str">
        <f>"2170578857 "</f>
        <v xml:space="preserve">2170578857 </v>
      </c>
      <c r="G1500" s="10" t="str">
        <f t="shared" si="62"/>
        <v>ON1</v>
      </c>
      <c r="H1500" s="10" t="s">
        <v>21</v>
      </c>
      <c r="I1500" s="10" t="s">
        <v>325</v>
      </c>
      <c r="J1500" s="10" t="str">
        <f>""</f>
        <v/>
      </c>
      <c r="K1500" s="10" t="str">
        <f>"PFES1162562309_0001"</f>
        <v>PFES1162562309_0001</v>
      </c>
      <c r="L1500" s="10">
        <v>1</v>
      </c>
      <c r="M1500" s="10">
        <v>3</v>
      </c>
    </row>
    <row r="1501" spans="1:13">
      <c r="A1501" s="8">
        <v>42929</v>
      </c>
      <c r="B1501" s="9">
        <v>0.52222222222222225</v>
      </c>
      <c r="C1501" s="10" t="str">
        <f>"FES1162562296"</f>
        <v>FES1162562296</v>
      </c>
      <c r="D1501" s="10" t="s">
        <v>19</v>
      </c>
      <c r="E1501" s="10" t="s">
        <v>466</v>
      </c>
      <c r="F1501" s="10" t="str">
        <f>"2170578868 "</f>
        <v xml:space="preserve">2170578868 </v>
      </c>
      <c r="G1501" s="10" t="str">
        <f t="shared" si="62"/>
        <v>ON1</v>
      </c>
      <c r="H1501" s="10" t="s">
        <v>21</v>
      </c>
      <c r="I1501" s="10" t="s">
        <v>467</v>
      </c>
      <c r="J1501" s="10" t="str">
        <f>""</f>
        <v/>
      </c>
      <c r="K1501" s="10" t="str">
        <f>"PFES1162562296_0001"</f>
        <v>PFES1162562296_0001</v>
      </c>
      <c r="L1501" s="10">
        <v>1</v>
      </c>
      <c r="M1501" s="10">
        <v>5</v>
      </c>
    </row>
    <row r="1502" spans="1:13">
      <c r="A1502" s="8">
        <v>42929</v>
      </c>
      <c r="B1502" s="9">
        <v>0.52152777777777781</v>
      </c>
      <c r="C1502" s="10" t="str">
        <f>"FES1162562312"</f>
        <v>FES1162562312</v>
      </c>
      <c r="D1502" s="10" t="s">
        <v>19</v>
      </c>
      <c r="E1502" s="10" t="s">
        <v>295</v>
      </c>
      <c r="F1502" s="10" t="str">
        <f>"2170577080 "</f>
        <v xml:space="preserve">2170577080 </v>
      </c>
      <c r="G1502" s="10" t="str">
        <f t="shared" si="62"/>
        <v>ON1</v>
      </c>
      <c r="H1502" s="10" t="s">
        <v>21</v>
      </c>
      <c r="I1502" s="10" t="s">
        <v>179</v>
      </c>
      <c r="J1502" s="10" t="str">
        <f>""</f>
        <v/>
      </c>
      <c r="K1502" s="10" t="str">
        <f>"PFES1162562312_0001"</f>
        <v>PFES1162562312_0001</v>
      </c>
      <c r="L1502" s="10">
        <v>1</v>
      </c>
      <c r="M1502" s="10">
        <v>2</v>
      </c>
    </row>
    <row r="1503" spans="1:13">
      <c r="A1503" s="8">
        <v>42929</v>
      </c>
      <c r="B1503" s="9">
        <v>0.52152777777777781</v>
      </c>
      <c r="C1503" s="10" t="str">
        <f>"FES1162562269"</f>
        <v>FES1162562269</v>
      </c>
      <c r="D1503" s="10" t="s">
        <v>19</v>
      </c>
      <c r="E1503" s="10" t="s">
        <v>390</v>
      </c>
      <c r="F1503" s="10" t="str">
        <f>"2170578836 "</f>
        <v xml:space="preserve">2170578836 </v>
      </c>
      <c r="G1503" s="10" t="str">
        <f t="shared" si="62"/>
        <v>ON1</v>
      </c>
      <c r="H1503" s="10" t="s">
        <v>21</v>
      </c>
      <c r="I1503" s="10" t="s">
        <v>300</v>
      </c>
      <c r="J1503" s="10" t="str">
        <f>""</f>
        <v/>
      </c>
      <c r="K1503" s="10" t="str">
        <f>"PFES1162562269_0001"</f>
        <v>PFES1162562269_0001</v>
      </c>
      <c r="L1503" s="10">
        <v>1</v>
      </c>
      <c r="M1503" s="10">
        <v>3</v>
      </c>
    </row>
    <row r="1504" spans="1:13">
      <c r="A1504" s="8">
        <v>42929</v>
      </c>
      <c r="B1504" s="9">
        <v>0.52083333333333337</v>
      </c>
      <c r="C1504" s="10" t="str">
        <f>"FES1162562237"</f>
        <v>FES1162562237</v>
      </c>
      <c r="D1504" s="10" t="s">
        <v>19</v>
      </c>
      <c r="E1504" s="10" t="s">
        <v>154</v>
      </c>
      <c r="F1504" s="10" t="str">
        <f>"2170578286 "</f>
        <v xml:space="preserve">2170578286 </v>
      </c>
      <c r="G1504" s="10" t="str">
        <f t="shared" si="62"/>
        <v>ON1</v>
      </c>
      <c r="H1504" s="10" t="s">
        <v>21</v>
      </c>
      <c r="I1504" s="10" t="s">
        <v>130</v>
      </c>
      <c r="J1504" s="10" t="str">
        <f>""</f>
        <v/>
      </c>
      <c r="K1504" s="10" t="str">
        <f>"PFES1162562237_0001"</f>
        <v>PFES1162562237_0001</v>
      </c>
      <c r="L1504" s="10">
        <v>1</v>
      </c>
      <c r="M1504" s="10">
        <v>1</v>
      </c>
    </row>
    <row r="1505" spans="1:13">
      <c r="A1505" s="8">
        <v>42929</v>
      </c>
      <c r="B1505" s="9">
        <v>0.52083333333333337</v>
      </c>
      <c r="C1505" s="10" t="str">
        <f>"FES1162562301"</f>
        <v>FES1162562301</v>
      </c>
      <c r="D1505" s="10" t="s">
        <v>19</v>
      </c>
      <c r="E1505" s="10" t="s">
        <v>431</v>
      </c>
      <c r="F1505" s="10" t="str">
        <f>"2170578878 "</f>
        <v xml:space="preserve">2170578878 </v>
      </c>
      <c r="G1505" s="10" t="str">
        <f t="shared" si="62"/>
        <v>ON1</v>
      </c>
      <c r="H1505" s="10" t="s">
        <v>21</v>
      </c>
      <c r="I1505" s="10" t="s">
        <v>179</v>
      </c>
      <c r="J1505" s="10" t="str">
        <f>""</f>
        <v/>
      </c>
      <c r="K1505" s="10" t="str">
        <f>"PFES1162562301_0001"</f>
        <v>PFES1162562301_0001</v>
      </c>
      <c r="L1505" s="10">
        <v>1</v>
      </c>
      <c r="M1505" s="10">
        <v>1</v>
      </c>
    </row>
    <row r="1506" spans="1:13">
      <c r="A1506" s="8">
        <v>42929</v>
      </c>
      <c r="B1506" s="9">
        <v>0.52083333333333337</v>
      </c>
      <c r="C1506" s="10" t="str">
        <f>"FES1162562333"</f>
        <v>FES1162562333</v>
      </c>
      <c r="D1506" s="10" t="s">
        <v>19</v>
      </c>
      <c r="E1506" s="10" t="s">
        <v>287</v>
      </c>
      <c r="F1506" s="10" t="str">
        <f>"217058914 "</f>
        <v xml:space="preserve">217058914 </v>
      </c>
      <c r="G1506" s="10" t="str">
        <f t="shared" si="62"/>
        <v>ON1</v>
      </c>
      <c r="H1506" s="10" t="s">
        <v>21</v>
      </c>
      <c r="I1506" s="10" t="s">
        <v>177</v>
      </c>
      <c r="J1506" s="10" t="str">
        <f>""</f>
        <v/>
      </c>
      <c r="K1506" s="10" t="str">
        <f>"PFES1162562333_0001"</f>
        <v>PFES1162562333_0001</v>
      </c>
      <c r="L1506" s="10">
        <v>1</v>
      </c>
      <c r="M1506" s="10">
        <v>1</v>
      </c>
    </row>
    <row r="1507" spans="1:13">
      <c r="A1507" s="8">
        <v>42929</v>
      </c>
      <c r="B1507" s="9">
        <v>0.52013888888888882</v>
      </c>
      <c r="C1507" s="10" t="str">
        <f>"FES1162562257"</f>
        <v>FES1162562257</v>
      </c>
      <c r="D1507" s="10" t="s">
        <v>19</v>
      </c>
      <c r="E1507" s="10" t="s">
        <v>550</v>
      </c>
      <c r="F1507" s="10" t="str">
        <f>"2170578826 "</f>
        <v xml:space="preserve">2170578826 </v>
      </c>
      <c r="G1507" s="10" t="str">
        <f t="shared" ref="G1507:G1519" si="63">"ON1"</f>
        <v>ON1</v>
      </c>
      <c r="H1507" s="10" t="s">
        <v>21</v>
      </c>
      <c r="I1507" s="10" t="s">
        <v>161</v>
      </c>
      <c r="J1507" s="10" t="str">
        <f>""</f>
        <v/>
      </c>
      <c r="K1507" s="10" t="str">
        <f>"PFES1162562257_0001"</f>
        <v>PFES1162562257_0001</v>
      </c>
      <c r="L1507" s="10">
        <v>1</v>
      </c>
      <c r="M1507" s="10">
        <v>1</v>
      </c>
    </row>
    <row r="1508" spans="1:13">
      <c r="A1508" s="8">
        <v>42929</v>
      </c>
      <c r="B1508" s="9">
        <v>0.52013888888888882</v>
      </c>
      <c r="C1508" s="10" t="str">
        <f>"FES1162562349"</f>
        <v>FES1162562349</v>
      </c>
      <c r="D1508" s="10" t="s">
        <v>19</v>
      </c>
      <c r="E1508" s="10" t="s">
        <v>494</v>
      </c>
      <c r="F1508" s="10" t="str">
        <f>"217058948 "</f>
        <v xml:space="preserve">217058948 </v>
      </c>
      <c r="G1508" s="10" t="str">
        <f t="shared" si="63"/>
        <v>ON1</v>
      </c>
      <c r="H1508" s="10" t="s">
        <v>21</v>
      </c>
      <c r="I1508" s="10" t="s">
        <v>495</v>
      </c>
      <c r="J1508" s="10" t="str">
        <f>""</f>
        <v/>
      </c>
      <c r="K1508" s="10" t="str">
        <f>"PFES1162562349_0001"</f>
        <v>PFES1162562349_0001</v>
      </c>
      <c r="L1508" s="10">
        <v>1</v>
      </c>
      <c r="M1508" s="10">
        <v>1</v>
      </c>
    </row>
    <row r="1509" spans="1:13">
      <c r="A1509" s="8">
        <v>42929</v>
      </c>
      <c r="B1509" s="9">
        <v>0.52013888888888882</v>
      </c>
      <c r="C1509" s="10" t="str">
        <f>"FES1162562321"</f>
        <v>FES1162562321</v>
      </c>
      <c r="D1509" s="10" t="s">
        <v>19</v>
      </c>
      <c r="E1509" s="10" t="s">
        <v>295</v>
      </c>
      <c r="F1509" s="10" t="str">
        <f>"217058900 "</f>
        <v xml:space="preserve">217058900 </v>
      </c>
      <c r="G1509" s="10" t="str">
        <f t="shared" si="63"/>
        <v>ON1</v>
      </c>
      <c r="H1509" s="10" t="s">
        <v>21</v>
      </c>
      <c r="I1509" s="10" t="s">
        <v>179</v>
      </c>
      <c r="J1509" s="10" t="str">
        <f>""</f>
        <v/>
      </c>
      <c r="K1509" s="10" t="str">
        <f>"PFES1162562321_0001"</f>
        <v>PFES1162562321_0001</v>
      </c>
      <c r="L1509" s="10">
        <v>1</v>
      </c>
      <c r="M1509" s="10">
        <v>1</v>
      </c>
    </row>
    <row r="1510" spans="1:13">
      <c r="A1510" s="8">
        <v>42929</v>
      </c>
      <c r="B1510" s="9">
        <v>0.51944444444444449</v>
      </c>
      <c r="C1510" s="10" t="str">
        <f>"FES1162562220"</f>
        <v>FES1162562220</v>
      </c>
      <c r="D1510" s="10" t="s">
        <v>19</v>
      </c>
      <c r="E1510" s="10" t="s">
        <v>129</v>
      </c>
      <c r="F1510" s="10" t="str">
        <f>"2170576860 "</f>
        <v xml:space="preserve">2170576860 </v>
      </c>
      <c r="G1510" s="10" t="str">
        <f t="shared" si="63"/>
        <v>ON1</v>
      </c>
      <c r="H1510" s="10" t="s">
        <v>21</v>
      </c>
      <c r="I1510" s="10" t="s">
        <v>130</v>
      </c>
      <c r="J1510" s="10" t="str">
        <f>""</f>
        <v/>
      </c>
      <c r="K1510" s="10" t="str">
        <f>"PFES1162562220_0001"</f>
        <v>PFES1162562220_0001</v>
      </c>
      <c r="L1510" s="10">
        <v>1</v>
      </c>
      <c r="M1510" s="10">
        <v>1</v>
      </c>
    </row>
    <row r="1511" spans="1:13">
      <c r="A1511" s="8">
        <v>42929</v>
      </c>
      <c r="B1511" s="9">
        <v>0.51944444444444449</v>
      </c>
      <c r="C1511" s="10" t="str">
        <f>"FES1162562332"</f>
        <v>FES1162562332</v>
      </c>
      <c r="D1511" s="10" t="s">
        <v>19</v>
      </c>
      <c r="E1511" s="10" t="s">
        <v>323</v>
      </c>
      <c r="F1511" s="10" t="str">
        <f>"217058909 "</f>
        <v xml:space="preserve">217058909 </v>
      </c>
      <c r="G1511" s="10" t="str">
        <f t="shared" si="63"/>
        <v>ON1</v>
      </c>
      <c r="H1511" s="10" t="s">
        <v>21</v>
      </c>
      <c r="I1511" s="10" t="s">
        <v>75</v>
      </c>
      <c r="J1511" s="10" t="str">
        <f>""</f>
        <v/>
      </c>
      <c r="K1511" s="10" t="str">
        <f>"PFES1162562332_0001"</f>
        <v>PFES1162562332_0001</v>
      </c>
      <c r="L1511" s="10">
        <v>1</v>
      </c>
      <c r="M1511" s="10">
        <v>1.22</v>
      </c>
    </row>
    <row r="1512" spans="1:13">
      <c r="A1512" s="8">
        <v>42929</v>
      </c>
      <c r="B1512" s="9">
        <v>0.51944444444444449</v>
      </c>
      <c r="C1512" s="10" t="str">
        <f>"FES1162562228"</f>
        <v>FES1162562228</v>
      </c>
      <c r="D1512" s="10" t="s">
        <v>19</v>
      </c>
      <c r="E1512" s="10" t="s">
        <v>807</v>
      </c>
      <c r="F1512" s="10" t="str">
        <f>"2170586958 "</f>
        <v xml:space="preserve">2170586958 </v>
      </c>
      <c r="G1512" s="10" t="str">
        <f t="shared" si="63"/>
        <v>ON1</v>
      </c>
      <c r="H1512" s="10" t="s">
        <v>21</v>
      </c>
      <c r="I1512" s="10" t="s">
        <v>739</v>
      </c>
      <c r="J1512" s="10" t="str">
        <f>""</f>
        <v/>
      </c>
      <c r="K1512" s="10" t="str">
        <f>"PFES1162562228_0001"</f>
        <v>PFES1162562228_0001</v>
      </c>
      <c r="L1512" s="10">
        <v>1</v>
      </c>
      <c r="M1512" s="10">
        <v>1</v>
      </c>
    </row>
    <row r="1513" spans="1:13">
      <c r="A1513" s="8">
        <v>42929</v>
      </c>
      <c r="B1513" s="9">
        <v>0.51874999999999993</v>
      </c>
      <c r="C1513" s="10" t="str">
        <f>"FES1162562324"</f>
        <v>FES1162562324</v>
      </c>
      <c r="D1513" s="10" t="s">
        <v>19</v>
      </c>
      <c r="E1513" s="10" t="s">
        <v>808</v>
      </c>
      <c r="F1513" s="10" t="str">
        <f>"217058903 "</f>
        <v xml:space="preserve">217058903 </v>
      </c>
      <c r="G1513" s="10" t="str">
        <f t="shared" si="63"/>
        <v>ON1</v>
      </c>
      <c r="H1513" s="10" t="s">
        <v>21</v>
      </c>
      <c r="I1513" s="10" t="s">
        <v>109</v>
      </c>
      <c r="J1513" s="10" t="str">
        <f>""</f>
        <v/>
      </c>
      <c r="K1513" s="10" t="str">
        <f>"PFES1162562324_0001"</f>
        <v>PFES1162562324_0001</v>
      </c>
      <c r="L1513" s="10">
        <v>1</v>
      </c>
      <c r="M1513" s="10">
        <v>1</v>
      </c>
    </row>
    <row r="1514" spans="1:13">
      <c r="A1514" s="8">
        <v>42929</v>
      </c>
      <c r="B1514" s="9">
        <v>0.51874999999999993</v>
      </c>
      <c r="C1514" s="10" t="str">
        <f>"FES1162562307"</f>
        <v>FES1162562307</v>
      </c>
      <c r="D1514" s="10" t="s">
        <v>19</v>
      </c>
      <c r="E1514" s="10" t="s">
        <v>647</v>
      </c>
      <c r="F1514" s="10" t="str">
        <f>"2170578884 "</f>
        <v xml:space="preserve">2170578884 </v>
      </c>
      <c r="G1514" s="10" t="str">
        <f t="shared" si="63"/>
        <v>ON1</v>
      </c>
      <c r="H1514" s="10" t="s">
        <v>21</v>
      </c>
      <c r="I1514" s="10" t="s">
        <v>410</v>
      </c>
      <c r="J1514" s="10" t="str">
        <f>""</f>
        <v/>
      </c>
      <c r="K1514" s="10" t="str">
        <f>"PFES1162562307_0001"</f>
        <v>PFES1162562307_0001</v>
      </c>
      <c r="L1514" s="10">
        <v>1</v>
      </c>
      <c r="M1514" s="10">
        <v>1</v>
      </c>
    </row>
    <row r="1515" spans="1:13">
      <c r="A1515" s="8">
        <v>42929</v>
      </c>
      <c r="B1515" s="9">
        <v>0.5180555555555556</v>
      </c>
      <c r="C1515" s="10" t="str">
        <f>"FES1162562317"</f>
        <v>FES1162562317</v>
      </c>
      <c r="D1515" s="10" t="s">
        <v>19</v>
      </c>
      <c r="E1515" s="10" t="s">
        <v>295</v>
      </c>
      <c r="F1515" s="10" t="str">
        <f>"2170578683 "</f>
        <v xml:space="preserve">2170578683 </v>
      </c>
      <c r="G1515" s="10" t="str">
        <f t="shared" si="63"/>
        <v>ON1</v>
      </c>
      <c r="H1515" s="10" t="s">
        <v>21</v>
      </c>
      <c r="I1515" s="10" t="s">
        <v>179</v>
      </c>
      <c r="J1515" s="10" t="str">
        <f>""</f>
        <v/>
      </c>
      <c r="K1515" s="10" t="str">
        <f>"PFES1162562317_0001"</f>
        <v>PFES1162562317_0001</v>
      </c>
      <c r="L1515" s="10">
        <v>1</v>
      </c>
      <c r="M1515" s="10">
        <v>1</v>
      </c>
    </row>
    <row r="1516" spans="1:13">
      <c r="A1516" s="8">
        <v>42929</v>
      </c>
      <c r="B1516" s="9">
        <v>0.5180555555555556</v>
      </c>
      <c r="C1516" s="10" t="str">
        <f>"FES1162562294"</f>
        <v>FES1162562294</v>
      </c>
      <c r="D1516" s="10" t="s">
        <v>19</v>
      </c>
      <c r="E1516" s="10" t="s">
        <v>572</v>
      </c>
      <c r="F1516" s="10" t="str">
        <f>"2170577006 "</f>
        <v xml:space="preserve">2170577006 </v>
      </c>
      <c r="G1516" s="10" t="str">
        <f t="shared" si="63"/>
        <v>ON1</v>
      </c>
      <c r="H1516" s="10" t="s">
        <v>21</v>
      </c>
      <c r="I1516" s="10" t="s">
        <v>809</v>
      </c>
      <c r="J1516" s="10" t="str">
        <f>""</f>
        <v/>
      </c>
      <c r="K1516" s="10" t="str">
        <f>"PFES1162562294_0001"</f>
        <v>PFES1162562294_0001</v>
      </c>
      <c r="L1516" s="10">
        <v>1</v>
      </c>
      <c r="M1516" s="10">
        <v>1</v>
      </c>
    </row>
    <row r="1517" spans="1:13">
      <c r="A1517" s="8">
        <v>42929</v>
      </c>
      <c r="B1517" s="9">
        <v>0.51736111111111105</v>
      </c>
      <c r="C1517" s="10" t="str">
        <f>"FES1162562308"</f>
        <v>FES1162562308</v>
      </c>
      <c r="D1517" s="10" t="s">
        <v>19</v>
      </c>
      <c r="E1517" s="10" t="s">
        <v>572</v>
      </c>
      <c r="F1517" s="10" t="str">
        <f>"2170577592 "</f>
        <v xml:space="preserve">2170577592 </v>
      </c>
      <c r="G1517" s="10" t="str">
        <f t="shared" si="63"/>
        <v>ON1</v>
      </c>
      <c r="H1517" s="10" t="s">
        <v>21</v>
      </c>
      <c r="I1517" s="10" t="s">
        <v>809</v>
      </c>
      <c r="J1517" s="10" t="str">
        <f>""</f>
        <v/>
      </c>
      <c r="K1517" s="10" t="str">
        <f>"PFES1162562308_0001"</f>
        <v>PFES1162562308_0001</v>
      </c>
      <c r="L1517" s="10">
        <v>1</v>
      </c>
      <c r="M1517" s="10">
        <v>1</v>
      </c>
    </row>
    <row r="1518" spans="1:13">
      <c r="A1518" s="8">
        <v>42929</v>
      </c>
      <c r="B1518" s="9">
        <v>0.51736111111111105</v>
      </c>
      <c r="C1518" s="10" t="str">
        <f>"FES1162562212"</f>
        <v>FES1162562212</v>
      </c>
      <c r="D1518" s="10" t="s">
        <v>19</v>
      </c>
      <c r="E1518" s="10" t="s">
        <v>154</v>
      </c>
      <c r="F1518" s="10" t="str">
        <f>"2170576428 "</f>
        <v xml:space="preserve">2170576428 </v>
      </c>
      <c r="G1518" s="10" t="str">
        <f t="shared" si="63"/>
        <v>ON1</v>
      </c>
      <c r="H1518" s="10" t="s">
        <v>21</v>
      </c>
      <c r="I1518" s="10" t="s">
        <v>130</v>
      </c>
      <c r="J1518" s="10" t="str">
        <f>""</f>
        <v/>
      </c>
      <c r="K1518" s="10" t="str">
        <f>"PFES1162562212_0001"</f>
        <v>PFES1162562212_0001</v>
      </c>
      <c r="L1518" s="10">
        <v>1</v>
      </c>
      <c r="M1518" s="10">
        <v>1</v>
      </c>
    </row>
    <row r="1519" spans="1:13">
      <c r="A1519" s="8">
        <v>42929</v>
      </c>
      <c r="B1519" s="9">
        <v>0.51736111111111105</v>
      </c>
      <c r="C1519" s="10" t="str">
        <f>"FES1162562278"</f>
        <v>FES1162562278</v>
      </c>
      <c r="D1519" s="10" t="s">
        <v>19</v>
      </c>
      <c r="E1519" s="10" t="s">
        <v>55</v>
      </c>
      <c r="F1519" s="10" t="str">
        <f>"2170578844 "</f>
        <v xml:space="preserve">2170578844 </v>
      </c>
      <c r="G1519" s="10" t="str">
        <f t="shared" si="63"/>
        <v>ON1</v>
      </c>
      <c r="H1519" s="10" t="s">
        <v>21</v>
      </c>
      <c r="I1519" s="10" t="s">
        <v>56</v>
      </c>
      <c r="J1519" s="10" t="str">
        <f>""</f>
        <v/>
      </c>
      <c r="K1519" s="10" t="str">
        <f>"PFES1162562278_0001"</f>
        <v>PFES1162562278_0001</v>
      </c>
      <c r="L1519" s="10">
        <v>1</v>
      </c>
      <c r="M1519" s="10">
        <v>1</v>
      </c>
    </row>
    <row r="1520" spans="1:13">
      <c r="A1520" s="8">
        <v>42929</v>
      </c>
      <c r="B1520" s="9">
        <v>0.51666666666666672</v>
      </c>
      <c r="C1520" s="10" t="str">
        <f>"FES1162562233"</f>
        <v>FES1162562233</v>
      </c>
      <c r="D1520" s="10" t="s">
        <v>19</v>
      </c>
      <c r="E1520" s="10" t="s">
        <v>810</v>
      </c>
      <c r="F1520" s="10" t="str">
        <f>"2170577001 "</f>
        <v xml:space="preserve">2170577001 </v>
      </c>
      <c r="G1520" s="10" t="str">
        <f>"DBC"</f>
        <v>DBC</v>
      </c>
      <c r="H1520" s="10" t="s">
        <v>21</v>
      </c>
      <c r="I1520" s="10" t="s">
        <v>48</v>
      </c>
      <c r="J1520" s="10" t="str">
        <f>""</f>
        <v/>
      </c>
      <c r="K1520" s="10" t="str">
        <f>"PFES1162562233_0001"</f>
        <v>PFES1162562233_0001</v>
      </c>
      <c r="L1520" s="10">
        <v>1</v>
      </c>
      <c r="M1520" s="10">
        <v>20</v>
      </c>
    </row>
    <row r="1521" spans="1:13">
      <c r="A1521" s="8">
        <v>42929</v>
      </c>
      <c r="B1521" s="9">
        <v>0.51597222222222217</v>
      </c>
      <c r="C1521" s="10" t="str">
        <f>"FES1162562200"</f>
        <v>FES1162562200</v>
      </c>
      <c r="D1521" s="10" t="s">
        <v>19</v>
      </c>
      <c r="E1521" s="10" t="s">
        <v>489</v>
      </c>
      <c r="F1521" s="10" t="str">
        <f>"2170578803 "</f>
        <v xml:space="preserve">2170578803 </v>
      </c>
      <c r="G1521" s="10" t="str">
        <f t="shared" ref="G1521:G1540" si="64">"ON1"</f>
        <v>ON1</v>
      </c>
      <c r="H1521" s="10" t="s">
        <v>21</v>
      </c>
      <c r="I1521" s="10" t="s">
        <v>398</v>
      </c>
      <c r="J1521" s="10" t="str">
        <f>""</f>
        <v/>
      </c>
      <c r="K1521" s="10" t="str">
        <f>"PFES1162562200_0001"</f>
        <v>PFES1162562200_0001</v>
      </c>
      <c r="L1521" s="10">
        <v>1</v>
      </c>
      <c r="M1521" s="10">
        <v>1</v>
      </c>
    </row>
    <row r="1522" spans="1:13">
      <c r="A1522" s="8">
        <v>42929</v>
      </c>
      <c r="B1522" s="9">
        <v>0.51597222222222217</v>
      </c>
      <c r="C1522" s="10" t="str">
        <f>"FES1162562232"</f>
        <v>FES1162562232</v>
      </c>
      <c r="D1522" s="10" t="s">
        <v>19</v>
      </c>
      <c r="E1522" s="10" t="s">
        <v>45</v>
      </c>
      <c r="F1522" s="10" t="str">
        <f>"2170576994 "</f>
        <v xml:space="preserve">2170576994 </v>
      </c>
      <c r="G1522" s="10" t="str">
        <f t="shared" si="64"/>
        <v>ON1</v>
      </c>
      <c r="H1522" s="10" t="s">
        <v>21</v>
      </c>
      <c r="I1522" s="10" t="s">
        <v>46</v>
      </c>
      <c r="J1522" s="10" t="str">
        <f>""</f>
        <v/>
      </c>
      <c r="K1522" s="10" t="str">
        <f>"PFES1162562232_0001"</f>
        <v>PFES1162562232_0001</v>
      </c>
      <c r="L1522" s="10">
        <v>1</v>
      </c>
      <c r="M1522" s="10">
        <v>2</v>
      </c>
    </row>
    <row r="1523" spans="1:13">
      <c r="A1523" s="8">
        <v>42929</v>
      </c>
      <c r="B1523" s="9">
        <v>0.51597222222222217</v>
      </c>
      <c r="C1523" s="10" t="str">
        <f>"FES1162562334"</f>
        <v>FES1162562334</v>
      </c>
      <c r="D1523" s="10" t="s">
        <v>19</v>
      </c>
      <c r="E1523" s="10" t="s">
        <v>41</v>
      </c>
      <c r="F1523" s="10" t="str">
        <f>"2170578915 "</f>
        <v xml:space="preserve">2170578915 </v>
      </c>
      <c r="G1523" s="10" t="str">
        <f t="shared" si="64"/>
        <v>ON1</v>
      </c>
      <c r="H1523" s="10" t="s">
        <v>21</v>
      </c>
      <c r="I1523" s="10" t="s">
        <v>42</v>
      </c>
      <c r="J1523" s="10" t="str">
        <f>""</f>
        <v/>
      </c>
      <c r="K1523" s="10" t="str">
        <f>"PFES1162562334_0001"</f>
        <v>PFES1162562334_0001</v>
      </c>
      <c r="L1523" s="10">
        <v>1</v>
      </c>
      <c r="M1523" s="10">
        <v>2</v>
      </c>
    </row>
    <row r="1524" spans="1:13">
      <c r="A1524" s="8">
        <v>42929</v>
      </c>
      <c r="B1524" s="9">
        <v>0.51527777777777783</v>
      </c>
      <c r="C1524" s="10" t="str">
        <f>"FES1162562331"</f>
        <v>FES1162562331</v>
      </c>
      <c r="D1524" s="10" t="s">
        <v>19</v>
      </c>
      <c r="E1524" s="10" t="s">
        <v>272</v>
      </c>
      <c r="F1524" s="10" t="str">
        <f>"2170578907 "</f>
        <v xml:space="preserve">2170578907 </v>
      </c>
      <c r="G1524" s="10" t="str">
        <f t="shared" si="64"/>
        <v>ON1</v>
      </c>
      <c r="H1524" s="10" t="s">
        <v>21</v>
      </c>
      <c r="I1524" s="10" t="s">
        <v>166</v>
      </c>
      <c r="J1524" s="10" t="str">
        <f>""</f>
        <v/>
      </c>
      <c r="K1524" s="10" t="str">
        <f>"PFES1162562331_0001"</f>
        <v>PFES1162562331_0001</v>
      </c>
      <c r="L1524" s="10">
        <v>1</v>
      </c>
      <c r="M1524" s="10">
        <v>2</v>
      </c>
    </row>
    <row r="1525" spans="1:13">
      <c r="A1525" s="8">
        <v>42929</v>
      </c>
      <c r="B1525" s="9">
        <v>0.51527777777777783</v>
      </c>
      <c r="C1525" s="10" t="str">
        <f>"FES1162562346"</f>
        <v>FES1162562346</v>
      </c>
      <c r="D1525" s="10" t="s">
        <v>19</v>
      </c>
      <c r="E1525" s="10" t="s">
        <v>535</v>
      </c>
      <c r="F1525" s="10" t="str">
        <f>"2170578937 "</f>
        <v xml:space="preserve">2170578937 </v>
      </c>
      <c r="G1525" s="10" t="str">
        <f t="shared" si="64"/>
        <v>ON1</v>
      </c>
      <c r="H1525" s="10" t="s">
        <v>21</v>
      </c>
      <c r="I1525" s="10" t="s">
        <v>240</v>
      </c>
      <c r="J1525" s="10" t="str">
        <f>""</f>
        <v/>
      </c>
      <c r="K1525" s="10" t="str">
        <f>"PFES1162562346_0001"</f>
        <v>PFES1162562346_0001</v>
      </c>
      <c r="L1525" s="10">
        <v>1</v>
      </c>
      <c r="M1525" s="10">
        <v>1</v>
      </c>
    </row>
    <row r="1526" spans="1:13">
      <c r="A1526" s="8">
        <v>42929</v>
      </c>
      <c r="B1526" s="9">
        <v>0.51458333333333328</v>
      </c>
      <c r="C1526" s="10" t="str">
        <f>"FES1162562282"</f>
        <v>FES1162562282</v>
      </c>
      <c r="D1526" s="10" t="s">
        <v>19</v>
      </c>
      <c r="E1526" s="10" t="s">
        <v>811</v>
      </c>
      <c r="F1526" s="10" t="str">
        <f>"2170578878 "</f>
        <v xml:space="preserve">2170578878 </v>
      </c>
      <c r="G1526" s="10" t="str">
        <f t="shared" si="64"/>
        <v>ON1</v>
      </c>
      <c r="H1526" s="10" t="s">
        <v>21</v>
      </c>
      <c r="I1526" s="10" t="s">
        <v>75</v>
      </c>
      <c r="J1526" s="10" t="str">
        <f>""</f>
        <v/>
      </c>
      <c r="K1526" s="10" t="str">
        <f>"PFES1162562282_0001"</f>
        <v>PFES1162562282_0001</v>
      </c>
      <c r="L1526" s="10">
        <v>1</v>
      </c>
      <c r="M1526" s="10">
        <v>1</v>
      </c>
    </row>
    <row r="1527" spans="1:13">
      <c r="A1527" s="8">
        <v>42929</v>
      </c>
      <c r="B1527" s="9">
        <v>0.51458333333333328</v>
      </c>
      <c r="C1527" s="10" t="str">
        <f>"FES1162562213"</f>
        <v>FES1162562213</v>
      </c>
      <c r="D1527" s="10" t="s">
        <v>19</v>
      </c>
      <c r="E1527" s="10" t="s">
        <v>288</v>
      </c>
      <c r="F1527" s="10" t="str">
        <f>"21705787620 "</f>
        <v xml:space="preserve">21705787620 </v>
      </c>
      <c r="G1527" s="10" t="str">
        <f t="shared" si="64"/>
        <v>ON1</v>
      </c>
      <c r="H1527" s="10" t="s">
        <v>21</v>
      </c>
      <c r="I1527" s="10" t="s">
        <v>412</v>
      </c>
      <c r="J1527" s="10" t="str">
        <f>""</f>
        <v/>
      </c>
      <c r="K1527" s="10" t="str">
        <f>"PFES1162562213_0001"</f>
        <v>PFES1162562213_0001</v>
      </c>
      <c r="L1527" s="10">
        <v>1</v>
      </c>
      <c r="M1527" s="10">
        <v>1</v>
      </c>
    </row>
    <row r="1528" spans="1:13">
      <c r="A1528" s="8">
        <v>42929</v>
      </c>
      <c r="B1528" s="9">
        <v>0.51388888888888895</v>
      </c>
      <c r="C1528" s="10" t="str">
        <f>"FES1162562205"</f>
        <v>FES1162562205</v>
      </c>
      <c r="D1528" s="10" t="s">
        <v>19</v>
      </c>
      <c r="E1528" s="10" t="s">
        <v>812</v>
      </c>
      <c r="F1528" s="10" t="str">
        <f>"2170577779 "</f>
        <v xml:space="preserve">2170577779 </v>
      </c>
      <c r="G1528" s="10" t="str">
        <f t="shared" si="64"/>
        <v>ON1</v>
      </c>
      <c r="H1528" s="10" t="s">
        <v>21</v>
      </c>
      <c r="I1528" s="10" t="s">
        <v>142</v>
      </c>
      <c r="J1528" s="10" t="str">
        <f>""</f>
        <v/>
      </c>
      <c r="K1528" s="10" t="str">
        <f>"PFES1162562205_0001"</f>
        <v>PFES1162562205_0001</v>
      </c>
      <c r="L1528" s="10">
        <v>1</v>
      </c>
      <c r="M1528" s="10">
        <v>1</v>
      </c>
    </row>
    <row r="1529" spans="1:13">
      <c r="A1529" s="8">
        <v>42929</v>
      </c>
      <c r="B1529" s="9">
        <v>0.51250000000000007</v>
      </c>
      <c r="C1529" s="10" t="str">
        <f>"FES1162562341"</f>
        <v>FES1162562341</v>
      </c>
      <c r="D1529" s="10" t="s">
        <v>19</v>
      </c>
      <c r="E1529" s="10" t="s">
        <v>190</v>
      </c>
      <c r="F1529" s="10" t="str">
        <f>"2170578926 "</f>
        <v xml:space="preserve">2170578926 </v>
      </c>
      <c r="G1529" s="10" t="str">
        <f t="shared" si="64"/>
        <v>ON1</v>
      </c>
      <c r="H1529" s="10" t="s">
        <v>21</v>
      </c>
      <c r="I1529" s="10" t="s">
        <v>52</v>
      </c>
      <c r="J1529" s="10" t="str">
        <f>""</f>
        <v/>
      </c>
      <c r="K1529" s="10" t="str">
        <f>"PFES1162562341_0001"</f>
        <v>PFES1162562341_0001</v>
      </c>
      <c r="L1529" s="10">
        <v>1</v>
      </c>
      <c r="M1529" s="10">
        <v>1</v>
      </c>
    </row>
    <row r="1530" spans="1:13">
      <c r="A1530" s="8">
        <v>42929</v>
      </c>
      <c r="B1530" s="9">
        <v>0.51250000000000007</v>
      </c>
      <c r="C1530" s="10" t="str">
        <f>"FES1162562303"</f>
        <v>FES1162562303</v>
      </c>
      <c r="D1530" s="10" t="s">
        <v>19</v>
      </c>
      <c r="E1530" s="10" t="s">
        <v>813</v>
      </c>
      <c r="F1530" s="10" t="str">
        <f>"2170577360 "</f>
        <v xml:space="preserve">2170577360 </v>
      </c>
      <c r="G1530" s="10" t="str">
        <f t="shared" si="64"/>
        <v>ON1</v>
      </c>
      <c r="H1530" s="10" t="s">
        <v>21</v>
      </c>
      <c r="I1530" s="10" t="s">
        <v>109</v>
      </c>
      <c r="J1530" s="10" t="str">
        <f>""</f>
        <v/>
      </c>
      <c r="K1530" s="10" t="str">
        <f>"PFES1162562303_0001"</f>
        <v>PFES1162562303_0001</v>
      </c>
      <c r="L1530" s="10">
        <v>1</v>
      </c>
      <c r="M1530" s="10">
        <v>1</v>
      </c>
    </row>
    <row r="1531" spans="1:13">
      <c r="A1531" s="8">
        <v>42929</v>
      </c>
      <c r="B1531" s="9">
        <v>0.51250000000000007</v>
      </c>
      <c r="C1531" s="10" t="str">
        <f>"FES1162562249"</f>
        <v>FES1162562249</v>
      </c>
      <c r="D1531" s="10" t="s">
        <v>19</v>
      </c>
      <c r="E1531" s="10" t="s">
        <v>814</v>
      </c>
      <c r="F1531" s="10" t="str">
        <f>"2170578816 "</f>
        <v xml:space="preserve">2170578816 </v>
      </c>
      <c r="G1531" s="10" t="str">
        <f t="shared" si="64"/>
        <v>ON1</v>
      </c>
      <c r="H1531" s="10" t="s">
        <v>21</v>
      </c>
      <c r="I1531" s="10" t="s">
        <v>147</v>
      </c>
      <c r="J1531" s="10" t="str">
        <f>""</f>
        <v/>
      </c>
      <c r="K1531" s="10" t="str">
        <f>"PFES1162562249_0001"</f>
        <v>PFES1162562249_0001</v>
      </c>
      <c r="L1531" s="10">
        <v>1</v>
      </c>
      <c r="M1531" s="10">
        <v>1</v>
      </c>
    </row>
    <row r="1532" spans="1:13">
      <c r="A1532" s="8">
        <v>42929</v>
      </c>
      <c r="B1532" s="9">
        <v>0.51180555555555551</v>
      </c>
      <c r="C1532" s="10" t="str">
        <f>"FES1162562311"</f>
        <v>FES1162562311</v>
      </c>
      <c r="D1532" s="10" t="s">
        <v>19</v>
      </c>
      <c r="E1532" s="10" t="s">
        <v>243</v>
      </c>
      <c r="F1532" s="10" t="str">
        <f>"2170578889 "</f>
        <v xml:space="preserve">2170578889 </v>
      </c>
      <c r="G1532" s="10" t="str">
        <f t="shared" si="64"/>
        <v>ON1</v>
      </c>
      <c r="H1532" s="10" t="s">
        <v>21</v>
      </c>
      <c r="I1532" s="10" t="s">
        <v>244</v>
      </c>
      <c r="J1532" s="10" t="str">
        <f>""</f>
        <v/>
      </c>
      <c r="K1532" s="10" t="str">
        <f>"PFES1162562311_0001"</f>
        <v>PFES1162562311_0001</v>
      </c>
      <c r="L1532" s="10">
        <v>1</v>
      </c>
      <c r="M1532" s="10">
        <v>2</v>
      </c>
    </row>
    <row r="1533" spans="1:13">
      <c r="A1533" s="8">
        <v>42929</v>
      </c>
      <c r="B1533" s="9">
        <v>0.51180555555555551</v>
      </c>
      <c r="C1533" s="10" t="str">
        <f>"FES1162562297"</f>
        <v>FES1162562297</v>
      </c>
      <c r="D1533" s="10" t="s">
        <v>19</v>
      </c>
      <c r="E1533" s="10" t="s">
        <v>146</v>
      </c>
      <c r="F1533" s="10" t="str">
        <f>"2170578870 "</f>
        <v xml:space="preserve">2170578870 </v>
      </c>
      <c r="G1533" s="10" t="str">
        <f t="shared" si="64"/>
        <v>ON1</v>
      </c>
      <c r="H1533" s="10" t="s">
        <v>21</v>
      </c>
      <c r="I1533" s="10" t="s">
        <v>147</v>
      </c>
      <c r="J1533" s="10" t="str">
        <f>""</f>
        <v/>
      </c>
      <c r="K1533" s="10" t="str">
        <f>"PFES1162562297_0001"</f>
        <v>PFES1162562297_0001</v>
      </c>
      <c r="L1533" s="10">
        <v>1</v>
      </c>
      <c r="M1533" s="10">
        <v>2</v>
      </c>
    </row>
    <row r="1534" spans="1:13">
      <c r="A1534" s="8">
        <v>42929</v>
      </c>
      <c r="B1534" s="9">
        <v>0.51111111111111118</v>
      </c>
      <c r="C1534" s="10" t="str">
        <f>"FES1162562214"</f>
        <v>FES1162562214</v>
      </c>
      <c r="D1534" s="10" t="s">
        <v>19</v>
      </c>
      <c r="E1534" s="10" t="s">
        <v>815</v>
      </c>
      <c r="F1534" s="10" t="str">
        <f>"2170576732 "</f>
        <v xml:space="preserve">2170576732 </v>
      </c>
      <c r="G1534" s="10" t="str">
        <f t="shared" si="64"/>
        <v>ON1</v>
      </c>
      <c r="H1534" s="10" t="s">
        <v>21</v>
      </c>
      <c r="I1534" s="10" t="s">
        <v>130</v>
      </c>
      <c r="J1534" s="10" t="str">
        <f>""</f>
        <v/>
      </c>
      <c r="K1534" s="10" t="str">
        <f>"PFES1162562214_0001"</f>
        <v>PFES1162562214_0001</v>
      </c>
      <c r="L1534" s="10">
        <v>1</v>
      </c>
      <c r="M1534" s="10">
        <v>1</v>
      </c>
    </row>
    <row r="1535" spans="1:13">
      <c r="A1535" s="8">
        <v>42929</v>
      </c>
      <c r="B1535" s="9">
        <v>0.51111111111111118</v>
      </c>
      <c r="C1535" s="10" t="str">
        <f>"FES1162562299"</f>
        <v>FES1162562299</v>
      </c>
      <c r="D1535" s="10" t="s">
        <v>19</v>
      </c>
      <c r="E1535" s="10" t="s">
        <v>264</v>
      </c>
      <c r="F1535" s="10" t="str">
        <f>"2170578873 "</f>
        <v xml:space="preserve">2170578873 </v>
      </c>
      <c r="G1535" s="10" t="str">
        <f t="shared" si="64"/>
        <v>ON1</v>
      </c>
      <c r="H1535" s="10" t="s">
        <v>21</v>
      </c>
      <c r="I1535" s="10" t="s">
        <v>240</v>
      </c>
      <c r="J1535" s="10" t="str">
        <f>""</f>
        <v/>
      </c>
      <c r="K1535" s="10" t="str">
        <f>"PFES1162562299_0001"</f>
        <v>PFES1162562299_0001</v>
      </c>
      <c r="L1535" s="10">
        <v>1</v>
      </c>
      <c r="M1535" s="10">
        <v>2</v>
      </c>
    </row>
    <row r="1536" spans="1:13">
      <c r="A1536" s="8">
        <v>42929</v>
      </c>
      <c r="B1536" s="9">
        <v>0.51041666666666663</v>
      </c>
      <c r="C1536" s="10" t="str">
        <f>"FES1162562240"</f>
        <v>FES1162562240</v>
      </c>
      <c r="D1536" s="10" t="s">
        <v>19</v>
      </c>
      <c r="E1536" s="10" t="s">
        <v>154</v>
      </c>
      <c r="F1536" s="10" t="str">
        <f>"2170578504 "</f>
        <v xml:space="preserve">2170578504 </v>
      </c>
      <c r="G1536" s="10" t="str">
        <f t="shared" si="64"/>
        <v>ON1</v>
      </c>
      <c r="H1536" s="10" t="s">
        <v>21</v>
      </c>
      <c r="I1536" s="10" t="s">
        <v>130</v>
      </c>
      <c r="J1536" s="10" t="str">
        <f>""</f>
        <v/>
      </c>
      <c r="K1536" s="10" t="str">
        <f>"PFES1162562240_0001"</f>
        <v>PFES1162562240_0001</v>
      </c>
      <c r="L1536" s="10">
        <v>1</v>
      </c>
      <c r="M1536" s="10">
        <v>1</v>
      </c>
    </row>
    <row r="1537" spans="1:13">
      <c r="A1537" s="8">
        <v>42929</v>
      </c>
      <c r="B1537" s="9">
        <v>0.51041666666666663</v>
      </c>
      <c r="C1537" s="10" t="str">
        <f>"FES1162562300"</f>
        <v>FES1162562300</v>
      </c>
      <c r="D1537" s="10" t="s">
        <v>19</v>
      </c>
      <c r="E1537" s="10" t="s">
        <v>184</v>
      </c>
      <c r="F1537" s="10" t="str">
        <f>"2170578876 "</f>
        <v xml:space="preserve">2170578876 </v>
      </c>
      <c r="G1537" s="10" t="str">
        <f t="shared" si="64"/>
        <v>ON1</v>
      </c>
      <c r="H1537" s="10" t="s">
        <v>21</v>
      </c>
      <c r="I1537" s="10" t="s">
        <v>185</v>
      </c>
      <c r="J1537" s="10" t="str">
        <f>""</f>
        <v/>
      </c>
      <c r="K1537" s="10" t="str">
        <f>"PFES1162562300_0001"</f>
        <v>PFES1162562300_0001</v>
      </c>
      <c r="L1537" s="10">
        <v>1</v>
      </c>
      <c r="M1537" s="10">
        <v>1</v>
      </c>
    </row>
    <row r="1538" spans="1:13">
      <c r="A1538" s="8">
        <v>42929</v>
      </c>
      <c r="B1538" s="9">
        <v>0.50972222222222219</v>
      </c>
      <c r="C1538" s="10" t="str">
        <f>"FES1162562206"</f>
        <v>FES1162562206</v>
      </c>
      <c r="D1538" s="10" t="s">
        <v>19</v>
      </c>
      <c r="E1538" s="10" t="s">
        <v>39</v>
      </c>
      <c r="F1538" s="10" t="str">
        <f>"2170578812 "</f>
        <v xml:space="preserve">2170578812 </v>
      </c>
      <c r="G1538" s="10" t="str">
        <f t="shared" si="64"/>
        <v>ON1</v>
      </c>
      <c r="H1538" s="10" t="s">
        <v>21</v>
      </c>
      <c r="I1538" s="10" t="s">
        <v>40</v>
      </c>
      <c r="J1538" s="10" t="str">
        <f>""</f>
        <v/>
      </c>
      <c r="K1538" s="10" t="str">
        <f>"PFES1162562206_0001"</f>
        <v>PFES1162562206_0001</v>
      </c>
      <c r="L1538" s="10">
        <v>1</v>
      </c>
      <c r="M1538" s="10">
        <v>1</v>
      </c>
    </row>
    <row r="1539" spans="1:13">
      <c r="A1539" s="8">
        <v>42929</v>
      </c>
      <c r="B1539" s="9">
        <v>0.50902777777777775</v>
      </c>
      <c r="C1539" s="10" t="str">
        <f>"FES1162562264"</f>
        <v>FES1162562264</v>
      </c>
      <c r="D1539" s="10" t="s">
        <v>19</v>
      </c>
      <c r="E1539" s="10" t="s">
        <v>415</v>
      </c>
      <c r="F1539" s="10" t="str">
        <f>"2170578833 "</f>
        <v xml:space="preserve">2170578833 </v>
      </c>
      <c r="G1539" s="10" t="str">
        <f t="shared" si="64"/>
        <v>ON1</v>
      </c>
      <c r="H1539" s="10" t="s">
        <v>21</v>
      </c>
      <c r="I1539" s="10" t="s">
        <v>92</v>
      </c>
      <c r="J1539" s="10" t="str">
        <f>""</f>
        <v/>
      </c>
      <c r="K1539" s="10" t="str">
        <f>"PFES1162562264_0001"</f>
        <v>PFES1162562264_0001</v>
      </c>
      <c r="L1539" s="10">
        <v>2</v>
      </c>
      <c r="M1539" s="10">
        <v>4</v>
      </c>
    </row>
    <row r="1540" spans="1:13">
      <c r="A1540" s="8">
        <v>42929</v>
      </c>
      <c r="B1540" s="9">
        <v>0.50902777777777775</v>
      </c>
      <c r="C1540" s="10" t="str">
        <f>"FES1162562264"</f>
        <v>FES1162562264</v>
      </c>
      <c r="D1540" s="10" t="s">
        <v>19</v>
      </c>
      <c r="E1540" s="10" t="s">
        <v>415</v>
      </c>
      <c r="F1540" s="10" t="str">
        <f>"2170578833 "</f>
        <v xml:space="preserve">2170578833 </v>
      </c>
      <c r="G1540" s="10" t="str">
        <f t="shared" si="64"/>
        <v>ON1</v>
      </c>
      <c r="H1540" s="10" t="s">
        <v>21</v>
      </c>
      <c r="I1540" s="10" t="s">
        <v>92</v>
      </c>
      <c r="J1540" s="10"/>
      <c r="K1540" s="10" t="str">
        <f>"PFES1162562264_0002"</f>
        <v>PFES1162562264_0002</v>
      </c>
      <c r="L1540" s="10">
        <v>2</v>
      </c>
      <c r="M1540" s="10">
        <v>4</v>
      </c>
    </row>
    <row r="1541" spans="1:13">
      <c r="A1541" s="8">
        <v>42929</v>
      </c>
      <c r="B1541" s="9">
        <v>0.50902777777777775</v>
      </c>
      <c r="C1541" s="10" t="str">
        <f>"FES1162562231"</f>
        <v>FES1162562231</v>
      </c>
      <c r="D1541" s="10" t="s">
        <v>19</v>
      </c>
      <c r="E1541" s="10" t="s">
        <v>23</v>
      </c>
      <c r="F1541" s="10" t="str">
        <f>"2170576976 "</f>
        <v xml:space="preserve">2170576976 </v>
      </c>
      <c r="G1541" s="10" t="str">
        <f t="shared" ref="G1541:G1603" si="65">"ON1"</f>
        <v>ON1</v>
      </c>
      <c r="H1541" s="10" t="s">
        <v>21</v>
      </c>
      <c r="I1541" s="10" t="s">
        <v>24</v>
      </c>
      <c r="J1541" s="10" t="str">
        <f>""</f>
        <v/>
      </c>
      <c r="K1541" s="10" t="str">
        <f>"PFES1162562231_0001"</f>
        <v>PFES1162562231_0001</v>
      </c>
      <c r="L1541" s="10">
        <v>1</v>
      </c>
      <c r="M1541" s="10">
        <v>3</v>
      </c>
    </row>
    <row r="1542" spans="1:13">
      <c r="A1542" s="8">
        <v>42929</v>
      </c>
      <c r="B1542" s="9">
        <v>0.5083333333333333</v>
      </c>
      <c r="C1542" s="10" t="str">
        <f>"FES1162562252"</f>
        <v>FES1162562252</v>
      </c>
      <c r="D1542" s="10" t="s">
        <v>19</v>
      </c>
      <c r="E1542" s="10" t="s">
        <v>650</v>
      </c>
      <c r="F1542" s="10" t="str">
        <f>"2170578820 "</f>
        <v xml:space="preserve">2170578820 </v>
      </c>
      <c r="G1542" s="10" t="str">
        <f t="shared" si="65"/>
        <v>ON1</v>
      </c>
      <c r="H1542" s="10" t="s">
        <v>21</v>
      </c>
      <c r="I1542" s="10" t="s">
        <v>567</v>
      </c>
      <c r="J1542" s="10" t="str">
        <f>""</f>
        <v/>
      </c>
      <c r="K1542" s="10" t="str">
        <f>"PFES1162562252_0001"</f>
        <v>PFES1162562252_0001</v>
      </c>
      <c r="L1542" s="10">
        <v>1</v>
      </c>
      <c r="M1542" s="10">
        <v>3</v>
      </c>
    </row>
    <row r="1543" spans="1:13">
      <c r="A1543" s="8">
        <v>42929</v>
      </c>
      <c r="B1543" s="9">
        <v>0.5083333333333333</v>
      </c>
      <c r="C1543" s="10" t="str">
        <f>"FES1162562219"</f>
        <v>FES1162562219</v>
      </c>
      <c r="D1543" s="10" t="s">
        <v>19</v>
      </c>
      <c r="E1543" s="10" t="s">
        <v>816</v>
      </c>
      <c r="F1543" s="10" t="str">
        <f>"2170576851 "</f>
        <v xml:space="preserve">2170576851 </v>
      </c>
      <c r="G1543" s="10" t="str">
        <f t="shared" si="65"/>
        <v>ON1</v>
      </c>
      <c r="H1543" s="10" t="s">
        <v>21</v>
      </c>
      <c r="I1543" s="10" t="s">
        <v>817</v>
      </c>
      <c r="J1543" s="10" t="str">
        <f>""</f>
        <v/>
      </c>
      <c r="K1543" s="10" t="str">
        <f>"PFES1162562219_0001"</f>
        <v>PFES1162562219_0001</v>
      </c>
      <c r="L1543" s="10">
        <v>1</v>
      </c>
      <c r="M1543" s="10">
        <v>6</v>
      </c>
    </row>
    <row r="1544" spans="1:13">
      <c r="A1544" s="8">
        <v>42929</v>
      </c>
      <c r="B1544" s="9">
        <v>0.50763888888888886</v>
      </c>
      <c r="C1544" s="10" t="str">
        <f>"FES1162562113"</f>
        <v>FES1162562113</v>
      </c>
      <c r="D1544" s="10" t="s">
        <v>19</v>
      </c>
      <c r="E1544" s="10" t="s">
        <v>288</v>
      </c>
      <c r="F1544" s="10" t="str">
        <f>"2170578721 "</f>
        <v xml:space="preserve">2170578721 </v>
      </c>
      <c r="G1544" s="10" t="str">
        <f t="shared" si="65"/>
        <v>ON1</v>
      </c>
      <c r="H1544" s="10" t="s">
        <v>21</v>
      </c>
      <c r="I1544" s="10" t="s">
        <v>84</v>
      </c>
      <c r="J1544" s="10" t="str">
        <f>""</f>
        <v/>
      </c>
      <c r="K1544" s="10" t="str">
        <f>"PFES1162562113_0001"</f>
        <v>PFES1162562113_0001</v>
      </c>
      <c r="L1544" s="10">
        <v>1</v>
      </c>
      <c r="M1544" s="10">
        <v>3</v>
      </c>
    </row>
    <row r="1545" spans="1:13">
      <c r="A1545" s="8">
        <v>42929</v>
      </c>
      <c r="B1545" s="9">
        <v>0.50694444444444442</v>
      </c>
      <c r="C1545" s="10" t="str">
        <f>"FES1162562221"</f>
        <v>FES1162562221</v>
      </c>
      <c r="D1545" s="10" t="s">
        <v>19</v>
      </c>
      <c r="E1545" s="10" t="s">
        <v>116</v>
      </c>
      <c r="F1545" s="10" t="str">
        <f>"2170576881 "</f>
        <v xml:space="preserve">2170576881 </v>
      </c>
      <c r="G1545" s="10" t="str">
        <f t="shared" si="65"/>
        <v>ON1</v>
      </c>
      <c r="H1545" s="10" t="s">
        <v>21</v>
      </c>
      <c r="I1545" s="10" t="s">
        <v>117</v>
      </c>
      <c r="J1545" s="10" t="str">
        <f>""</f>
        <v/>
      </c>
      <c r="K1545" s="10" t="str">
        <f>"PFES1162562221_0001"</f>
        <v>PFES1162562221_0001</v>
      </c>
      <c r="L1545" s="10">
        <v>1</v>
      </c>
      <c r="M1545" s="10">
        <v>1</v>
      </c>
    </row>
    <row r="1546" spans="1:13">
      <c r="A1546" s="8">
        <v>42929</v>
      </c>
      <c r="B1546" s="9">
        <v>0.50694444444444442</v>
      </c>
      <c r="C1546" s="10" t="str">
        <f>"FES1162562241"</f>
        <v>FES1162562241</v>
      </c>
      <c r="D1546" s="10" t="s">
        <v>19</v>
      </c>
      <c r="E1546" s="10" t="s">
        <v>108</v>
      </c>
      <c r="F1546" s="10" t="str">
        <f>"2170578513 "</f>
        <v xml:space="preserve">2170578513 </v>
      </c>
      <c r="G1546" s="10" t="str">
        <f t="shared" si="65"/>
        <v>ON1</v>
      </c>
      <c r="H1546" s="10" t="s">
        <v>21</v>
      </c>
      <c r="I1546" s="10" t="s">
        <v>109</v>
      </c>
      <c r="J1546" s="10" t="str">
        <f>""</f>
        <v/>
      </c>
      <c r="K1546" s="10" t="str">
        <f>"PFES1162562241_0001"</f>
        <v>PFES1162562241_0001</v>
      </c>
      <c r="L1546" s="10">
        <v>1</v>
      </c>
      <c r="M1546" s="10">
        <v>1</v>
      </c>
    </row>
    <row r="1547" spans="1:13">
      <c r="A1547" s="8">
        <v>42929</v>
      </c>
      <c r="B1547" s="9">
        <v>0.50624999999999998</v>
      </c>
      <c r="C1547" s="10" t="str">
        <f>"FES1162562230"</f>
        <v>FES1162562230</v>
      </c>
      <c r="D1547" s="10" t="s">
        <v>19</v>
      </c>
      <c r="E1547" s="10" t="s">
        <v>522</v>
      </c>
      <c r="F1547" s="10" t="str">
        <f>"2170576970 "</f>
        <v xml:space="preserve">2170576970 </v>
      </c>
      <c r="G1547" s="10" t="str">
        <f t="shared" si="65"/>
        <v>ON1</v>
      </c>
      <c r="H1547" s="10" t="s">
        <v>21</v>
      </c>
      <c r="I1547" s="10" t="s">
        <v>106</v>
      </c>
      <c r="J1547" s="10" t="str">
        <f>""</f>
        <v/>
      </c>
      <c r="K1547" s="10" t="str">
        <f>"PFES1162562230_0001"</f>
        <v>PFES1162562230_0001</v>
      </c>
      <c r="L1547" s="10">
        <v>1</v>
      </c>
      <c r="M1547" s="10">
        <v>3</v>
      </c>
    </row>
    <row r="1548" spans="1:13">
      <c r="A1548" s="8">
        <v>42929</v>
      </c>
      <c r="B1548" s="9">
        <v>0.50624999999999998</v>
      </c>
      <c r="C1548" s="10" t="str">
        <f>"FES1162562260"</f>
        <v>FES1162562260</v>
      </c>
      <c r="D1548" s="10" t="s">
        <v>19</v>
      </c>
      <c r="E1548" s="10" t="s">
        <v>818</v>
      </c>
      <c r="F1548" s="10" t="str">
        <f>"2170578830 "</f>
        <v xml:space="preserve">2170578830 </v>
      </c>
      <c r="G1548" s="10" t="str">
        <f t="shared" si="65"/>
        <v>ON1</v>
      </c>
      <c r="H1548" s="10" t="s">
        <v>21</v>
      </c>
      <c r="I1548" s="10" t="s">
        <v>819</v>
      </c>
      <c r="J1548" s="10" t="str">
        <f>""</f>
        <v/>
      </c>
      <c r="K1548" s="10" t="str">
        <f>"PFES1162562260_0001"</f>
        <v>PFES1162562260_0001</v>
      </c>
      <c r="L1548" s="10">
        <v>1</v>
      </c>
      <c r="M1548" s="10">
        <v>1</v>
      </c>
    </row>
    <row r="1549" spans="1:13">
      <c r="A1549" s="8">
        <v>42929</v>
      </c>
      <c r="B1549" s="9">
        <v>0.50555555555555554</v>
      </c>
      <c r="C1549" s="10" t="str">
        <f>"FES1162562271"</f>
        <v>FES1162562271</v>
      </c>
      <c r="D1549" s="10" t="s">
        <v>19</v>
      </c>
      <c r="E1549" s="10" t="s">
        <v>131</v>
      </c>
      <c r="F1549" s="10" t="str">
        <f>"2170578838 "</f>
        <v xml:space="preserve">2170578838 </v>
      </c>
      <c r="G1549" s="10" t="str">
        <f t="shared" si="65"/>
        <v>ON1</v>
      </c>
      <c r="H1549" s="10" t="s">
        <v>21</v>
      </c>
      <c r="I1549" s="10" t="s">
        <v>132</v>
      </c>
      <c r="J1549" s="10" t="str">
        <f>""</f>
        <v/>
      </c>
      <c r="K1549" s="10" t="str">
        <f>"PFES1162562271_0001"</f>
        <v>PFES1162562271_0001</v>
      </c>
      <c r="L1549" s="10">
        <v>1</v>
      </c>
      <c r="M1549" s="10">
        <v>1</v>
      </c>
    </row>
    <row r="1550" spans="1:13">
      <c r="A1550" s="8">
        <v>42929</v>
      </c>
      <c r="B1550" s="9">
        <v>0.50555555555555554</v>
      </c>
      <c r="C1550" s="10" t="str">
        <f>"FES1162562258"</f>
        <v>FES1162562258</v>
      </c>
      <c r="D1550" s="10" t="s">
        <v>19</v>
      </c>
      <c r="E1550" s="10" t="s">
        <v>33</v>
      </c>
      <c r="F1550" s="10" t="str">
        <f>"2170578827 "</f>
        <v xml:space="preserve">2170578827 </v>
      </c>
      <c r="G1550" s="10" t="str">
        <f t="shared" si="65"/>
        <v>ON1</v>
      </c>
      <c r="H1550" s="10" t="s">
        <v>21</v>
      </c>
      <c r="I1550" s="10" t="s">
        <v>34</v>
      </c>
      <c r="J1550" s="10" t="str">
        <f>""</f>
        <v/>
      </c>
      <c r="K1550" s="10" t="str">
        <f>"PFES1162562258_0001"</f>
        <v>PFES1162562258_0001</v>
      </c>
      <c r="L1550" s="10">
        <v>1</v>
      </c>
      <c r="M1550" s="10">
        <v>1</v>
      </c>
    </row>
    <row r="1551" spans="1:13">
      <c r="A1551" s="8">
        <v>42929</v>
      </c>
      <c r="B1551" s="9">
        <v>0.50416666666666665</v>
      </c>
      <c r="C1551" s="10" t="str">
        <f>"FES1162562277"</f>
        <v>FES1162562277</v>
      </c>
      <c r="D1551" s="10" t="s">
        <v>19</v>
      </c>
      <c r="E1551" s="10" t="s">
        <v>820</v>
      </c>
      <c r="F1551" s="10" t="str">
        <f>"2170578531 "</f>
        <v xml:space="preserve">2170578531 </v>
      </c>
      <c r="G1551" s="10" t="str">
        <f t="shared" si="65"/>
        <v>ON1</v>
      </c>
      <c r="H1551" s="10" t="s">
        <v>21</v>
      </c>
      <c r="I1551" s="10" t="s">
        <v>130</v>
      </c>
      <c r="J1551" s="10" t="str">
        <f>""</f>
        <v/>
      </c>
      <c r="K1551" s="10" t="str">
        <f>"PFES1162562277_0001"</f>
        <v>PFES1162562277_0001</v>
      </c>
      <c r="L1551" s="10">
        <v>1</v>
      </c>
      <c r="M1551" s="10">
        <v>1</v>
      </c>
    </row>
    <row r="1552" spans="1:13">
      <c r="A1552" s="8">
        <v>42929</v>
      </c>
      <c r="B1552" s="9">
        <v>0.50347222222222221</v>
      </c>
      <c r="C1552" s="10" t="str">
        <f>"FES1162562243"</f>
        <v>FES1162562243</v>
      </c>
      <c r="D1552" s="10" t="s">
        <v>19</v>
      </c>
      <c r="E1552" s="10" t="s">
        <v>324</v>
      </c>
      <c r="F1552" s="10" t="str">
        <f>"2170578649 "</f>
        <v xml:space="preserve">2170578649 </v>
      </c>
      <c r="G1552" s="10" t="str">
        <f t="shared" si="65"/>
        <v>ON1</v>
      </c>
      <c r="H1552" s="10" t="s">
        <v>21</v>
      </c>
      <c r="I1552" s="10" t="s">
        <v>325</v>
      </c>
      <c r="J1552" s="10" t="str">
        <f>""</f>
        <v/>
      </c>
      <c r="K1552" s="10" t="str">
        <f>"PFES1162562243_0001"</f>
        <v>PFES1162562243_0001</v>
      </c>
      <c r="L1552" s="10">
        <v>1</v>
      </c>
      <c r="M1552" s="10">
        <v>1</v>
      </c>
    </row>
    <row r="1553" spans="1:13">
      <c r="A1553" s="8">
        <v>42929</v>
      </c>
      <c r="B1553" s="9">
        <v>0.50277777777777777</v>
      </c>
      <c r="C1553" s="10" t="str">
        <f>"FES1162562251"</f>
        <v>FES1162562251</v>
      </c>
      <c r="D1553" s="10" t="s">
        <v>19</v>
      </c>
      <c r="E1553" s="10" t="s">
        <v>650</v>
      </c>
      <c r="F1553" s="10" t="str">
        <f>"2170578819 "</f>
        <v xml:space="preserve">2170578819 </v>
      </c>
      <c r="G1553" s="10" t="str">
        <f t="shared" si="65"/>
        <v>ON1</v>
      </c>
      <c r="H1553" s="10" t="s">
        <v>21</v>
      </c>
      <c r="I1553" s="10" t="s">
        <v>567</v>
      </c>
      <c r="J1553" s="10" t="str">
        <f>""</f>
        <v/>
      </c>
      <c r="K1553" s="10" t="str">
        <f>"PFES1162562251_0001"</f>
        <v>PFES1162562251_0001</v>
      </c>
      <c r="L1553" s="10">
        <v>1</v>
      </c>
      <c r="M1553" s="10">
        <v>1</v>
      </c>
    </row>
    <row r="1554" spans="1:13">
      <c r="A1554" s="8">
        <v>42929</v>
      </c>
      <c r="B1554" s="9">
        <v>0.50277777777777777</v>
      </c>
      <c r="C1554" s="10" t="str">
        <f>"FES1162562250"</f>
        <v>FES1162562250</v>
      </c>
      <c r="D1554" s="10" t="s">
        <v>19</v>
      </c>
      <c r="E1554" s="10" t="s">
        <v>560</v>
      </c>
      <c r="F1554" s="10" t="str">
        <f>"2170578817 "</f>
        <v xml:space="preserve">2170578817 </v>
      </c>
      <c r="G1554" s="10" t="str">
        <f t="shared" si="65"/>
        <v>ON1</v>
      </c>
      <c r="H1554" s="10" t="s">
        <v>21</v>
      </c>
      <c r="I1554" s="10" t="s">
        <v>561</v>
      </c>
      <c r="J1554" s="10" t="str">
        <f>""</f>
        <v/>
      </c>
      <c r="K1554" s="10" t="str">
        <f>"PFES1162562250_0001"</f>
        <v>PFES1162562250_0001</v>
      </c>
      <c r="L1554" s="10">
        <v>1</v>
      </c>
      <c r="M1554" s="10">
        <v>1</v>
      </c>
    </row>
    <row r="1555" spans="1:13">
      <c r="A1555" s="8">
        <v>42929</v>
      </c>
      <c r="B1555" s="9">
        <v>0.50277777777777777</v>
      </c>
      <c r="C1555" s="10" t="str">
        <f>"FES1162562290"</f>
        <v>FES1162562290</v>
      </c>
      <c r="D1555" s="10" t="s">
        <v>19</v>
      </c>
      <c r="E1555" s="10" t="s">
        <v>821</v>
      </c>
      <c r="F1555" s="10" t="str">
        <f>"2170578859 "</f>
        <v xml:space="preserve">2170578859 </v>
      </c>
      <c r="G1555" s="10" t="str">
        <f t="shared" si="65"/>
        <v>ON1</v>
      </c>
      <c r="H1555" s="10" t="s">
        <v>21</v>
      </c>
      <c r="I1555" s="10" t="s">
        <v>58</v>
      </c>
      <c r="J1555" s="10" t="str">
        <f>""</f>
        <v/>
      </c>
      <c r="K1555" s="10" t="str">
        <f>"PFES1162562290_0001"</f>
        <v>PFES1162562290_0001</v>
      </c>
      <c r="L1555" s="10">
        <v>1</v>
      </c>
      <c r="M1555" s="10">
        <v>1</v>
      </c>
    </row>
    <row r="1556" spans="1:13">
      <c r="A1556" s="8">
        <v>42929</v>
      </c>
      <c r="B1556" s="9">
        <v>0.50208333333333333</v>
      </c>
      <c r="C1556" s="10" t="str">
        <f>"FES1162562209"</f>
        <v>FES1162562209</v>
      </c>
      <c r="D1556" s="10" t="s">
        <v>19</v>
      </c>
      <c r="E1556" s="10" t="s">
        <v>419</v>
      </c>
      <c r="F1556" s="10" t="str">
        <f>"2170574130 "</f>
        <v xml:space="preserve">2170574130 </v>
      </c>
      <c r="G1556" s="10" t="str">
        <f t="shared" si="65"/>
        <v>ON1</v>
      </c>
      <c r="H1556" s="10" t="s">
        <v>21</v>
      </c>
      <c r="I1556" s="10" t="s">
        <v>177</v>
      </c>
      <c r="J1556" s="10" t="str">
        <f>""</f>
        <v/>
      </c>
      <c r="K1556" s="10" t="str">
        <f>"PFES1162562209_0001"</f>
        <v>PFES1162562209_0001</v>
      </c>
      <c r="L1556" s="10">
        <v>1</v>
      </c>
      <c r="M1556" s="10">
        <v>1</v>
      </c>
    </row>
    <row r="1557" spans="1:13">
      <c r="A1557" s="8">
        <v>42929</v>
      </c>
      <c r="B1557" s="9">
        <v>0.50138888888888888</v>
      </c>
      <c r="C1557" s="10" t="str">
        <f>"FES1162562256"</f>
        <v>FES1162562256</v>
      </c>
      <c r="D1557" s="10" t="s">
        <v>19</v>
      </c>
      <c r="E1557" s="10" t="s">
        <v>822</v>
      </c>
      <c r="F1557" s="10" t="str">
        <f>"2170578825 "</f>
        <v xml:space="preserve">2170578825 </v>
      </c>
      <c r="G1557" s="10" t="str">
        <f t="shared" si="65"/>
        <v>ON1</v>
      </c>
      <c r="H1557" s="10" t="s">
        <v>21</v>
      </c>
      <c r="I1557" s="10" t="s">
        <v>38</v>
      </c>
      <c r="J1557" s="10" t="str">
        <f>""</f>
        <v/>
      </c>
      <c r="K1557" s="10" t="str">
        <f>"PFES1162562256_0001"</f>
        <v>PFES1162562256_0001</v>
      </c>
      <c r="L1557" s="10">
        <v>1</v>
      </c>
      <c r="M1557" s="10">
        <v>1</v>
      </c>
    </row>
    <row r="1558" spans="1:13">
      <c r="A1558" s="8">
        <v>42929</v>
      </c>
      <c r="B1558" s="9">
        <v>0.50069444444444444</v>
      </c>
      <c r="C1558" s="10" t="str">
        <f>"FES1162562234"</f>
        <v>FES1162562234</v>
      </c>
      <c r="D1558" s="10" t="s">
        <v>19</v>
      </c>
      <c r="E1558" s="10" t="s">
        <v>508</v>
      </c>
      <c r="F1558" s="10" t="str">
        <f>"2170577041 "</f>
        <v xml:space="preserve">2170577041 </v>
      </c>
      <c r="G1558" s="10" t="str">
        <f t="shared" si="65"/>
        <v>ON1</v>
      </c>
      <c r="H1558" s="10" t="s">
        <v>21</v>
      </c>
      <c r="I1558" s="10" t="s">
        <v>54</v>
      </c>
      <c r="J1558" s="10" t="str">
        <f>""</f>
        <v/>
      </c>
      <c r="K1558" s="10" t="str">
        <f>"PFES1162562234_0001"</f>
        <v>PFES1162562234_0001</v>
      </c>
      <c r="L1558" s="10">
        <v>1</v>
      </c>
      <c r="M1558" s="10">
        <v>1</v>
      </c>
    </row>
    <row r="1559" spans="1:13">
      <c r="A1559" s="8">
        <v>42929</v>
      </c>
      <c r="B1559" s="9">
        <v>0.50069444444444444</v>
      </c>
      <c r="C1559" s="10" t="str">
        <f>"FES1162562247"</f>
        <v>FES1162562247</v>
      </c>
      <c r="D1559" s="10" t="s">
        <v>19</v>
      </c>
      <c r="E1559" s="10" t="s">
        <v>204</v>
      </c>
      <c r="F1559" s="10" t="str">
        <f>"2170578814 "</f>
        <v xml:space="preserve">2170578814 </v>
      </c>
      <c r="G1559" s="10" t="str">
        <f t="shared" si="65"/>
        <v>ON1</v>
      </c>
      <c r="H1559" s="10" t="s">
        <v>21</v>
      </c>
      <c r="I1559" s="10" t="s">
        <v>205</v>
      </c>
      <c r="J1559" s="10" t="str">
        <f>""</f>
        <v/>
      </c>
      <c r="K1559" s="10" t="str">
        <f>"PFES1162562247_0001"</f>
        <v>PFES1162562247_0001</v>
      </c>
      <c r="L1559" s="10">
        <v>1</v>
      </c>
      <c r="M1559" s="10">
        <v>1</v>
      </c>
    </row>
    <row r="1560" spans="1:13">
      <c r="A1560" s="8">
        <v>42929</v>
      </c>
      <c r="B1560" s="9">
        <v>0.50069444444444444</v>
      </c>
      <c r="C1560" s="10" t="str">
        <f>"FES1162562207"</f>
        <v>FES1162562207</v>
      </c>
      <c r="D1560" s="10" t="s">
        <v>19</v>
      </c>
      <c r="E1560" s="10" t="s">
        <v>190</v>
      </c>
      <c r="F1560" s="10" t="str">
        <f>"2170578813 "</f>
        <v xml:space="preserve">2170578813 </v>
      </c>
      <c r="G1560" s="10" t="str">
        <f t="shared" si="65"/>
        <v>ON1</v>
      </c>
      <c r="H1560" s="10" t="s">
        <v>21</v>
      </c>
      <c r="I1560" s="10" t="s">
        <v>52</v>
      </c>
      <c r="J1560" s="10" t="str">
        <f>""</f>
        <v/>
      </c>
      <c r="K1560" s="10" t="str">
        <f>"PFES1162562207_0001"</f>
        <v>PFES1162562207_0001</v>
      </c>
      <c r="L1560" s="10">
        <v>1</v>
      </c>
      <c r="M1560" s="10">
        <v>4</v>
      </c>
    </row>
    <row r="1561" spans="1:13">
      <c r="A1561" s="8">
        <v>42929</v>
      </c>
      <c r="B1561" s="9">
        <v>0.5</v>
      </c>
      <c r="C1561" s="10" t="str">
        <f>"FES1162562255"</f>
        <v>FES1162562255</v>
      </c>
      <c r="D1561" s="10" t="s">
        <v>19</v>
      </c>
      <c r="E1561" s="10" t="s">
        <v>78</v>
      </c>
      <c r="F1561" s="10" t="str">
        <f>"2170578824 "</f>
        <v xml:space="preserve">2170578824 </v>
      </c>
      <c r="G1561" s="10" t="str">
        <f t="shared" si="65"/>
        <v>ON1</v>
      </c>
      <c r="H1561" s="10" t="s">
        <v>21</v>
      </c>
      <c r="I1561" s="10" t="s">
        <v>79</v>
      </c>
      <c r="J1561" s="10" t="str">
        <f>""</f>
        <v/>
      </c>
      <c r="K1561" s="10" t="str">
        <f>"PFES1162562255_0001"</f>
        <v>PFES1162562255_0001</v>
      </c>
      <c r="L1561" s="10">
        <v>1</v>
      </c>
      <c r="M1561" s="10">
        <v>2</v>
      </c>
    </row>
    <row r="1562" spans="1:13">
      <c r="A1562" s="8">
        <v>42929</v>
      </c>
      <c r="B1562" s="9">
        <v>0.49583333333333335</v>
      </c>
      <c r="C1562" s="10" t="str">
        <f>"FES1162562239"</f>
        <v>FES1162562239</v>
      </c>
      <c r="D1562" s="10" t="s">
        <v>19</v>
      </c>
      <c r="E1562" s="10" t="s">
        <v>696</v>
      </c>
      <c r="F1562" s="10" t="str">
        <f>"2170578501 "</f>
        <v xml:space="preserve">2170578501 </v>
      </c>
      <c r="G1562" s="10" t="str">
        <f t="shared" si="65"/>
        <v>ON1</v>
      </c>
      <c r="H1562" s="10" t="s">
        <v>21</v>
      </c>
      <c r="I1562" s="10" t="s">
        <v>697</v>
      </c>
      <c r="J1562" s="10" t="str">
        <f>""</f>
        <v/>
      </c>
      <c r="K1562" s="10" t="str">
        <f>"PFES1162562239_0001"</f>
        <v>PFES1162562239_0001</v>
      </c>
      <c r="L1562" s="10">
        <v>1</v>
      </c>
      <c r="M1562" s="10">
        <v>1.53</v>
      </c>
    </row>
    <row r="1563" spans="1:13">
      <c r="A1563" s="8">
        <v>42929</v>
      </c>
      <c r="B1563" s="9">
        <v>0.49236111111111108</v>
      </c>
      <c r="C1563" s="10" t="str">
        <f>"FES1162562246"</f>
        <v>FES1162562246</v>
      </c>
      <c r="D1563" s="10" t="s">
        <v>19</v>
      </c>
      <c r="E1563" s="10" t="s">
        <v>394</v>
      </c>
      <c r="F1563" s="10" t="str">
        <f>"2170578763 "</f>
        <v xml:space="preserve">2170578763 </v>
      </c>
      <c r="G1563" s="10" t="str">
        <f t="shared" si="65"/>
        <v>ON1</v>
      </c>
      <c r="H1563" s="10" t="s">
        <v>21</v>
      </c>
      <c r="I1563" s="10" t="s">
        <v>98</v>
      </c>
      <c r="J1563" s="10" t="str">
        <f>""</f>
        <v/>
      </c>
      <c r="K1563" s="10" t="str">
        <f>"PFES1162562246_0001"</f>
        <v>PFES1162562246_0001</v>
      </c>
      <c r="L1563" s="10">
        <v>1</v>
      </c>
      <c r="M1563" s="10">
        <v>1</v>
      </c>
    </row>
    <row r="1564" spans="1:13">
      <c r="A1564" s="8">
        <v>42929</v>
      </c>
      <c r="B1564" s="9">
        <v>0.4916666666666667</v>
      </c>
      <c r="C1564" s="10" t="str">
        <f>"FES1162562279"</f>
        <v>FES1162562279</v>
      </c>
      <c r="D1564" s="10" t="s">
        <v>19</v>
      </c>
      <c r="E1564" s="10" t="s">
        <v>361</v>
      </c>
      <c r="F1564" s="10" t="str">
        <f>"2170578845 "</f>
        <v xml:space="preserve">2170578845 </v>
      </c>
      <c r="G1564" s="10" t="str">
        <f t="shared" si="65"/>
        <v>ON1</v>
      </c>
      <c r="H1564" s="10" t="s">
        <v>21</v>
      </c>
      <c r="I1564" s="10" t="s">
        <v>106</v>
      </c>
      <c r="J1564" s="10" t="str">
        <f>""</f>
        <v/>
      </c>
      <c r="K1564" s="10" t="str">
        <f>"PFES1162562279_0001"</f>
        <v>PFES1162562279_0001</v>
      </c>
      <c r="L1564" s="10">
        <v>1</v>
      </c>
      <c r="M1564" s="10">
        <v>1</v>
      </c>
    </row>
    <row r="1565" spans="1:13">
      <c r="A1565" s="8">
        <v>42929</v>
      </c>
      <c r="B1565" s="9">
        <v>0.4916666666666667</v>
      </c>
      <c r="C1565" s="10" t="str">
        <f>"FES1162562199"</f>
        <v>FES1162562199</v>
      </c>
      <c r="D1565" s="10" t="s">
        <v>19</v>
      </c>
      <c r="E1565" s="10" t="s">
        <v>823</v>
      </c>
      <c r="F1565" s="10" t="str">
        <f>"2170578728 "</f>
        <v xml:space="preserve">2170578728 </v>
      </c>
      <c r="G1565" s="10" t="str">
        <f t="shared" si="65"/>
        <v>ON1</v>
      </c>
      <c r="H1565" s="10" t="s">
        <v>21</v>
      </c>
      <c r="I1565" s="10" t="s">
        <v>700</v>
      </c>
      <c r="J1565" s="10" t="str">
        <f>""</f>
        <v/>
      </c>
      <c r="K1565" s="10" t="str">
        <f>"PFES1162562199_0001"</f>
        <v>PFES1162562199_0001</v>
      </c>
      <c r="L1565" s="10">
        <v>1</v>
      </c>
      <c r="M1565" s="10">
        <v>1</v>
      </c>
    </row>
    <row r="1566" spans="1:13">
      <c r="A1566" s="8">
        <v>42929</v>
      </c>
      <c r="B1566" s="9">
        <v>0.4909722222222222</v>
      </c>
      <c r="C1566" s="10" t="str">
        <f>"FES1162562242"</f>
        <v>FES1162562242</v>
      </c>
      <c r="D1566" s="10" t="s">
        <v>19</v>
      </c>
      <c r="E1566" s="10" t="s">
        <v>180</v>
      </c>
      <c r="F1566" s="10" t="str">
        <f>"2170578594 "</f>
        <v xml:space="preserve">2170578594 </v>
      </c>
      <c r="G1566" s="10" t="str">
        <f t="shared" si="65"/>
        <v>ON1</v>
      </c>
      <c r="H1566" s="10" t="s">
        <v>21</v>
      </c>
      <c r="I1566" s="10" t="s">
        <v>168</v>
      </c>
      <c r="J1566" s="10" t="str">
        <f>""</f>
        <v/>
      </c>
      <c r="K1566" s="10" t="str">
        <f>"PFES1162562242_0001"</f>
        <v>PFES1162562242_0001</v>
      </c>
      <c r="L1566" s="10">
        <v>1</v>
      </c>
      <c r="M1566" s="10">
        <v>1</v>
      </c>
    </row>
    <row r="1567" spans="1:13">
      <c r="A1567" s="8">
        <v>42929</v>
      </c>
      <c r="B1567" s="9">
        <v>0.4909722222222222</v>
      </c>
      <c r="C1567" s="10" t="str">
        <f>"FES1162562287"</f>
        <v>FES1162562287</v>
      </c>
      <c r="D1567" s="10" t="s">
        <v>19</v>
      </c>
      <c r="E1567" s="10" t="s">
        <v>659</v>
      </c>
      <c r="F1567" s="10" t="str">
        <f>"217078853 "</f>
        <v xml:space="preserve">217078853 </v>
      </c>
      <c r="G1567" s="10" t="str">
        <f t="shared" si="65"/>
        <v>ON1</v>
      </c>
      <c r="H1567" s="10" t="s">
        <v>21</v>
      </c>
      <c r="I1567" s="10" t="s">
        <v>183</v>
      </c>
      <c r="J1567" s="10" t="str">
        <f>""</f>
        <v/>
      </c>
      <c r="K1567" s="10" t="str">
        <f>"PFES1162562287_0001"</f>
        <v>PFES1162562287_0001</v>
      </c>
      <c r="L1567" s="10">
        <v>1</v>
      </c>
      <c r="M1567" s="10">
        <v>1</v>
      </c>
    </row>
    <row r="1568" spans="1:13">
      <c r="A1568" s="8">
        <v>42929</v>
      </c>
      <c r="B1568" s="9">
        <v>0.49027777777777781</v>
      </c>
      <c r="C1568" s="10" t="str">
        <f>"FES1162562319"</f>
        <v>FES1162562319</v>
      </c>
      <c r="D1568" s="10" t="s">
        <v>19</v>
      </c>
      <c r="E1568" s="10" t="s">
        <v>288</v>
      </c>
      <c r="F1568" s="10" t="str">
        <f>"21705787898 "</f>
        <v xml:space="preserve">21705787898 </v>
      </c>
      <c r="G1568" s="10" t="str">
        <f t="shared" si="65"/>
        <v>ON1</v>
      </c>
      <c r="H1568" s="10" t="s">
        <v>21</v>
      </c>
      <c r="I1568" s="10" t="s">
        <v>252</v>
      </c>
      <c r="J1568" s="10" t="str">
        <f>""</f>
        <v/>
      </c>
      <c r="K1568" s="10" t="str">
        <f>"PFES1162562319_0001"</f>
        <v>PFES1162562319_0001</v>
      </c>
      <c r="L1568" s="10">
        <v>1</v>
      </c>
      <c r="M1568" s="10">
        <v>1</v>
      </c>
    </row>
    <row r="1569" spans="1:13">
      <c r="A1569" s="8">
        <v>42929</v>
      </c>
      <c r="B1569" s="9">
        <v>0.48958333333333331</v>
      </c>
      <c r="C1569" s="10" t="str">
        <f>"FES1162562204"</f>
        <v>FES1162562204</v>
      </c>
      <c r="D1569" s="10" t="s">
        <v>19</v>
      </c>
      <c r="E1569" s="10" t="s">
        <v>466</v>
      </c>
      <c r="F1569" s="10" t="str">
        <f>"2170578811 "</f>
        <v xml:space="preserve">2170578811 </v>
      </c>
      <c r="G1569" s="10" t="str">
        <f t="shared" si="65"/>
        <v>ON1</v>
      </c>
      <c r="H1569" s="10" t="s">
        <v>21</v>
      </c>
      <c r="I1569" s="10" t="s">
        <v>467</v>
      </c>
      <c r="J1569" s="10" t="str">
        <f>""</f>
        <v/>
      </c>
      <c r="K1569" s="10" t="str">
        <f>"PFES1162562204_0001"</f>
        <v>PFES1162562204_0001</v>
      </c>
      <c r="L1569" s="10">
        <v>1</v>
      </c>
      <c r="M1569" s="10">
        <v>1</v>
      </c>
    </row>
    <row r="1570" spans="1:13">
      <c r="A1570" s="8">
        <v>42929</v>
      </c>
      <c r="B1570" s="9">
        <v>0.48958333333333331</v>
      </c>
      <c r="C1570" s="10" t="str">
        <f>"FES1162562280"</f>
        <v>FES1162562280</v>
      </c>
      <c r="D1570" s="10" t="s">
        <v>19</v>
      </c>
      <c r="E1570" s="10" t="s">
        <v>824</v>
      </c>
      <c r="F1570" s="10" t="str">
        <f>"2170578846 "</f>
        <v xml:space="preserve">2170578846 </v>
      </c>
      <c r="G1570" s="10" t="str">
        <f t="shared" si="65"/>
        <v>ON1</v>
      </c>
      <c r="H1570" s="10" t="s">
        <v>21</v>
      </c>
      <c r="I1570" s="10" t="s">
        <v>240</v>
      </c>
      <c r="J1570" s="10" t="str">
        <f>""</f>
        <v/>
      </c>
      <c r="K1570" s="10" t="str">
        <f>"PFES1162562280_0001"</f>
        <v>PFES1162562280_0001</v>
      </c>
      <c r="L1570" s="10">
        <v>1</v>
      </c>
      <c r="M1570" s="10">
        <v>3</v>
      </c>
    </row>
    <row r="1571" spans="1:13">
      <c r="A1571" s="8">
        <v>42929</v>
      </c>
      <c r="B1571" s="9">
        <v>0.48680555555555555</v>
      </c>
      <c r="C1571" s="10" t="str">
        <f>"FES1162562223"</f>
        <v>FES1162562223</v>
      </c>
      <c r="D1571" s="10" t="s">
        <v>19</v>
      </c>
      <c r="E1571" s="10" t="s">
        <v>237</v>
      </c>
      <c r="F1571" s="10" t="str">
        <f>"2170576914 "</f>
        <v xml:space="preserve">2170576914 </v>
      </c>
      <c r="G1571" s="10" t="str">
        <f t="shared" si="65"/>
        <v>ON1</v>
      </c>
      <c r="H1571" s="10" t="s">
        <v>21</v>
      </c>
      <c r="I1571" s="10" t="s">
        <v>238</v>
      </c>
      <c r="J1571" s="10" t="str">
        <f>""</f>
        <v/>
      </c>
      <c r="K1571" s="10" t="str">
        <f>"PFES1162562223_0001"</f>
        <v>PFES1162562223_0001</v>
      </c>
      <c r="L1571" s="10">
        <v>1</v>
      </c>
      <c r="M1571" s="10">
        <v>13</v>
      </c>
    </row>
    <row r="1572" spans="1:13">
      <c r="A1572" s="8">
        <v>42929</v>
      </c>
      <c r="B1572" s="9">
        <v>0.4861111111111111</v>
      </c>
      <c r="C1572" s="10" t="str">
        <f>"FES1162562222"</f>
        <v>FES1162562222</v>
      </c>
      <c r="D1572" s="10" t="s">
        <v>19</v>
      </c>
      <c r="E1572" s="10" t="s">
        <v>184</v>
      </c>
      <c r="F1572" s="10" t="str">
        <f>"2170576908 "</f>
        <v xml:space="preserve">2170576908 </v>
      </c>
      <c r="G1572" s="10" t="str">
        <f t="shared" si="65"/>
        <v>ON1</v>
      </c>
      <c r="H1572" s="10" t="s">
        <v>21</v>
      </c>
      <c r="I1572" s="10" t="s">
        <v>185</v>
      </c>
      <c r="J1572" s="10" t="str">
        <f>""</f>
        <v/>
      </c>
      <c r="K1572" s="10" t="str">
        <f>"PFES1162562222_0001"</f>
        <v>PFES1162562222_0001</v>
      </c>
      <c r="L1572" s="10">
        <v>1</v>
      </c>
      <c r="M1572" s="10">
        <v>4</v>
      </c>
    </row>
    <row r="1573" spans="1:13">
      <c r="A1573" s="8">
        <v>42929</v>
      </c>
      <c r="B1573" s="9">
        <v>0.48472222222222222</v>
      </c>
      <c r="C1573" s="10" t="str">
        <f>"FES1162562203"</f>
        <v>FES1162562203</v>
      </c>
      <c r="D1573" s="10" t="s">
        <v>19</v>
      </c>
      <c r="E1573" s="10" t="s">
        <v>39</v>
      </c>
      <c r="F1573" s="10" t="str">
        <f>"2170578808 "</f>
        <v xml:space="preserve">2170578808 </v>
      </c>
      <c r="G1573" s="10" t="str">
        <f t="shared" si="65"/>
        <v>ON1</v>
      </c>
      <c r="H1573" s="10" t="s">
        <v>21</v>
      </c>
      <c r="I1573" s="10" t="s">
        <v>40</v>
      </c>
      <c r="J1573" s="10" t="str">
        <f>""</f>
        <v/>
      </c>
      <c r="K1573" s="10" t="str">
        <f>"PFES1162562203_0001"</f>
        <v>PFES1162562203_0001</v>
      </c>
      <c r="L1573" s="10">
        <v>1</v>
      </c>
      <c r="M1573" s="10">
        <v>1</v>
      </c>
    </row>
    <row r="1574" spans="1:13">
      <c r="A1574" s="8">
        <v>42929</v>
      </c>
      <c r="B1574" s="9">
        <v>0.48472222222222222</v>
      </c>
      <c r="C1574" s="10" t="str">
        <f>"FES1162562236"</f>
        <v>FES1162562236</v>
      </c>
      <c r="D1574" s="10" t="s">
        <v>19</v>
      </c>
      <c r="E1574" s="10" t="s">
        <v>349</v>
      </c>
      <c r="F1574" s="10" t="str">
        <f>"2170578154 "</f>
        <v xml:space="preserve">2170578154 </v>
      </c>
      <c r="G1574" s="10" t="str">
        <f t="shared" si="65"/>
        <v>ON1</v>
      </c>
      <c r="H1574" s="10" t="s">
        <v>21</v>
      </c>
      <c r="I1574" s="10" t="s">
        <v>58</v>
      </c>
      <c r="J1574" s="10" t="str">
        <f>""</f>
        <v/>
      </c>
      <c r="K1574" s="10" t="str">
        <f>"PFES1162562236_0001"</f>
        <v>PFES1162562236_0001</v>
      </c>
      <c r="L1574" s="10">
        <v>1</v>
      </c>
      <c r="M1574" s="10">
        <v>1</v>
      </c>
    </row>
    <row r="1575" spans="1:13">
      <c r="A1575" s="8">
        <v>42929</v>
      </c>
      <c r="B1575" s="9">
        <v>0.48402777777777778</v>
      </c>
      <c r="C1575" s="10" t="str">
        <f>"FES1162562238"</f>
        <v>FES1162562238</v>
      </c>
      <c r="D1575" s="10" t="s">
        <v>19</v>
      </c>
      <c r="E1575" s="10" t="s">
        <v>288</v>
      </c>
      <c r="F1575" s="10" t="str">
        <f>"2170578330 "</f>
        <v xml:space="preserve">2170578330 </v>
      </c>
      <c r="G1575" s="10" t="str">
        <f t="shared" si="65"/>
        <v>ON1</v>
      </c>
      <c r="H1575" s="10" t="s">
        <v>21</v>
      </c>
      <c r="I1575" s="10" t="s">
        <v>177</v>
      </c>
      <c r="J1575" s="10" t="str">
        <f>""</f>
        <v/>
      </c>
      <c r="K1575" s="10" t="str">
        <f>"PFES1162562238_0001"</f>
        <v>PFES1162562238_0001</v>
      </c>
      <c r="L1575" s="10">
        <v>1</v>
      </c>
      <c r="M1575" s="10">
        <v>1</v>
      </c>
    </row>
    <row r="1576" spans="1:13">
      <c r="A1576" s="8">
        <v>42929</v>
      </c>
      <c r="B1576" s="9">
        <v>0.48333333333333334</v>
      </c>
      <c r="C1576" s="10" t="str">
        <f>"FES1162562211"</f>
        <v>FES1162562211</v>
      </c>
      <c r="D1576" s="10" t="s">
        <v>19</v>
      </c>
      <c r="E1576" s="10" t="s">
        <v>419</v>
      </c>
      <c r="F1576" s="10" t="str">
        <f>"2170575876 "</f>
        <v xml:space="preserve">2170575876 </v>
      </c>
      <c r="G1576" s="10" t="str">
        <f t="shared" si="65"/>
        <v>ON1</v>
      </c>
      <c r="H1576" s="10" t="s">
        <v>21</v>
      </c>
      <c r="I1576" s="10" t="s">
        <v>177</v>
      </c>
      <c r="J1576" s="10" t="str">
        <f>""</f>
        <v/>
      </c>
      <c r="K1576" s="10" t="str">
        <f>"PFES1162562211_0001"</f>
        <v>PFES1162562211_0001</v>
      </c>
      <c r="L1576" s="10">
        <v>1</v>
      </c>
      <c r="M1576" s="10">
        <v>1</v>
      </c>
    </row>
    <row r="1577" spans="1:13">
      <c r="A1577" s="8">
        <v>42929</v>
      </c>
      <c r="B1577" s="9">
        <v>0.4826388888888889</v>
      </c>
      <c r="C1577" s="10" t="str">
        <f>"FES1162562248"</f>
        <v>FES1162562248</v>
      </c>
      <c r="D1577" s="10" t="s">
        <v>19</v>
      </c>
      <c r="E1577" s="10" t="s">
        <v>825</v>
      </c>
      <c r="F1577" s="10" t="str">
        <f>"2170578815 "</f>
        <v xml:space="preserve">2170578815 </v>
      </c>
      <c r="G1577" s="10" t="str">
        <f t="shared" si="65"/>
        <v>ON1</v>
      </c>
      <c r="H1577" s="10" t="s">
        <v>21</v>
      </c>
      <c r="I1577" s="10" t="s">
        <v>724</v>
      </c>
      <c r="J1577" s="10" t="str">
        <f>""</f>
        <v/>
      </c>
      <c r="K1577" s="10" t="str">
        <f>"PFES1162562248_0001"</f>
        <v>PFES1162562248_0001</v>
      </c>
      <c r="L1577" s="10">
        <v>1</v>
      </c>
      <c r="M1577" s="10">
        <v>1</v>
      </c>
    </row>
    <row r="1578" spans="1:13">
      <c r="A1578" s="8">
        <v>42929</v>
      </c>
      <c r="B1578" s="9">
        <v>0.4826388888888889</v>
      </c>
      <c r="C1578" s="10" t="str">
        <f>"FES1162562218"</f>
        <v>FES1162562218</v>
      </c>
      <c r="D1578" s="10" t="s">
        <v>19</v>
      </c>
      <c r="E1578" s="10" t="s">
        <v>441</v>
      </c>
      <c r="F1578" s="10" t="str">
        <f>"2170576781 "</f>
        <v xml:space="preserve">2170576781 </v>
      </c>
      <c r="G1578" s="10" t="str">
        <f t="shared" si="65"/>
        <v>ON1</v>
      </c>
      <c r="H1578" s="10" t="s">
        <v>21</v>
      </c>
      <c r="I1578" s="10" t="s">
        <v>166</v>
      </c>
      <c r="J1578" s="10" t="str">
        <f>""</f>
        <v/>
      </c>
      <c r="K1578" s="10" t="str">
        <f>"PFES1162562218_0001"</f>
        <v>PFES1162562218_0001</v>
      </c>
      <c r="L1578" s="10">
        <v>1</v>
      </c>
      <c r="M1578" s="10">
        <v>1</v>
      </c>
    </row>
    <row r="1579" spans="1:13">
      <c r="A1579" s="8">
        <v>42929</v>
      </c>
      <c r="B1579" s="9">
        <v>0.48194444444444445</v>
      </c>
      <c r="C1579" s="10" t="str">
        <f>"FES1162562226"</f>
        <v>FES1162562226</v>
      </c>
      <c r="D1579" s="10" t="s">
        <v>19</v>
      </c>
      <c r="E1579" s="10" t="s">
        <v>71</v>
      </c>
      <c r="F1579" s="10" t="str">
        <f>"2170576918 "</f>
        <v xml:space="preserve">2170576918 </v>
      </c>
      <c r="G1579" s="10" t="str">
        <f t="shared" si="65"/>
        <v>ON1</v>
      </c>
      <c r="H1579" s="10" t="s">
        <v>21</v>
      </c>
      <c r="I1579" s="10" t="s">
        <v>26</v>
      </c>
      <c r="J1579" s="10" t="str">
        <f>""</f>
        <v/>
      </c>
      <c r="K1579" s="10" t="str">
        <f>"PFES1162562226_0001"</f>
        <v>PFES1162562226_0001</v>
      </c>
      <c r="L1579" s="10">
        <v>1</v>
      </c>
      <c r="M1579" s="10">
        <v>1</v>
      </c>
    </row>
    <row r="1580" spans="1:13">
      <c r="A1580" s="8">
        <v>42929</v>
      </c>
      <c r="B1580" s="9">
        <v>0.48194444444444445</v>
      </c>
      <c r="C1580" s="10" t="str">
        <f>"FES1162562326"</f>
        <v>FES1162562326</v>
      </c>
      <c r="D1580" s="10" t="s">
        <v>19</v>
      </c>
      <c r="E1580" s="10" t="s">
        <v>78</v>
      </c>
      <c r="F1580" s="10" t="str">
        <f>"2170578908 "</f>
        <v xml:space="preserve">2170578908 </v>
      </c>
      <c r="G1580" s="10" t="str">
        <f t="shared" si="65"/>
        <v>ON1</v>
      </c>
      <c r="H1580" s="10" t="s">
        <v>21</v>
      </c>
      <c r="I1580" s="10" t="s">
        <v>79</v>
      </c>
      <c r="J1580" s="10" t="str">
        <f>""</f>
        <v/>
      </c>
      <c r="K1580" s="10" t="str">
        <f>"PFES1162562326_0001"</f>
        <v>PFES1162562326_0001</v>
      </c>
      <c r="L1580" s="10">
        <v>1</v>
      </c>
      <c r="M1580" s="10">
        <v>1</v>
      </c>
    </row>
    <row r="1581" spans="1:13">
      <c r="A1581" s="8">
        <v>42929</v>
      </c>
      <c r="B1581" s="9">
        <v>0.48125000000000001</v>
      </c>
      <c r="C1581" s="10" t="str">
        <f>"FES1162562245"</f>
        <v>FES1162562245</v>
      </c>
      <c r="D1581" s="10" t="s">
        <v>19</v>
      </c>
      <c r="E1581" s="10" t="s">
        <v>277</v>
      </c>
      <c r="F1581" s="10" t="str">
        <f>"2170578676 "</f>
        <v xml:space="preserve">2170578676 </v>
      </c>
      <c r="G1581" s="10" t="str">
        <f t="shared" si="65"/>
        <v>ON1</v>
      </c>
      <c r="H1581" s="10" t="s">
        <v>21</v>
      </c>
      <c r="I1581" s="10" t="s">
        <v>234</v>
      </c>
      <c r="J1581" s="10" t="str">
        <f>""</f>
        <v/>
      </c>
      <c r="K1581" s="10" t="str">
        <f>"PFES1162562245_0001"</f>
        <v>PFES1162562245_0001</v>
      </c>
      <c r="L1581" s="10">
        <v>1</v>
      </c>
      <c r="M1581" s="10">
        <v>1</v>
      </c>
    </row>
    <row r="1582" spans="1:13">
      <c r="A1582" s="8">
        <v>42929</v>
      </c>
      <c r="B1582" s="9">
        <v>0.48055555555555557</v>
      </c>
      <c r="C1582" s="10" t="str">
        <f>"FES1162562254"</f>
        <v>FES1162562254</v>
      </c>
      <c r="D1582" s="10" t="s">
        <v>19</v>
      </c>
      <c r="E1582" s="10" t="s">
        <v>165</v>
      </c>
      <c r="F1582" s="10" t="str">
        <f>"2170578823 "</f>
        <v xml:space="preserve">2170578823 </v>
      </c>
      <c r="G1582" s="10" t="str">
        <f t="shared" si="65"/>
        <v>ON1</v>
      </c>
      <c r="H1582" s="10" t="s">
        <v>21</v>
      </c>
      <c r="I1582" s="10" t="s">
        <v>166</v>
      </c>
      <c r="J1582" s="10" t="str">
        <f>""</f>
        <v/>
      </c>
      <c r="K1582" s="10" t="str">
        <f>"PFES1162562254_0001"</f>
        <v>PFES1162562254_0001</v>
      </c>
      <c r="L1582" s="10">
        <v>1</v>
      </c>
      <c r="M1582" s="10">
        <v>1</v>
      </c>
    </row>
    <row r="1583" spans="1:13">
      <c r="A1583" s="8">
        <v>42929</v>
      </c>
      <c r="B1583" s="9">
        <v>0.47986111111111113</v>
      </c>
      <c r="C1583" s="10" t="str">
        <f>"FES1162562215"</f>
        <v>FES1162562215</v>
      </c>
      <c r="D1583" s="10" t="s">
        <v>19</v>
      </c>
      <c r="E1583" s="10" t="s">
        <v>441</v>
      </c>
      <c r="F1583" s="10" t="str">
        <f>"2170576737 "</f>
        <v xml:space="preserve">2170576737 </v>
      </c>
      <c r="G1583" s="10" t="str">
        <f t="shared" si="65"/>
        <v>ON1</v>
      </c>
      <c r="H1583" s="10" t="s">
        <v>21</v>
      </c>
      <c r="I1583" s="10" t="s">
        <v>166</v>
      </c>
      <c r="J1583" s="10" t="str">
        <f>""</f>
        <v/>
      </c>
      <c r="K1583" s="10" t="str">
        <f>"PFES1162562215_0001"</f>
        <v>PFES1162562215_0001</v>
      </c>
      <c r="L1583" s="10">
        <v>1</v>
      </c>
      <c r="M1583" s="10">
        <v>1</v>
      </c>
    </row>
    <row r="1584" spans="1:13">
      <c r="A1584" s="8">
        <v>42929</v>
      </c>
      <c r="B1584" s="9">
        <v>0.4777777777777778</v>
      </c>
      <c r="C1584" s="10" t="str">
        <f>"FES1162562210"</f>
        <v>FES1162562210</v>
      </c>
      <c r="D1584" s="10" t="s">
        <v>19</v>
      </c>
      <c r="E1584" s="10" t="s">
        <v>249</v>
      </c>
      <c r="F1584" s="10" t="str">
        <f>"2170574772 "</f>
        <v xml:space="preserve">2170574772 </v>
      </c>
      <c r="G1584" s="10" t="str">
        <f t="shared" si="65"/>
        <v>ON1</v>
      </c>
      <c r="H1584" s="10" t="s">
        <v>21</v>
      </c>
      <c r="I1584" s="10" t="s">
        <v>166</v>
      </c>
      <c r="J1584" s="10" t="str">
        <f>""</f>
        <v/>
      </c>
      <c r="K1584" s="10" t="str">
        <f>"PFES1162562210_0001"</f>
        <v>PFES1162562210_0001</v>
      </c>
      <c r="L1584" s="10">
        <v>1</v>
      </c>
      <c r="M1584" s="10">
        <v>1</v>
      </c>
    </row>
    <row r="1585" spans="1:13">
      <c r="A1585" s="8">
        <v>42929</v>
      </c>
      <c r="B1585" s="9">
        <v>0.46597222222222223</v>
      </c>
      <c r="C1585" s="10" t="str">
        <f>"FES1162562244"</f>
        <v>FES1162562244</v>
      </c>
      <c r="D1585" s="10" t="s">
        <v>19</v>
      </c>
      <c r="E1585" s="10" t="s">
        <v>237</v>
      </c>
      <c r="F1585" s="10" t="str">
        <f>"2170578654 "</f>
        <v xml:space="preserve">2170578654 </v>
      </c>
      <c r="G1585" s="10" t="str">
        <f t="shared" si="65"/>
        <v>ON1</v>
      </c>
      <c r="H1585" s="10" t="s">
        <v>21</v>
      </c>
      <c r="I1585" s="10" t="s">
        <v>238</v>
      </c>
      <c r="J1585" s="10" t="str">
        <f>""</f>
        <v/>
      </c>
      <c r="K1585" s="10" t="str">
        <f>"PFES1162562244_0001"</f>
        <v>PFES1162562244_0001</v>
      </c>
      <c r="L1585" s="10">
        <v>1</v>
      </c>
      <c r="M1585" s="10">
        <v>1</v>
      </c>
    </row>
    <row r="1586" spans="1:13">
      <c r="A1586" s="8">
        <v>42929</v>
      </c>
      <c r="B1586" s="9">
        <v>0.39027777777777778</v>
      </c>
      <c r="C1586" s="10" t="str">
        <f>"FES1162562225"</f>
        <v>FES1162562225</v>
      </c>
      <c r="D1586" s="10" t="s">
        <v>19</v>
      </c>
      <c r="E1586" s="10" t="s">
        <v>122</v>
      </c>
      <c r="F1586" s="10" t="str">
        <f>"2170576917 "</f>
        <v xml:space="preserve">2170576917 </v>
      </c>
      <c r="G1586" s="10" t="str">
        <f t="shared" si="65"/>
        <v>ON1</v>
      </c>
      <c r="H1586" s="10" t="s">
        <v>21</v>
      </c>
      <c r="I1586" s="10" t="s">
        <v>77</v>
      </c>
      <c r="J1586" s="10" t="str">
        <f>""</f>
        <v/>
      </c>
      <c r="K1586" s="10" t="str">
        <f>"PFES1162562225_0001"</f>
        <v>PFES1162562225_0001</v>
      </c>
      <c r="L1586" s="10">
        <v>1</v>
      </c>
      <c r="M1586" s="10">
        <v>1</v>
      </c>
    </row>
    <row r="1587" spans="1:13">
      <c r="A1587" s="8">
        <v>42929</v>
      </c>
      <c r="B1587" s="9">
        <v>0.38541666666666669</v>
      </c>
      <c r="C1587" s="10" t="str">
        <f>"FES1162562224"</f>
        <v>FES1162562224</v>
      </c>
      <c r="D1587" s="10" t="s">
        <v>19</v>
      </c>
      <c r="E1587" s="10" t="s">
        <v>237</v>
      </c>
      <c r="F1587" s="10" t="str">
        <f>"2170576916 "</f>
        <v xml:space="preserve">2170576916 </v>
      </c>
      <c r="G1587" s="10" t="str">
        <f t="shared" si="65"/>
        <v>ON1</v>
      </c>
      <c r="H1587" s="10" t="s">
        <v>21</v>
      </c>
      <c r="I1587" s="10" t="s">
        <v>238</v>
      </c>
      <c r="J1587" s="10" t="str">
        <f>""</f>
        <v/>
      </c>
      <c r="K1587" s="10" t="str">
        <f>"PFES1162562224_0001"</f>
        <v>PFES1162562224_0001</v>
      </c>
      <c r="L1587" s="10">
        <v>1</v>
      </c>
      <c r="M1587" s="10">
        <v>1</v>
      </c>
    </row>
    <row r="1588" spans="1:13">
      <c r="A1588" s="8">
        <v>42929</v>
      </c>
      <c r="B1588" s="9">
        <v>0.69652777777777775</v>
      </c>
      <c r="C1588" s="10" t="str">
        <f>"FES1162562501"</f>
        <v>FES1162562501</v>
      </c>
      <c r="D1588" s="10" t="s">
        <v>19</v>
      </c>
      <c r="E1588" s="10" t="s">
        <v>791</v>
      </c>
      <c r="F1588" s="10" t="str">
        <f>"2170579102 "</f>
        <v xml:space="preserve">2170579102 </v>
      </c>
      <c r="G1588" s="10" t="str">
        <f t="shared" si="65"/>
        <v>ON1</v>
      </c>
      <c r="H1588" s="10" t="s">
        <v>21</v>
      </c>
      <c r="I1588" s="10" t="s">
        <v>792</v>
      </c>
      <c r="J1588" s="10" t="str">
        <f>""</f>
        <v/>
      </c>
      <c r="K1588" s="10" t="str">
        <f>"PFES1162562501_0001"</f>
        <v>PFES1162562501_0001</v>
      </c>
      <c r="L1588" s="10">
        <v>1</v>
      </c>
      <c r="M1588" s="10">
        <v>1</v>
      </c>
    </row>
    <row r="1589" spans="1:13">
      <c r="A1589" s="8">
        <v>42929</v>
      </c>
      <c r="B1589" s="9">
        <v>0.69374999999999998</v>
      </c>
      <c r="C1589" s="10" t="str">
        <f>"FES1162562420"</f>
        <v>FES1162562420</v>
      </c>
      <c r="D1589" s="10" t="s">
        <v>19</v>
      </c>
      <c r="E1589" s="10" t="s">
        <v>361</v>
      </c>
      <c r="F1589" s="10" t="str">
        <f>"2170579005 "</f>
        <v xml:space="preserve">2170579005 </v>
      </c>
      <c r="G1589" s="10" t="str">
        <f t="shared" si="65"/>
        <v>ON1</v>
      </c>
      <c r="H1589" s="10" t="s">
        <v>21</v>
      </c>
      <c r="I1589" s="10" t="s">
        <v>106</v>
      </c>
      <c r="J1589" s="10" t="str">
        <f>""</f>
        <v/>
      </c>
      <c r="K1589" s="10" t="str">
        <f>"PFES1162562420_0001"</f>
        <v>PFES1162562420_0001</v>
      </c>
      <c r="L1589" s="10">
        <v>1</v>
      </c>
      <c r="M1589" s="10">
        <v>4</v>
      </c>
    </row>
    <row r="1590" spans="1:13">
      <c r="A1590" s="8">
        <v>42929</v>
      </c>
      <c r="B1590" s="9">
        <v>0.69305555555555554</v>
      </c>
      <c r="C1590" s="10" t="str">
        <f>"FES1162562416"</f>
        <v>FES1162562416</v>
      </c>
      <c r="D1590" s="10" t="s">
        <v>19</v>
      </c>
      <c r="E1590" s="10" t="s">
        <v>477</v>
      </c>
      <c r="F1590" s="10" t="str">
        <f>"2170577973 "</f>
        <v xml:space="preserve">2170577973 </v>
      </c>
      <c r="G1590" s="10" t="str">
        <f t="shared" si="65"/>
        <v>ON1</v>
      </c>
      <c r="H1590" s="10" t="s">
        <v>21</v>
      </c>
      <c r="I1590" s="10" t="s">
        <v>138</v>
      </c>
      <c r="J1590" s="10" t="str">
        <f>""</f>
        <v/>
      </c>
      <c r="K1590" s="10" t="str">
        <f>"PFES1162562416_0001"</f>
        <v>PFES1162562416_0001</v>
      </c>
      <c r="L1590" s="10">
        <v>1</v>
      </c>
      <c r="M1590" s="10">
        <v>2</v>
      </c>
    </row>
    <row r="1591" spans="1:13">
      <c r="A1591" s="8">
        <v>42929</v>
      </c>
      <c r="B1591" s="9">
        <v>0.69305555555555554</v>
      </c>
      <c r="C1591" s="10" t="str">
        <f>"FES1162562418"</f>
        <v>FES1162562418</v>
      </c>
      <c r="D1591" s="10" t="s">
        <v>19</v>
      </c>
      <c r="E1591" s="10" t="s">
        <v>477</v>
      </c>
      <c r="F1591" s="10" t="str">
        <f>"2170577979 "</f>
        <v xml:space="preserve">2170577979 </v>
      </c>
      <c r="G1591" s="10" t="str">
        <f t="shared" si="65"/>
        <v>ON1</v>
      </c>
      <c r="H1591" s="10" t="s">
        <v>21</v>
      </c>
      <c r="I1591" s="10" t="s">
        <v>138</v>
      </c>
      <c r="J1591" s="10" t="str">
        <f>""</f>
        <v/>
      </c>
      <c r="K1591" s="10" t="str">
        <f>"PFES1162562418_0001"</f>
        <v>PFES1162562418_0001</v>
      </c>
      <c r="L1591" s="10">
        <v>1</v>
      </c>
      <c r="M1591" s="10">
        <v>2</v>
      </c>
    </row>
    <row r="1592" spans="1:13">
      <c r="A1592" s="8">
        <v>42929</v>
      </c>
      <c r="B1592" s="9">
        <v>0.69305555555555554</v>
      </c>
      <c r="C1592" s="10" t="str">
        <f>"FES1162562454"</f>
        <v>FES1162562454</v>
      </c>
      <c r="D1592" s="10" t="s">
        <v>19</v>
      </c>
      <c r="E1592" s="10" t="s">
        <v>515</v>
      </c>
      <c r="F1592" s="10" t="str">
        <f>"2170579049 "</f>
        <v xml:space="preserve">2170579049 </v>
      </c>
      <c r="G1592" s="10" t="str">
        <f t="shared" si="65"/>
        <v>ON1</v>
      </c>
      <c r="H1592" s="10" t="s">
        <v>21</v>
      </c>
      <c r="I1592" s="10" t="s">
        <v>410</v>
      </c>
      <c r="J1592" s="10" t="str">
        <f>""</f>
        <v/>
      </c>
      <c r="K1592" s="10" t="str">
        <f>"PFES1162562454_0001"</f>
        <v>PFES1162562454_0001</v>
      </c>
      <c r="L1592" s="10">
        <v>1</v>
      </c>
      <c r="M1592" s="10">
        <v>8</v>
      </c>
    </row>
    <row r="1593" spans="1:13">
      <c r="A1593" s="8">
        <v>42929</v>
      </c>
      <c r="B1593" s="9">
        <v>0.69236111111111109</v>
      </c>
      <c r="C1593" s="10" t="str">
        <f>"FES1162562417"</f>
        <v>FES1162562417</v>
      </c>
      <c r="D1593" s="10" t="s">
        <v>19</v>
      </c>
      <c r="E1593" s="10" t="s">
        <v>477</v>
      </c>
      <c r="F1593" s="10" t="str">
        <f>"2170577975 "</f>
        <v xml:space="preserve">2170577975 </v>
      </c>
      <c r="G1593" s="10" t="str">
        <f t="shared" si="65"/>
        <v>ON1</v>
      </c>
      <c r="H1593" s="10" t="s">
        <v>21</v>
      </c>
      <c r="I1593" s="10" t="s">
        <v>138</v>
      </c>
      <c r="J1593" s="10" t="str">
        <f>""</f>
        <v/>
      </c>
      <c r="K1593" s="10" t="str">
        <f>"PFES1162562417_0001"</f>
        <v>PFES1162562417_0001</v>
      </c>
      <c r="L1593" s="10">
        <v>1</v>
      </c>
      <c r="M1593" s="10">
        <v>2</v>
      </c>
    </row>
    <row r="1594" spans="1:13">
      <c r="A1594" s="8">
        <v>42929</v>
      </c>
      <c r="B1594" s="9">
        <v>0.69236111111111109</v>
      </c>
      <c r="C1594" s="10" t="str">
        <f>"FES1162562435"</f>
        <v>FES1162562435</v>
      </c>
      <c r="D1594" s="10" t="s">
        <v>19</v>
      </c>
      <c r="E1594" s="10" t="s">
        <v>826</v>
      </c>
      <c r="F1594" s="10" t="str">
        <f>"2170579030 "</f>
        <v xml:space="preserve">2170579030 </v>
      </c>
      <c r="G1594" s="10" t="str">
        <f t="shared" si="65"/>
        <v>ON1</v>
      </c>
      <c r="H1594" s="10" t="s">
        <v>21</v>
      </c>
      <c r="I1594" s="10" t="s">
        <v>410</v>
      </c>
      <c r="J1594" s="10" t="str">
        <f>""</f>
        <v/>
      </c>
      <c r="K1594" s="10" t="str">
        <f>"PFES1162562435_0001"</f>
        <v>PFES1162562435_0001</v>
      </c>
      <c r="L1594" s="10">
        <v>1</v>
      </c>
      <c r="M1594" s="10">
        <v>1</v>
      </c>
    </row>
    <row r="1595" spans="1:13">
      <c r="A1595" s="8">
        <v>42929</v>
      </c>
      <c r="B1595" s="9">
        <v>0.69166666666666676</v>
      </c>
      <c r="C1595" s="10" t="str">
        <f>"FES1162562497"</f>
        <v>FES1162562497</v>
      </c>
      <c r="D1595" s="10" t="s">
        <v>19</v>
      </c>
      <c r="E1595" s="10" t="s">
        <v>827</v>
      </c>
      <c r="F1595" s="10" t="str">
        <f>"217059099 "</f>
        <v xml:space="preserve">217059099 </v>
      </c>
      <c r="G1595" s="10" t="str">
        <f t="shared" si="65"/>
        <v>ON1</v>
      </c>
      <c r="H1595" s="10" t="s">
        <v>21</v>
      </c>
      <c r="I1595" s="10" t="s">
        <v>828</v>
      </c>
      <c r="J1595" s="10" t="str">
        <f>""</f>
        <v/>
      </c>
      <c r="K1595" s="10" t="str">
        <f>"PFES1162562497_0001"</f>
        <v>PFES1162562497_0001</v>
      </c>
      <c r="L1595" s="10">
        <v>1</v>
      </c>
      <c r="M1595" s="10">
        <v>1</v>
      </c>
    </row>
    <row r="1596" spans="1:13">
      <c r="A1596" s="8">
        <v>42929</v>
      </c>
      <c r="B1596" s="9">
        <v>0.69166666666666676</v>
      </c>
      <c r="C1596" s="10" t="str">
        <f>"FES1162562412"</f>
        <v>FES1162562412</v>
      </c>
      <c r="D1596" s="10" t="s">
        <v>19</v>
      </c>
      <c r="E1596" s="10" t="s">
        <v>829</v>
      </c>
      <c r="F1596" s="10" t="str">
        <f>"2170579002 "</f>
        <v xml:space="preserve">2170579002 </v>
      </c>
      <c r="G1596" s="10" t="str">
        <f t="shared" si="65"/>
        <v>ON1</v>
      </c>
      <c r="H1596" s="10" t="s">
        <v>21</v>
      </c>
      <c r="I1596" s="10" t="s">
        <v>577</v>
      </c>
      <c r="J1596" s="10" t="str">
        <f>""</f>
        <v/>
      </c>
      <c r="K1596" s="10" t="str">
        <f>"PFES1162562412_0001"</f>
        <v>PFES1162562412_0001</v>
      </c>
      <c r="L1596" s="10">
        <v>1</v>
      </c>
      <c r="M1596" s="10">
        <v>3</v>
      </c>
    </row>
    <row r="1597" spans="1:13">
      <c r="A1597" s="8">
        <v>42929</v>
      </c>
      <c r="B1597" s="9">
        <v>0.69166666666666676</v>
      </c>
      <c r="C1597" s="10" t="str">
        <f>"FES1162562459"</f>
        <v>FES1162562459</v>
      </c>
      <c r="D1597" s="10" t="s">
        <v>19</v>
      </c>
      <c r="E1597" s="10" t="s">
        <v>830</v>
      </c>
      <c r="F1597" s="10" t="str">
        <f>"2170579057 "</f>
        <v xml:space="preserve">2170579057 </v>
      </c>
      <c r="G1597" s="10" t="str">
        <f t="shared" si="65"/>
        <v>ON1</v>
      </c>
      <c r="H1597" s="10" t="s">
        <v>21</v>
      </c>
      <c r="I1597" s="10" t="s">
        <v>831</v>
      </c>
      <c r="J1597" s="10" t="str">
        <f>""</f>
        <v/>
      </c>
      <c r="K1597" s="10" t="str">
        <f>"PFES1162562459_0001"</f>
        <v>PFES1162562459_0001</v>
      </c>
      <c r="L1597" s="10">
        <v>1</v>
      </c>
      <c r="M1597" s="10">
        <v>1</v>
      </c>
    </row>
    <row r="1598" spans="1:13">
      <c r="A1598" s="8">
        <v>42929</v>
      </c>
      <c r="B1598" s="9">
        <v>0.69166666666666676</v>
      </c>
      <c r="C1598" s="10" t="str">
        <f>"FES1162562498"</f>
        <v>FES1162562498</v>
      </c>
      <c r="D1598" s="10" t="s">
        <v>19</v>
      </c>
      <c r="E1598" s="10" t="s">
        <v>832</v>
      </c>
      <c r="F1598" s="10" t="str">
        <f>"2170579100 "</f>
        <v xml:space="preserve">2170579100 </v>
      </c>
      <c r="G1598" s="10" t="str">
        <f t="shared" si="65"/>
        <v>ON1</v>
      </c>
      <c r="H1598" s="10" t="s">
        <v>21</v>
      </c>
      <c r="I1598" s="10" t="s">
        <v>480</v>
      </c>
      <c r="J1598" s="10" t="str">
        <f>""</f>
        <v/>
      </c>
      <c r="K1598" s="10" t="str">
        <f>"PFES1162562498_0001"</f>
        <v>PFES1162562498_0001</v>
      </c>
      <c r="L1598" s="10">
        <v>1</v>
      </c>
      <c r="M1598" s="10">
        <v>1</v>
      </c>
    </row>
    <row r="1599" spans="1:13">
      <c r="A1599" s="8">
        <v>42929</v>
      </c>
      <c r="B1599" s="9">
        <v>0.69097222222222221</v>
      </c>
      <c r="C1599" s="10" t="str">
        <f>"FES1162562495"</f>
        <v>FES1162562495</v>
      </c>
      <c r="D1599" s="10" t="s">
        <v>19</v>
      </c>
      <c r="E1599" s="10" t="s">
        <v>610</v>
      </c>
      <c r="F1599" s="10" t="str">
        <f>"217057897907 "</f>
        <v xml:space="preserve">217057897907 </v>
      </c>
      <c r="G1599" s="10" t="str">
        <f t="shared" si="65"/>
        <v>ON1</v>
      </c>
      <c r="H1599" s="10" t="s">
        <v>21</v>
      </c>
      <c r="I1599" s="10" t="s">
        <v>196</v>
      </c>
      <c r="J1599" s="10" t="str">
        <f>""</f>
        <v/>
      </c>
      <c r="K1599" s="10" t="str">
        <f>"PFES1162562495_0001"</f>
        <v>PFES1162562495_0001</v>
      </c>
      <c r="L1599" s="10">
        <v>1</v>
      </c>
      <c r="M1599" s="10">
        <v>1</v>
      </c>
    </row>
    <row r="1600" spans="1:13">
      <c r="A1600" s="8">
        <v>42929</v>
      </c>
      <c r="B1600" s="9">
        <v>0.69097222222222221</v>
      </c>
      <c r="C1600" s="10" t="str">
        <f>"FES1162562492"</f>
        <v>FES1162562492</v>
      </c>
      <c r="D1600" s="10" t="s">
        <v>19</v>
      </c>
      <c r="E1600" s="10" t="s">
        <v>33</v>
      </c>
      <c r="F1600" s="10" t="str">
        <f>"2170579092 "</f>
        <v xml:space="preserve">2170579092 </v>
      </c>
      <c r="G1600" s="10" t="str">
        <f t="shared" si="65"/>
        <v>ON1</v>
      </c>
      <c r="H1600" s="10" t="s">
        <v>21</v>
      </c>
      <c r="I1600" s="10" t="s">
        <v>34</v>
      </c>
      <c r="J1600" s="10" t="str">
        <f>""</f>
        <v/>
      </c>
      <c r="K1600" s="10" t="str">
        <f>"PFES1162562492_0001"</f>
        <v>PFES1162562492_0001</v>
      </c>
      <c r="L1600" s="10">
        <v>1</v>
      </c>
      <c r="M1600" s="10">
        <v>1</v>
      </c>
    </row>
    <row r="1601" spans="1:13">
      <c r="A1601" s="8">
        <v>42929</v>
      </c>
      <c r="B1601" s="9">
        <v>0.69097222222222221</v>
      </c>
      <c r="C1601" s="10" t="str">
        <f>"FES1162562421"</f>
        <v>FES1162562421</v>
      </c>
      <c r="D1601" s="10" t="s">
        <v>19</v>
      </c>
      <c r="E1601" s="10" t="s">
        <v>379</v>
      </c>
      <c r="F1601" s="10" t="str">
        <f>"2170579006 "</f>
        <v xml:space="preserve">2170579006 </v>
      </c>
      <c r="G1601" s="10" t="str">
        <f t="shared" si="65"/>
        <v>ON1</v>
      </c>
      <c r="H1601" s="10" t="s">
        <v>21</v>
      </c>
      <c r="I1601" s="10" t="s">
        <v>380</v>
      </c>
      <c r="J1601" s="10" t="str">
        <f>""</f>
        <v/>
      </c>
      <c r="K1601" s="10" t="str">
        <f>"PFES1162562421_0001"</f>
        <v>PFES1162562421_0001</v>
      </c>
      <c r="L1601" s="10">
        <v>1</v>
      </c>
      <c r="M1601" s="10">
        <v>3</v>
      </c>
    </row>
    <row r="1602" spans="1:13">
      <c r="A1602" s="8">
        <v>42929</v>
      </c>
      <c r="B1602" s="9">
        <v>0.69097222222222221</v>
      </c>
      <c r="C1602" s="10" t="str">
        <f>"FES1162562496"</f>
        <v>FES1162562496</v>
      </c>
      <c r="D1602" s="10" t="s">
        <v>19</v>
      </c>
      <c r="E1602" s="10" t="s">
        <v>833</v>
      </c>
      <c r="F1602" s="10" t="str">
        <f>"2170579098 "</f>
        <v xml:space="preserve">2170579098 </v>
      </c>
      <c r="G1602" s="10" t="str">
        <f t="shared" si="65"/>
        <v>ON1</v>
      </c>
      <c r="H1602" s="10" t="s">
        <v>21</v>
      </c>
      <c r="I1602" s="10" t="s">
        <v>834</v>
      </c>
      <c r="J1602" s="10" t="str">
        <f>""</f>
        <v/>
      </c>
      <c r="K1602" s="10" t="str">
        <f>"PFES1162562496_0001"</f>
        <v>PFES1162562496_0001</v>
      </c>
      <c r="L1602" s="10">
        <v>1</v>
      </c>
      <c r="M1602" s="10">
        <v>1</v>
      </c>
    </row>
    <row r="1603" spans="1:13">
      <c r="A1603" s="8">
        <v>42929</v>
      </c>
      <c r="B1603" s="9">
        <v>0.68958333333333333</v>
      </c>
      <c r="C1603" s="10" t="str">
        <f>"FES1162562489"</f>
        <v>FES1162562489</v>
      </c>
      <c r="D1603" s="10" t="s">
        <v>19</v>
      </c>
      <c r="E1603" s="10" t="s">
        <v>835</v>
      </c>
      <c r="F1603" s="10" t="str">
        <f>"2170578797 "</f>
        <v xml:space="preserve">2170578797 </v>
      </c>
      <c r="G1603" s="10" t="str">
        <f t="shared" si="65"/>
        <v>ON1</v>
      </c>
      <c r="H1603" s="10" t="s">
        <v>21</v>
      </c>
      <c r="I1603" s="10" t="s">
        <v>330</v>
      </c>
      <c r="J1603" s="10" t="str">
        <f>""</f>
        <v/>
      </c>
      <c r="K1603" s="10" t="str">
        <f>"PFES1162562489_0001"</f>
        <v>PFES1162562489_0001</v>
      </c>
      <c r="L1603" s="10">
        <v>1</v>
      </c>
      <c r="M1603" s="10">
        <v>3</v>
      </c>
    </row>
    <row r="1604" spans="1:13">
      <c r="A1604" s="8">
        <v>42929</v>
      </c>
      <c r="B1604" s="9">
        <v>0.6875</v>
      </c>
      <c r="C1604" s="10" t="str">
        <f>"FES1162562463"</f>
        <v>FES1162562463</v>
      </c>
      <c r="D1604" s="10" t="s">
        <v>19</v>
      </c>
      <c r="E1604" s="10" t="s">
        <v>63</v>
      </c>
      <c r="F1604" s="10" t="str">
        <f>"2170579064 "</f>
        <v xml:space="preserve">2170579064 </v>
      </c>
      <c r="G1604" s="10" t="str">
        <f>"ON2"</f>
        <v>ON2</v>
      </c>
      <c r="H1604" s="10" t="s">
        <v>21</v>
      </c>
      <c r="I1604" s="10" t="s">
        <v>64</v>
      </c>
      <c r="J1604" s="10" t="str">
        <f>""</f>
        <v/>
      </c>
      <c r="K1604" s="10" t="str">
        <f>"PFES1162562463_0001"</f>
        <v>PFES1162562463_0001</v>
      </c>
      <c r="L1604" s="10">
        <v>1</v>
      </c>
      <c r="M1604" s="10">
        <v>12</v>
      </c>
    </row>
    <row r="1605" spans="1:13">
      <c r="A1605" s="8">
        <v>42929</v>
      </c>
      <c r="B1605" s="9">
        <v>0.68680555555555556</v>
      </c>
      <c r="C1605" s="10" t="str">
        <f>"FES1162562468"</f>
        <v>FES1162562468</v>
      </c>
      <c r="D1605" s="10" t="s">
        <v>19</v>
      </c>
      <c r="E1605" s="10" t="s">
        <v>415</v>
      </c>
      <c r="F1605" s="10" t="str">
        <f>"2170579071 "</f>
        <v xml:space="preserve">2170579071 </v>
      </c>
      <c r="G1605" s="10" t="str">
        <f>"ON2"</f>
        <v>ON2</v>
      </c>
      <c r="H1605" s="10" t="s">
        <v>21</v>
      </c>
      <c r="I1605" s="10" t="s">
        <v>92</v>
      </c>
      <c r="J1605" s="10" t="str">
        <f>""</f>
        <v/>
      </c>
      <c r="K1605" s="10" t="str">
        <f>"PFES1162562468_0001"</f>
        <v>PFES1162562468_0001</v>
      </c>
      <c r="L1605" s="10">
        <v>1</v>
      </c>
      <c r="M1605" s="10">
        <v>16</v>
      </c>
    </row>
    <row r="1606" spans="1:13">
      <c r="A1606" s="8">
        <v>42929</v>
      </c>
      <c r="B1606" s="9">
        <v>0.68680555555555556</v>
      </c>
      <c r="C1606" s="10" t="str">
        <f>"FES1162562471"</f>
        <v>FES1162562471</v>
      </c>
      <c r="D1606" s="10" t="s">
        <v>19</v>
      </c>
      <c r="E1606" s="10" t="s">
        <v>33</v>
      </c>
      <c r="F1606" s="10" t="str">
        <f>"2170597074 "</f>
        <v xml:space="preserve">2170597074 </v>
      </c>
      <c r="G1606" s="10" t="str">
        <f t="shared" ref="G1606:G1617" si="66">"ON1"</f>
        <v>ON1</v>
      </c>
      <c r="H1606" s="10" t="s">
        <v>21</v>
      </c>
      <c r="I1606" s="10" t="s">
        <v>34</v>
      </c>
      <c r="J1606" s="10" t="str">
        <f>""</f>
        <v/>
      </c>
      <c r="K1606" s="10" t="str">
        <f>"PFES1162562471_0001"</f>
        <v>PFES1162562471_0001</v>
      </c>
      <c r="L1606" s="10">
        <v>1</v>
      </c>
      <c r="M1606" s="10">
        <v>1</v>
      </c>
    </row>
    <row r="1607" spans="1:13">
      <c r="A1607" s="8">
        <v>42929</v>
      </c>
      <c r="B1607" s="9">
        <v>0.68680555555555556</v>
      </c>
      <c r="C1607" s="10" t="str">
        <f>"FES1162562482"</f>
        <v>FES1162562482</v>
      </c>
      <c r="D1607" s="10" t="s">
        <v>19</v>
      </c>
      <c r="E1607" s="10" t="s">
        <v>33</v>
      </c>
      <c r="F1607" s="10" t="str">
        <f>"217059082 "</f>
        <v xml:space="preserve">217059082 </v>
      </c>
      <c r="G1607" s="10" t="str">
        <f t="shared" si="66"/>
        <v>ON1</v>
      </c>
      <c r="H1607" s="10" t="s">
        <v>21</v>
      </c>
      <c r="I1607" s="10" t="s">
        <v>34</v>
      </c>
      <c r="J1607" s="10" t="str">
        <f>""</f>
        <v/>
      </c>
      <c r="K1607" s="10" t="str">
        <f>"PFES1162562482_0001"</f>
        <v>PFES1162562482_0001</v>
      </c>
      <c r="L1607" s="10">
        <v>1</v>
      </c>
      <c r="M1607" s="10">
        <v>1</v>
      </c>
    </row>
    <row r="1608" spans="1:13">
      <c r="A1608" s="8">
        <v>42929</v>
      </c>
      <c r="B1608" s="9">
        <v>0.68541666666666667</v>
      </c>
      <c r="C1608" s="10" t="str">
        <f>"FES1162562485"</f>
        <v>FES1162562485</v>
      </c>
      <c r="D1608" s="10" t="s">
        <v>19</v>
      </c>
      <c r="E1608" s="10" t="s">
        <v>95</v>
      </c>
      <c r="F1608" s="10" t="str">
        <f>"2170579090 "</f>
        <v xml:space="preserve">2170579090 </v>
      </c>
      <c r="G1608" s="10" t="str">
        <f t="shared" si="66"/>
        <v>ON1</v>
      </c>
      <c r="H1608" s="10" t="s">
        <v>21</v>
      </c>
      <c r="I1608" s="10" t="s">
        <v>84</v>
      </c>
      <c r="J1608" s="10" t="str">
        <f>""</f>
        <v/>
      </c>
      <c r="K1608" s="10" t="str">
        <f>"PFES1162562485_0001"</f>
        <v>PFES1162562485_0001</v>
      </c>
      <c r="L1608" s="10">
        <v>1</v>
      </c>
      <c r="M1608" s="10">
        <v>13</v>
      </c>
    </row>
    <row r="1609" spans="1:13">
      <c r="A1609" s="8">
        <v>42929</v>
      </c>
      <c r="B1609" s="9">
        <v>0.68472222222222223</v>
      </c>
      <c r="C1609" s="10" t="str">
        <f>"FES1162562475"</f>
        <v>FES1162562475</v>
      </c>
      <c r="D1609" s="10" t="s">
        <v>19</v>
      </c>
      <c r="E1609" s="10" t="s">
        <v>836</v>
      </c>
      <c r="F1609" s="10" t="str">
        <f>"2170578696 "</f>
        <v xml:space="preserve">2170578696 </v>
      </c>
      <c r="G1609" s="10" t="str">
        <f t="shared" si="66"/>
        <v>ON1</v>
      </c>
      <c r="H1609" s="10" t="s">
        <v>21</v>
      </c>
      <c r="I1609" s="10" t="s">
        <v>38</v>
      </c>
      <c r="J1609" s="10" t="str">
        <f>""</f>
        <v/>
      </c>
      <c r="K1609" s="10" t="str">
        <f>"PFES1162562475_0001"</f>
        <v>PFES1162562475_0001</v>
      </c>
      <c r="L1609" s="10">
        <v>1</v>
      </c>
      <c r="M1609" s="10">
        <v>2</v>
      </c>
    </row>
    <row r="1610" spans="1:13">
      <c r="A1610" s="8">
        <v>42929</v>
      </c>
      <c r="B1610" s="9">
        <v>0.68402777777777779</v>
      </c>
      <c r="C1610" s="10" t="str">
        <f>"FES1162562479"</f>
        <v>FES1162562479</v>
      </c>
      <c r="D1610" s="10" t="s">
        <v>19</v>
      </c>
      <c r="E1610" s="10" t="s">
        <v>65</v>
      </c>
      <c r="F1610" s="10" t="str">
        <f>"2170578612 "</f>
        <v xml:space="preserve">2170578612 </v>
      </c>
      <c r="G1610" s="10" t="str">
        <f t="shared" si="66"/>
        <v>ON1</v>
      </c>
      <c r="H1610" s="10" t="s">
        <v>21</v>
      </c>
      <c r="I1610" s="10" t="s">
        <v>66</v>
      </c>
      <c r="J1610" s="10" t="str">
        <f>""</f>
        <v/>
      </c>
      <c r="K1610" s="10" t="str">
        <f>"PFES1162562479_0001"</f>
        <v>PFES1162562479_0001</v>
      </c>
      <c r="L1610" s="10">
        <v>1</v>
      </c>
      <c r="M1610" s="10">
        <v>5</v>
      </c>
    </row>
    <row r="1611" spans="1:13">
      <c r="A1611" s="8">
        <v>42929</v>
      </c>
      <c r="B1611" s="9">
        <v>0.68333333333333324</v>
      </c>
      <c r="C1611" s="10" t="str">
        <f>"FES1162562487"</f>
        <v>FES1162562487</v>
      </c>
      <c r="D1611" s="10" t="s">
        <v>19</v>
      </c>
      <c r="E1611" s="10" t="s">
        <v>837</v>
      </c>
      <c r="F1611" s="10" t="str">
        <f>"2170576995 "</f>
        <v xml:space="preserve">2170576995 </v>
      </c>
      <c r="G1611" s="10" t="str">
        <f t="shared" si="66"/>
        <v>ON1</v>
      </c>
      <c r="H1611" s="10" t="s">
        <v>21</v>
      </c>
      <c r="I1611" s="10" t="s">
        <v>196</v>
      </c>
      <c r="J1611" s="10" t="str">
        <f>""</f>
        <v/>
      </c>
      <c r="K1611" s="10" t="str">
        <f>"PFES1162562487_0001"</f>
        <v>PFES1162562487_0001</v>
      </c>
      <c r="L1611" s="10">
        <v>1</v>
      </c>
      <c r="M1611" s="10">
        <v>6</v>
      </c>
    </row>
    <row r="1612" spans="1:13">
      <c r="A1612" s="8">
        <v>42929</v>
      </c>
      <c r="B1612" s="9">
        <v>0.68263888888888891</v>
      </c>
      <c r="C1612" s="10" t="str">
        <f>"FES1162562490"</f>
        <v>FES1162562490</v>
      </c>
      <c r="D1612" s="10" t="s">
        <v>19</v>
      </c>
      <c r="E1612" s="10" t="s">
        <v>595</v>
      </c>
      <c r="F1612" s="10" t="str">
        <f>"217057817 "</f>
        <v xml:space="preserve">217057817 </v>
      </c>
      <c r="G1612" s="10" t="str">
        <f t="shared" si="66"/>
        <v>ON1</v>
      </c>
      <c r="H1612" s="10" t="s">
        <v>21</v>
      </c>
      <c r="I1612" s="10" t="s">
        <v>179</v>
      </c>
      <c r="J1612" s="10" t="str">
        <f>""</f>
        <v/>
      </c>
      <c r="K1612" s="10" t="str">
        <f>"PFES1162562490_0001"</f>
        <v>PFES1162562490_0001</v>
      </c>
      <c r="L1612" s="10">
        <v>1</v>
      </c>
      <c r="M1612" s="10">
        <v>1</v>
      </c>
    </row>
    <row r="1613" spans="1:13">
      <c r="A1613" s="8">
        <v>42929</v>
      </c>
      <c r="B1613" s="9">
        <v>0.68194444444444446</v>
      </c>
      <c r="C1613" s="10" t="str">
        <f>"FES1162562473"</f>
        <v>FES1162562473</v>
      </c>
      <c r="D1613" s="10" t="s">
        <v>19</v>
      </c>
      <c r="E1613" s="10" t="s">
        <v>444</v>
      </c>
      <c r="F1613" s="10" t="str">
        <f>"217059076 "</f>
        <v xml:space="preserve">217059076 </v>
      </c>
      <c r="G1613" s="10" t="str">
        <f t="shared" si="66"/>
        <v>ON1</v>
      </c>
      <c r="H1613" s="10" t="s">
        <v>21</v>
      </c>
      <c r="I1613" s="10" t="s">
        <v>36</v>
      </c>
      <c r="J1613" s="10" t="str">
        <f>""</f>
        <v/>
      </c>
      <c r="K1613" s="10" t="str">
        <f>"PFES1162562473_0001"</f>
        <v>PFES1162562473_0001</v>
      </c>
      <c r="L1613" s="10">
        <v>1</v>
      </c>
      <c r="M1613" s="10">
        <v>1</v>
      </c>
    </row>
    <row r="1614" spans="1:13">
      <c r="A1614" s="8">
        <v>42929</v>
      </c>
      <c r="B1614" s="9">
        <v>0.68194444444444446</v>
      </c>
      <c r="C1614" s="10" t="str">
        <f>"FES1162562494"</f>
        <v>FES1162562494</v>
      </c>
      <c r="D1614" s="10" t="s">
        <v>19</v>
      </c>
      <c r="E1614" s="10" t="s">
        <v>838</v>
      </c>
      <c r="F1614" s="10" t="str">
        <f>"217059095 "</f>
        <v xml:space="preserve">217059095 </v>
      </c>
      <c r="G1614" s="10" t="str">
        <f t="shared" si="66"/>
        <v>ON1</v>
      </c>
      <c r="H1614" s="10" t="s">
        <v>21</v>
      </c>
      <c r="I1614" s="10" t="s">
        <v>839</v>
      </c>
      <c r="J1614" s="10" t="str">
        <f>""</f>
        <v/>
      </c>
      <c r="K1614" s="10" t="str">
        <f>"PFES1162562494_0001"</f>
        <v>PFES1162562494_0001</v>
      </c>
      <c r="L1614" s="10">
        <v>1</v>
      </c>
      <c r="M1614" s="10">
        <v>1</v>
      </c>
    </row>
    <row r="1615" spans="1:13">
      <c r="A1615" s="8">
        <v>42929</v>
      </c>
      <c r="B1615" s="9">
        <v>0.68194444444444446</v>
      </c>
      <c r="C1615" s="10" t="str">
        <f>"FES1162562486"</f>
        <v>FES1162562486</v>
      </c>
      <c r="D1615" s="10" t="s">
        <v>19</v>
      </c>
      <c r="E1615" s="10" t="s">
        <v>89</v>
      </c>
      <c r="F1615" s="10" t="str">
        <f>"2170579091 "</f>
        <v xml:space="preserve">2170579091 </v>
      </c>
      <c r="G1615" s="10" t="str">
        <f t="shared" si="66"/>
        <v>ON1</v>
      </c>
      <c r="H1615" s="10" t="s">
        <v>21</v>
      </c>
      <c r="I1615" s="10" t="s">
        <v>90</v>
      </c>
      <c r="J1615" s="10" t="str">
        <f>""</f>
        <v/>
      </c>
      <c r="K1615" s="10" t="str">
        <f>"PFES1162562486_0001"</f>
        <v>PFES1162562486_0001</v>
      </c>
      <c r="L1615" s="10">
        <v>1</v>
      </c>
      <c r="M1615" s="10">
        <v>1</v>
      </c>
    </row>
    <row r="1616" spans="1:13">
      <c r="A1616" s="8">
        <v>42929</v>
      </c>
      <c r="B1616" s="9">
        <v>0.68125000000000002</v>
      </c>
      <c r="C1616" s="10" t="str">
        <f>"FES1162562445"</f>
        <v>FES1162562445</v>
      </c>
      <c r="D1616" s="10" t="s">
        <v>19</v>
      </c>
      <c r="E1616" s="10" t="s">
        <v>288</v>
      </c>
      <c r="F1616" s="10" t="str">
        <f>"2170590033 "</f>
        <v xml:space="preserve">2170590033 </v>
      </c>
      <c r="G1616" s="10" t="str">
        <f t="shared" si="66"/>
        <v>ON1</v>
      </c>
      <c r="H1616" s="10" t="s">
        <v>21</v>
      </c>
      <c r="I1616" s="10" t="s">
        <v>412</v>
      </c>
      <c r="J1616" s="10" t="str">
        <f>""</f>
        <v/>
      </c>
      <c r="K1616" s="10" t="str">
        <f>"PFES1162562445_0001"</f>
        <v>PFES1162562445_0001</v>
      </c>
      <c r="L1616" s="10">
        <v>1</v>
      </c>
      <c r="M1616" s="10">
        <v>1</v>
      </c>
    </row>
    <row r="1617" spans="1:13">
      <c r="A1617" s="8">
        <v>42929</v>
      </c>
      <c r="B1617" s="9">
        <v>0.68055555555555547</v>
      </c>
      <c r="C1617" s="10" t="str">
        <f>"FES1162562450"</f>
        <v>FES1162562450</v>
      </c>
      <c r="D1617" s="10" t="s">
        <v>19</v>
      </c>
      <c r="E1617" s="10" t="s">
        <v>210</v>
      </c>
      <c r="F1617" s="10" t="str">
        <f>"2170589045 "</f>
        <v xml:space="preserve">2170589045 </v>
      </c>
      <c r="G1617" s="10" t="str">
        <f t="shared" si="66"/>
        <v>ON1</v>
      </c>
      <c r="H1617" s="10" t="s">
        <v>21</v>
      </c>
      <c r="I1617" s="10" t="s">
        <v>32</v>
      </c>
      <c r="J1617" s="10" t="str">
        <f>""</f>
        <v/>
      </c>
      <c r="K1617" s="10" t="str">
        <f>"PFES1162562450_0001"</f>
        <v>PFES1162562450_0001</v>
      </c>
      <c r="L1617" s="10">
        <v>1</v>
      </c>
      <c r="M1617" s="10">
        <v>1</v>
      </c>
    </row>
    <row r="1618" spans="1:13">
      <c r="A1618" s="8">
        <v>42929</v>
      </c>
      <c r="B1618" s="9">
        <v>0.67986111111111114</v>
      </c>
      <c r="C1618" s="10" t="str">
        <f>"FES1162562387"</f>
        <v>FES1162562387</v>
      </c>
      <c r="D1618" s="10" t="s">
        <v>19</v>
      </c>
      <c r="E1618" s="10" t="s">
        <v>538</v>
      </c>
      <c r="F1618" s="10" t="str">
        <f>"21708797 "</f>
        <v xml:space="preserve">21708797 </v>
      </c>
      <c r="G1618" s="10" t="str">
        <f>"DBC"</f>
        <v>DBC</v>
      </c>
      <c r="H1618" s="10" t="s">
        <v>21</v>
      </c>
      <c r="I1618" s="10" t="s">
        <v>202</v>
      </c>
      <c r="J1618" s="10" t="str">
        <f>""</f>
        <v/>
      </c>
      <c r="K1618" s="10" t="str">
        <f>"PFES1162562387_0001"</f>
        <v>PFES1162562387_0001</v>
      </c>
      <c r="L1618" s="10">
        <v>1</v>
      </c>
      <c r="M1618" s="10">
        <v>19</v>
      </c>
    </row>
    <row r="1619" spans="1:13">
      <c r="A1619" s="8">
        <v>42929</v>
      </c>
      <c r="B1619" s="9">
        <v>0.6791666666666667</v>
      </c>
      <c r="C1619" s="10" t="str">
        <f>"FES1162562439"</f>
        <v>FES1162562439</v>
      </c>
      <c r="D1619" s="10" t="s">
        <v>19</v>
      </c>
      <c r="E1619" s="10" t="s">
        <v>527</v>
      </c>
      <c r="F1619" s="10" t="str">
        <f>"2170573098 "</f>
        <v xml:space="preserve">2170573098 </v>
      </c>
      <c r="G1619" s="10" t="str">
        <f t="shared" ref="G1619:G1629" si="67">"ON1"</f>
        <v>ON1</v>
      </c>
      <c r="H1619" s="10" t="s">
        <v>21</v>
      </c>
      <c r="I1619" s="10" t="s">
        <v>217</v>
      </c>
      <c r="J1619" s="10" t="str">
        <f>""</f>
        <v/>
      </c>
      <c r="K1619" s="10" t="str">
        <f>"PFES1162562439_0001"</f>
        <v>PFES1162562439_0001</v>
      </c>
      <c r="L1619" s="10">
        <v>1</v>
      </c>
      <c r="M1619" s="10">
        <v>11</v>
      </c>
    </row>
    <row r="1620" spans="1:13">
      <c r="A1620" s="8">
        <v>42929</v>
      </c>
      <c r="B1620" s="9">
        <v>0.6791666666666667</v>
      </c>
      <c r="C1620" s="10" t="str">
        <f>"FES1162562465"</f>
        <v>FES1162562465</v>
      </c>
      <c r="D1620" s="10" t="s">
        <v>19</v>
      </c>
      <c r="E1620" s="10" t="s">
        <v>840</v>
      </c>
      <c r="F1620" s="10" t="str">
        <f>"2170577714 "</f>
        <v xml:space="preserve">2170577714 </v>
      </c>
      <c r="G1620" s="10" t="str">
        <f t="shared" si="67"/>
        <v>ON1</v>
      </c>
      <c r="H1620" s="10" t="s">
        <v>21</v>
      </c>
      <c r="I1620" s="10" t="s">
        <v>620</v>
      </c>
      <c r="J1620" s="10" t="str">
        <f>""</f>
        <v/>
      </c>
      <c r="K1620" s="10" t="str">
        <f>"PFES1162562465_0001"</f>
        <v>PFES1162562465_0001</v>
      </c>
      <c r="L1620" s="10">
        <v>1</v>
      </c>
      <c r="M1620" s="10">
        <v>5</v>
      </c>
    </row>
    <row r="1621" spans="1:13">
      <c r="A1621" s="8">
        <v>42929</v>
      </c>
      <c r="B1621" s="9">
        <v>0.67708333333333337</v>
      </c>
      <c r="C1621" s="10" t="str">
        <f>"FES1162562441"</f>
        <v>FES1162562441</v>
      </c>
      <c r="D1621" s="10" t="s">
        <v>19</v>
      </c>
      <c r="E1621" s="10" t="s">
        <v>87</v>
      </c>
      <c r="F1621" s="10" t="str">
        <f>"2170575528 "</f>
        <v xml:space="preserve">2170575528 </v>
      </c>
      <c r="G1621" s="10" t="str">
        <f t="shared" si="67"/>
        <v>ON1</v>
      </c>
      <c r="H1621" s="10" t="s">
        <v>21</v>
      </c>
      <c r="I1621" s="10" t="s">
        <v>88</v>
      </c>
      <c r="J1621" s="10" t="str">
        <f>""</f>
        <v/>
      </c>
      <c r="K1621" s="10" t="str">
        <f>"PFES1162562441_0001"</f>
        <v>PFES1162562441_0001</v>
      </c>
      <c r="L1621" s="10">
        <v>1</v>
      </c>
      <c r="M1621" s="10">
        <v>6</v>
      </c>
    </row>
    <row r="1622" spans="1:13">
      <c r="A1622" s="8">
        <v>42929</v>
      </c>
      <c r="B1622" s="9">
        <v>0.67708333333333337</v>
      </c>
      <c r="C1622" s="10" t="str">
        <f>"FES1162562444"</f>
        <v>FES1162562444</v>
      </c>
      <c r="D1622" s="10" t="s">
        <v>19</v>
      </c>
      <c r="E1622" s="10" t="s">
        <v>99</v>
      </c>
      <c r="F1622" s="10" t="str">
        <f>"2170579036 "</f>
        <v xml:space="preserve">2170579036 </v>
      </c>
      <c r="G1622" s="10" t="str">
        <f t="shared" si="67"/>
        <v>ON1</v>
      </c>
      <c r="H1622" s="10" t="s">
        <v>21</v>
      </c>
      <c r="I1622" s="10" t="s">
        <v>100</v>
      </c>
      <c r="J1622" s="10" t="str">
        <f>""</f>
        <v/>
      </c>
      <c r="K1622" s="10" t="str">
        <f>"PFES1162562444_0001"</f>
        <v>PFES1162562444_0001</v>
      </c>
      <c r="L1622" s="10">
        <v>1</v>
      </c>
      <c r="M1622" s="10">
        <v>9</v>
      </c>
    </row>
    <row r="1623" spans="1:13">
      <c r="A1623" s="8">
        <v>42929</v>
      </c>
      <c r="B1623" s="9">
        <v>0.65625</v>
      </c>
      <c r="C1623" s="10" t="str">
        <f>"FES1162562399"</f>
        <v>FES1162562399</v>
      </c>
      <c r="D1623" s="10" t="s">
        <v>19</v>
      </c>
      <c r="E1623" s="10" t="s">
        <v>579</v>
      </c>
      <c r="F1623" s="10" t="str">
        <f>"2170570578990 "</f>
        <v xml:space="preserve">2170570578990 </v>
      </c>
      <c r="G1623" s="10" t="str">
        <f t="shared" si="67"/>
        <v>ON1</v>
      </c>
      <c r="H1623" s="10" t="s">
        <v>21</v>
      </c>
      <c r="I1623" s="10" t="s">
        <v>580</v>
      </c>
      <c r="J1623" s="10" t="str">
        <f>""</f>
        <v/>
      </c>
      <c r="K1623" s="10" t="str">
        <f>"PFES1162562399_0001"</f>
        <v>PFES1162562399_0001</v>
      </c>
      <c r="L1623" s="10">
        <v>1</v>
      </c>
      <c r="M1623" s="10">
        <v>1</v>
      </c>
    </row>
    <row r="1624" spans="1:13">
      <c r="A1624" s="8">
        <v>42929</v>
      </c>
      <c r="B1624" s="9">
        <v>0.65486111111111112</v>
      </c>
      <c r="C1624" s="10" t="str">
        <f>"FES1162562467"</f>
        <v>FES1162562467</v>
      </c>
      <c r="D1624" s="10" t="s">
        <v>19</v>
      </c>
      <c r="E1624" s="10" t="s">
        <v>324</v>
      </c>
      <c r="F1624" s="10" t="str">
        <f>"2170579070 "</f>
        <v xml:space="preserve">2170579070 </v>
      </c>
      <c r="G1624" s="10" t="str">
        <f t="shared" si="67"/>
        <v>ON1</v>
      </c>
      <c r="H1624" s="10" t="s">
        <v>21</v>
      </c>
      <c r="I1624" s="10" t="s">
        <v>325</v>
      </c>
      <c r="J1624" s="10" t="str">
        <f>""</f>
        <v/>
      </c>
      <c r="K1624" s="10" t="str">
        <f>"PFES1162562467_0001"</f>
        <v>PFES1162562467_0001</v>
      </c>
      <c r="L1624" s="10">
        <v>1</v>
      </c>
      <c r="M1624" s="10">
        <v>2</v>
      </c>
    </row>
    <row r="1625" spans="1:13">
      <c r="A1625" s="8">
        <v>42929</v>
      </c>
      <c r="B1625" s="9">
        <v>0.65347222222222223</v>
      </c>
      <c r="C1625" s="10" t="str">
        <f>"FES1162562480"</f>
        <v>FES1162562480</v>
      </c>
      <c r="D1625" s="10" t="s">
        <v>19</v>
      </c>
      <c r="E1625" s="10" t="s">
        <v>324</v>
      </c>
      <c r="F1625" s="10" t="str">
        <f>"21705789078 "</f>
        <v xml:space="preserve">21705789078 </v>
      </c>
      <c r="G1625" s="10" t="str">
        <f t="shared" si="67"/>
        <v>ON1</v>
      </c>
      <c r="H1625" s="10" t="s">
        <v>21</v>
      </c>
      <c r="I1625" s="10" t="s">
        <v>325</v>
      </c>
      <c r="J1625" s="10" t="str">
        <f>""</f>
        <v/>
      </c>
      <c r="K1625" s="10" t="str">
        <f>"PFES1162562480_0001"</f>
        <v>PFES1162562480_0001</v>
      </c>
      <c r="L1625" s="10">
        <v>1</v>
      </c>
      <c r="M1625" s="10">
        <v>1</v>
      </c>
    </row>
    <row r="1626" spans="1:13">
      <c r="A1626" s="8">
        <v>42929</v>
      </c>
      <c r="B1626" s="9">
        <v>0.65277777777777779</v>
      </c>
      <c r="C1626" s="10" t="str">
        <f>"FES1162562484"</f>
        <v>FES1162562484</v>
      </c>
      <c r="D1626" s="10" t="s">
        <v>19</v>
      </c>
      <c r="E1626" s="10" t="s">
        <v>841</v>
      </c>
      <c r="F1626" s="10" t="str">
        <f>"2175789086 "</f>
        <v xml:space="preserve">2175789086 </v>
      </c>
      <c r="G1626" s="10" t="str">
        <f t="shared" si="67"/>
        <v>ON1</v>
      </c>
      <c r="H1626" s="10" t="s">
        <v>21</v>
      </c>
      <c r="I1626" s="10" t="s">
        <v>330</v>
      </c>
      <c r="J1626" s="10" t="str">
        <f>""</f>
        <v/>
      </c>
      <c r="K1626" s="10" t="str">
        <f>"PFES1162562484_0001"</f>
        <v>PFES1162562484_0001</v>
      </c>
      <c r="L1626" s="10">
        <v>1</v>
      </c>
      <c r="M1626" s="10">
        <v>3</v>
      </c>
    </row>
    <row r="1627" spans="1:13">
      <c r="A1627" s="8">
        <v>42929</v>
      </c>
      <c r="B1627" s="9">
        <v>0.64861111111111114</v>
      </c>
      <c r="C1627" s="10" t="str">
        <f>"FES1162562437"</f>
        <v>FES1162562437</v>
      </c>
      <c r="D1627" s="10" t="s">
        <v>19</v>
      </c>
      <c r="E1627" s="10" t="s">
        <v>181</v>
      </c>
      <c r="F1627" s="10" t="str">
        <f>"2170574770 "</f>
        <v xml:space="preserve">2170574770 </v>
      </c>
      <c r="G1627" s="10" t="str">
        <f t="shared" si="67"/>
        <v>ON1</v>
      </c>
      <c r="H1627" s="10" t="s">
        <v>21</v>
      </c>
      <c r="I1627" s="10" t="s">
        <v>179</v>
      </c>
      <c r="J1627" s="10" t="str">
        <f>""</f>
        <v/>
      </c>
      <c r="K1627" s="10" t="str">
        <f>"PFES1162562437_0001"</f>
        <v>PFES1162562437_0001</v>
      </c>
      <c r="L1627" s="10">
        <v>1</v>
      </c>
      <c r="M1627" s="10">
        <v>2</v>
      </c>
    </row>
    <row r="1628" spans="1:13">
      <c r="A1628" s="8">
        <v>42929</v>
      </c>
      <c r="B1628" s="9">
        <v>0.6479166666666667</v>
      </c>
      <c r="C1628" s="10" t="str">
        <f>"FES1162562406"</f>
        <v>FES1162562406</v>
      </c>
      <c r="D1628" s="10" t="s">
        <v>19</v>
      </c>
      <c r="E1628" s="10" t="s">
        <v>842</v>
      </c>
      <c r="F1628" s="10" t="str">
        <f>"2170578999 "</f>
        <v xml:space="preserve">2170578999 </v>
      </c>
      <c r="G1628" s="10" t="str">
        <f t="shared" si="67"/>
        <v>ON1</v>
      </c>
      <c r="H1628" s="10" t="s">
        <v>21</v>
      </c>
      <c r="I1628" s="10" t="s">
        <v>843</v>
      </c>
      <c r="J1628" s="10" t="str">
        <f>""</f>
        <v/>
      </c>
      <c r="K1628" s="10" t="str">
        <f>"PFES1162562406_0001"</f>
        <v>PFES1162562406_0001</v>
      </c>
      <c r="L1628" s="10">
        <v>1</v>
      </c>
      <c r="M1628" s="10">
        <v>1</v>
      </c>
    </row>
    <row r="1629" spans="1:13">
      <c r="A1629" s="8">
        <v>42929</v>
      </c>
      <c r="B1629" s="9">
        <v>0.64722222222222225</v>
      </c>
      <c r="C1629" s="10" t="str">
        <f>"FES1162562456"</f>
        <v>FES1162562456</v>
      </c>
      <c r="D1629" s="10" t="s">
        <v>19</v>
      </c>
      <c r="E1629" s="10" t="s">
        <v>162</v>
      </c>
      <c r="F1629" s="10" t="str">
        <f>"21705789054 "</f>
        <v xml:space="preserve">21705789054 </v>
      </c>
      <c r="G1629" s="10" t="str">
        <f t="shared" si="67"/>
        <v>ON1</v>
      </c>
      <c r="H1629" s="10" t="s">
        <v>21</v>
      </c>
      <c r="I1629" s="10" t="s">
        <v>163</v>
      </c>
      <c r="J1629" s="10" t="str">
        <f>""</f>
        <v/>
      </c>
      <c r="K1629" s="10" t="str">
        <f>"PFES1162562456_0001"</f>
        <v>PFES1162562456_0001</v>
      </c>
      <c r="L1629" s="10">
        <v>1</v>
      </c>
      <c r="M1629" s="10">
        <v>1</v>
      </c>
    </row>
    <row r="1630" spans="1:13">
      <c r="A1630" s="8">
        <v>42929</v>
      </c>
      <c r="B1630" s="9">
        <v>0.64722222222222225</v>
      </c>
      <c r="C1630" s="10" t="str">
        <f>"FES1162562295"</f>
        <v>FES1162562295</v>
      </c>
      <c r="D1630" s="10" t="s">
        <v>19</v>
      </c>
      <c r="E1630" s="10" t="s">
        <v>173</v>
      </c>
      <c r="F1630" s="10" t="str">
        <f>"2170578863 "</f>
        <v xml:space="preserve">2170578863 </v>
      </c>
      <c r="G1630" s="10" t="str">
        <f>"ON2"</f>
        <v>ON2</v>
      </c>
      <c r="H1630" s="10" t="s">
        <v>21</v>
      </c>
      <c r="I1630" s="10" t="s">
        <v>174</v>
      </c>
      <c r="J1630" s="10" t="str">
        <f>""</f>
        <v/>
      </c>
      <c r="K1630" s="10" t="str">
        <f>"PFES1162562295_0001"</f>
        <v>PFES1162562295_0001</v>
      </c>
      <c r="L1630" s="10">
        <v>1</v>
      </c>
      <c r="M1630" s="10">
        <v>13</v>
      </c>
    </row>
    <row r="1631" spans="1:13">
      <c r="A1631" s="8">
        <v>42929</v>
      </c>
      <c r="B1631" s="9">
        <v>0.64722222222222225</v>
      </c>
      <c r="C1631" s="10" t="str">
        <f>"FES1162562306"</f>
        <v>FES1162562306</v>
      </c>
      <c r="D1631" s="10" t="s">
        <v>19</v>
      </c>
      <c r="E1631" s="10" t="s">
        <v>844</v>
      </c>
      <c r="F1631" s="10" t="str">
        <f>"21705788882 "</f>
        <v xml:space="preserve">21705788882 </v>
      </c>
      <c r="G1631" s="10" t="str">
        <f t="shared" ref="G1631:G1636" si="68">"ON1"</f>
        <v>ON1</v>
      </c>
      <c r="H1631" s="10" t="s">
        <v>21</v>
      </c>
      <c r="I1631" s="10" t="s">
        <v>32</v>
      </c>
      <c r="J1631" s="10" t="str">
        <f>""</f>
        <v/>
      </c>
      <c r="K1631" s="10" t="str">
        <f>"PFES1162562306_0001"</f>
        <v>PFES1162562306_0001</v>
      </c>
      <c r="L1631" s="10">
        <v>1</v>
      </c>
      <c r="M1631" s="10">
        <v>2</v>
      </c>
    </row>
    <row r="1632" spans="1:13">
      <c r="A1632" s="8">
        <v>42929</v>
      </c>
      <c r="B1632" s="9">
        <v>0.64652777777777781</v>
      </c>
      <c r="C1632" s="10" t="str">
        <f>"FES1162562464"</f>
        <v>FES1162562464</v>
      </c>
      <c r="D1632" s="10" t="s">
        <v>19</v>
      </c>
      <c r="E1632" s="10" t="s">
        <v>755</v>
      </c>
      <c r="F1632" s="10" t="str">
        <f>"2170579076 "</f>
        <v xml:space="preserve">2170579076 </v>
      </c>
      <c r="G1632" s="10" t="str">
        <f t="shared" si="68"/>
        <v>ON1</v>
      </c>
      <c r="H1632" s="10" t="s">
        <v>21</v>
      </c>
      <c r="I1632" s="10" t="s">
        <v>228</v>
      </c>
      <c r="J1632" s="10" t="str">
        <f>""</f>
        <v/>
      </c>
      <c r="K1632" s="10" t="str">
        <f>"PFES1162562464_0001"</f>
        <v>PFES1162562464_0001</v>
      </c>
      <c r="L1632" s="10">
        <v>1</v>
      </c>
      <c r="M1632" s="10">
        <v>1</v>
      </c>
    </row>
    <row r="1633" spans="1:13">
      <c r="A1633" s="8">
        <v>42929</v>
      </c>
      <c r="B1633" s="9">
        <v>0.64652777777777781</v>
      </c>
      <c r="C1633" s="10" t="str">
        <f>"FES1162562291"</f>
        <v>FES1162562291</v>
      </c>
      <c r="D1633" s="10" t="s">
        <v>19</v>
      </c>
      <c r="E1633" s="10" t="s">
        <v>266</v>
      </c>
      <c r="F1633" s="10" t="str">
        <f>"2170578860 "</f>
        <v xml:space="preserve">2170578860 </v>
      </c>
      <c r="G1633" s="10" t="str">
        <f t="shared" si="68"/>
        <v>ON1</v>
      </c>
      <c r="H1633" s="10" t="s">
        <v>21</v>
      </c>
      <c r="I1633" s="10" t="s">
        <v>267</v>
      </c>
      <c r="J1633" s="10" t="str">
        <f>""</f>
        <v/>
      </c>
      <c r="K1633" s="10" t="str">
        <f>"PFES1162562291_0001"</f>
        <v>PFES1162562291_0001</v>
      </c>
      <c r="L1633" s="10">
        <v>2</v>
      </c>
      <c r="M1633" s="10">
        <v>11</v>
      </c>
    </row>
    <row r="1634" spans="1:13">
      <c r="A1634" s="8">
        <v>42929</v>
      </c>
      <c r="B1634" s="9">
        <v>0.64652777777777781</v>
      </c>
      <c r="C1634" s="10" t="str">
        <f>"FES1162562291"</f>
        <v>FES1162562291</v>
      </c>
      <c r="D1634" s="10" t="s">
        <v>19</v>
      </c>
      <c r="E1634" s="10" t="s">
        <v>266</v>
      </c>
      <c r="F1634" s="10" t="str">
        <f>"2170578860 "</f>
        <v xml:space="preserve">2170578860 </v>
      </c>
      <c r="G1634" s="10" t="str">
        <f t="shared" si="68"/>
        <v>ON1</v>
      </c>
      <c r="H1634" s="10" t="s">
        <v>21</v>
      </c>
      <c r="I1634" s="10" t="s">
        <v>267</v>
      </c>
      <c r="J1634" s="10"/>
      <c r="K1634" s="10" t="str">
        <f>"PFES1162562291_0002"</f>
        <v>PFES1162562291_0002</v>
      </c>
      <c r="L1634" s="10">
        <v>2</v>
      </c>
      <c r="M1634" s="10">
        <v>11</v>
      </c>
    </row>
    <row r="1635" spans="1:13">
      <c r="A1635" s="8">
        <v>42929</v>
      </c>
      <c r="B1635" s="9">
        <v>0.6430555555555556</v>
      </c>
      <c r="C1635" s="10" t="str">
        <f>"009935791623"</f>
        <v>009935791623</v>
      </c>
      <c r="D1635" s="10" t="s">
        <v>19</v>
      </c>
      <c r="E1635" s="10" t="s">
        <v>425</v>
      </c>
      <c r="F1635" s="10" t="str">
        <f>"BONGA "</f>
        <v xml:space="preserve">BONGA </v>
      </c>
      <c r="G1635" s="10" t="str">
        <f t="shared" si="68"/>
        <v>ON1</v>
      </c>
      <c r="H1635" s="10" t="s">
        <v>21</v>
      </c>
      <c r="I1635" s="10" t="s">
        <v>426</v>
      </c>
      <c r="J1635" s="10" t="str">
        <f>""</f>
        <v/>
      </c>
      <c r="K1635" s="10" t="str">
        <f>"P009935791623_0001"</f>
        <v>P009935791623_0001</v>
      </c>
      <c r="L1635" s="10">
        <v>1</v>
      </c>
      <c r="M1635" s="10">
        <v>1</v>
      </c>
    </row>
    <row r="1636" spans="1:13">
      <c r="A1636" s="8">
        <v>42929</v>
      </c>
      <c r="B1636" s="9">
        <v>0.63888888888888895</v>
      </c>
      <c r="C1636" s="10" t="str">
        <f>"FES1162562216"</f>
        <v>FES1162562216</v>
      </c>
      <c r="D1636" s="10" t="s">
        <v>19</v>
      </c>
      <c r="E1636" s="10" t="s">
        <v>845</v>
      </c>
      <c r="F1636" s="10" t="str">
        <f>"2170576738 "</f>
        <v xml:space="preserve">2170576738 </v>
      </c>
      <c r="G1636" s="10" t="str">
        <f t="shared" si="68"/>
        <v>ON1</v>
      </c>
      <c r="H1636" s="10" t="s">
        <v>21</v>
      </c>
      <c r="I1636" s="10" t="s">
        <v>567</v>
      </c>
      <c r="J1636" s="10" t="str">
        <f>""</f>
        <v/>
      </c>
      <c r="K1636" s="10" t="str">
        <f>"PFES1162562216_0001"</f>
        <v>PFES1162562216_0001</v>
      </c>
      <c r="L1636" s="10">
        <v>1</v>
      </c>
      <c r="M1636" s="10">
        <v>1</v>
      </c>
    </row>
    <row r="1637" spans="1:13">
      <c r="A1637" s="8">
        <v>42929</v>
      </c>
      <c r="B1637" s="9">
        <v>0.6381944444444444</v>
      </c>
      <c r="C1637" s="10" t="str">
        <f>"FES1162562268"</f>
        <v>FES1162562268</v>
      </c>
      <c r="D1637" s="10" t="s">
        <v>19</v>
      </c>
      <c r="E1637" s="10" t="s">
        <v>846</v>
      </c>
      <c r="F1637" s="10" t="str">
        <f>"2170578835 "</f>
        <v xml:space="preserve">2170578835 </v>
      </c>
      <c r="G1637" s="10" t="str">
        <f>"ON2"</f>
        <v>ON2</v>
      </c>
      <c r="H1637" s="10" t="s">
        <v>21</v>
      </c>
      <c r="I1637" s="10" t="s">
        <v>847</v>
      </c>
      <c r="J1637" s="10" t="str">
        <f>""</f>
        <v/>
      </c>
      <c r="K1637" s="10" t="str">
        <f>"PFES1162562268_0001"</f>
        <v>PFES1162562268_0001</v>
      </c>
      <c r="L1637" s="10">
        <v>1</v>
      </c>
      <c r="M1637" s="10">
        <v>10</v>
      </c>
    </row>
    <row r="1638" spans="1:13">
      <c r="A1638" s="8">
        <v>42929</v>
      </c>
      <c r="B1638" s="9">
        <v>0.63680555555555551</v>
      </c>
      <c r="C1638" s="10" t="str">
        <f>"FES1162562430"</f>
        <v>FES1162562430</v>
      </c>
      <c r="D1638" s="10" t="s">
        <v>19</v>
      </c>
      <c r="E1638" s="10" t="s">
        <v>99</v>
      </c>
      <c r="F1638" s="10" t="str">
        <f>"2170579023 "</f>
        <v xml:space="preserve">2170579023 </v>
      </c>
      <c r="G1638" s="10" t="str">
        <f>"DBC"</f>
        <v>DBC</v>
      </c>
      <c r="H1638" s="10" t="s">
        <v>21</v>
      </c>
      <c r="I1638" s="10" t="s">
        <v>100</v>
      </c>
      <c r="J1638" s="10" t="str">
        <f>""</f>
        <v/>
      </c>
      <c r="K1638" s="10" t="str">
        <f>"PFES1162562430_0001"</f>
        <v>PFES1162562430_0001</v>
      </c>
      <c r="L1638" s="10">
        <v>1</v>
      </c>
      <c r="M1638" s="10">
        <v>16</v>
      </c>
    </row>
    <row r="1639" spans="1:13">
      <c r="A1639" s="8">
        <v>42929</v>
      </c>
      <c r="B1639" s="9">
        <v>0.6333333333333333</v>
      </c>
      <c r="C1639" s="10" t="str">
        <f>"FES1162562337"</f>
        <v>FES1162562337</v>
      </c>
      <c r="D1639" s="10" t="s">
        <v>19</v>
      </c>
      <c r="E1639" s="10" t="s">
        <v>33</v>
      </c>
      <c r="F1639" s="10" t="str">
        <f>"2170578919 "</f>
        <v xml:space="preserve">2170578919 </v>
      </c>
      <c r="G1639" s="10" t="str">
        <f t="shared" ref="G1639:G1665" si="69">"ON1"</f>
        <v>ON1</v>
      </c>
      <c r="H1639" s="10" t="s">
        <v>21</v>
      </c>
      <c r="I1639" s="10" t="s">
        <v>34</v>
      </c>
      <c r="J1639" s="10" t="str">
        <f>""</f>
        <v/>
      </c>
      <c r="K1639" s="10" t="str">
        <f>"PFES1162562337_0001"</f>
        <v>PFES1162562337_0001</v>
      </c>
      <c r="L1639" s="10">
        <v>1</v>
      </c>
      <c r="M1639" s="10">
        <v>1</v>
      </c>
    </row>
    <row r="1640" spans="1:13">
      <c r="A1640" s="8">
        <v>42929</v>
      </c>
      <c r="B1640" s="9">
        <v>0.63263888888888886</v>
      </c>
      <c r="C1640" s="10" t="str">
        <f>"FES1162562438"</f>
        <v>FES1162562438</v>
      </c>
      <c r="D1640" s="10" t="s">
        <v>19</v>
      </c>
      <c r="E1640" s="10" t="s">
        <v>118</v>
      </c>
      <c r="F1640" s="10" t="str">
        <f>"2170579016 "</f>
        <v xml:space="preserve">2170579016 </v>
      </c>
      <c r="G1640" s="10" t="str">
        <f t="shared" si="69"/>
        <v>ON1</v>
      </c>
      <c r="H1640" s="10" t="s">
        <v>21</v>
      </c>
      <c r="I1640" s="10" t="s">
        <v>119</v>
      </c>
      <c r="J1640" s="10" t="str">
        <f>""</f>
        <v/>
      </c>
      <c r="K1640" s="10" t="str">
        <f>"PFES1162562438_0001"</f>
        <v>PFES1162562438_0001</v>
      </c>
      <c r="L1640" s="10">
        <v>1</v>
      </c>
      <c r="M1640" s="10">
        <v>1</v>
      </c>
    </row>
    <row r="1641" spans="1:13">
      <c r="A1641" s="8">
        <v>42929</v>
      </c>
      <c r="B1641" s="9">
        <v>0.63194444444444442</v>
      </c>
      <c r="C1641" s="10" t="str">
        <f>"FES1162562419"</f>
        <v>FES1162562419</v>
      </c>
      <c r="D1641" s="10" t="s">
        <v>19</v>
      </c>
      <c r="E1641" s="10" t="s">
        <v>72</v>
      </c>
      <c r="F1641" s="10" t="str">
        <f>"2170578997 "</f>
        <v xml:space="preserve">2170578997 </v>
      </c>
      <c r="G1641" s="10" t="str">
        <f t="shared" si="69"/>
        <v>ON1</v>
      </c>
      <c r="H1641" s="10" t="s">
        <v>21</v>
      </c>
      <c r="I1641" s="10" t="s">
        <v>73</v>
      </c>
      <c r="J1641" s="10" t="str">
        <f>""</f>
        <v/>
      </c>
      <c r="K1641" s="10" t="str">
        <f>"PFES1162562419_0001"</f>
        <v>PFES1162562419_0001</v>
      </c>
      <c r="L1641" s="10">
        <v>1</v>
      </c>
      <c r="M1641" s="10">
        <v>1</v>
      </c>
    </row>
    <row r="1642" spans="1:13">
      <c r="A1642" s="8">
        <v>42929</v>
      </c>
      <c r="B1642" s="9">
        <v>0.63055555555555554</v>
      </c>
      <c r="C1642" s="10" t="str">
        <f>"FES1162562429"</f>
        <v>FES1162562429</v>
      </c>
      <c r="D1642" s="10" t="s">
        <v>19</v>
      </c>
      <c r="E1642" s="10" t="s">
        <v>288</v>
      </c>
      <c r="F1642" s="10" t="str">
        <f>"2170579022 "</f>
        <v xml:space="preserve">2170579022 </v>
      </c>
      <c r="G1642" s="10" t="str">
        <f t="shared" si="69"/>
        <v>ON1</v>
      </c>
      <c r="H1642" s="10" t="s">
        <v>21</v>
      </c>
      <c r="I1642" s="10" t="s">
        <v>84</v>
      </c>
      <c r="J1642" s="10" t="str">
        <f>""</f>
        <v/>
      </c>
      <c r="K1642" s="10" t="str">
        <f>"PFES1162562429_0001"</f>
        <v>PFES1162562429_0001</v>
      </c>
      <c r="L1642" s="10">
        <v>1</v>
      </c>
      <c r="M1642" s="10">
        <v>1</v>
      </c>
    </row>
    <row r="1643" spans="1:13">
      <c r="A1643" s="8">
        <v>42929</v>
      </c>
      <c r="B1643" s="9">
        <v>0.62986111111111109</v>
      </c>
      <c r="C1643" s="10" t="str">
        <f>"FES1162562302"</f>
        <v>FES1162562302</v>
      </c>
      <c r="D1643" s="10" t="s">
        <v>19</v>
      </c>
      <c r="E1643" s="10" t="s">
        <v>212</v>
      </c>
      <c r="F1643" s="10" t="str">
        <f>"2170577107 "</f>
        <v xml:space="preserve">2170577107 </v>
      </c>
      <c r="G1643" s="10" t="str">
        <f t="shared" si="69"/>
        <v>ON1</v>
      </c>
      <c r="H1643" s="10" t="s">
        <v>21</v>
      </c>
      <c r="I1643" s="10" t="s">
        <v>213</v>
      </c>
      <c r="J1643" s="10" t="str">
        <f>""</f>
        <v/>
      </c>
      <c r="K1643" s="10" t="str">
        <f>"PFES1162562302_0001"</f>
        <v>PFES1162562302_0001</v>
      </c>
      <c r="L1643" s="10">
        <v>1</v>
      </c>
      <c r="M1643" s="10">
        <v>1</v>
      </c>
    </row>
    <row r="1644" spans="1:13">
      <c r="A1644" s="8">
        <v>42929</v>
      </c>
      <c r="B1644" s="9">
        <v>0.62847222222222221</v>
      </c>
      <c r="C1644" s="10" t="str">
        <f>"FES1162562458"</f>
        <v>FES1162562458</v>
      </c>
      <c r="D1644" s="10" t="s">
        <v>19</v>
      </c>
      <c r="E1644" s="10" t="s">
        <v>272</v>
      </c>
      <c r="F1644" s="10" t="str">
        <f>"2170579041 "</f>
        <v xml:space="preserve">2170579041 </v>
      </c>
      <c r="G1644" s="10" t="str">
        <f t="shared" si="69"/>
        <v>ON1</v>
      </c>
      <c r="H1644" s="10" t="s">
        <v>21</v>
      </c>
      <c r="I1644" s="10" t="s">
        <v>166</v>
      </c>
      <c r="J1644" s="10" t="str">
        <f>""</f>
        <v/>
      </c>
      <c r="K1644" s="10" t="str">
        <f>"PFES1162562458_0001"</f>
        <v>PFES1162562458_0001</v>
      </c>
      <c r="L1644" s="10">
        <v>1</v>
      </c>
      <c r="M1644" s="10">
        <v>1</v>
      </c>
    </row>
    <row r="1645" spans="1:13">
      <c r="A1645" s="8">
        <v>42929</v>
      </c>
      <c r="B1645" s="9">
        <v>0.62152777777777779</v>
      </c>
      <c r="C1645" s="10" t="str">
        <f>"FES1162562345"</f>
        <v>FES1162562345</v>
      </c>
      <c r="D1645" s="10" t="s">
        <v>19</v>
      </c>
      <c r="E1645" s="10" t="s">
        <v>376</v>
      </c>
      <c r="F1645" s="10" t="str">
        <f>"2170578936 "</f>
        <v xml:space="preserve">2170578936 </v>
      </c>
      <c r="G1645" s="10" t="str">
        <f t="shared" si="69"/>
        <v>ON1</v>
      </c>
      <c r="H1645" s="10" t="s">
        <v>21</v>
      </c>
      <c r="I1645" s="10" t="s">
        <v>377</v>
      </c>
      <c r="J1645" s="10" t="str">
        <f>""</f>
        <v/>
      </c>
      <c r="K1645" s="10" t="str">
        <f>"PFES1162562345_0001"</f>
        <v>PFES1162562345_0001</v>
      </c>
      <c r="L1645" s="10">
        <v>1</v>
      </c>
      <c r="M1645" s="10">
        <v>2</v>
      </c>
    </row>
    <row r="1646" spans="1:13">
      <c r="A1646" s="8">
        <v>42929</v>
      </c>
      <c r="B1646" s="9">
        <v>0.62152777777777779</v>
      </c>
      <c r="C1646" s="10" t="str">
        <f>"FES1162562396"</f>
        <v>FES1162562396</v>
      </c>
      <c r="D1646" s="10" t="s">
        <v>19</v>
      </c>
      <c r="E1646" s="10" t="s">
        <v>436</v>
      </c>
      <c r="F1646" s="10" t="str">
        <f>"2170578344 "</f>
        <v xml:space="preserve">2170578344 </v>
      </c>
      <c r="G1646" s="10" t="str">
        <f t="shared" si="69"/>
        <v>ON1</v>
      </c>
      <c r="H1646" s="10" t="s">
        <v>21</v>
      </c>
      <c r="I1646" s="10" t="s">
        <v>252</v>
      </c>
      <c r="J1646" s="10" t="str">
        <f>""</f>
        <v/>
      </c>
      <c r="K1646" s="10" t="str">
        <f>"PFES1162562396_0001"</f>
        <v>PFES1162562396_0001</v>
      </c>
      <c r="L1646" s="10">
        <v>1</v>
      </c>
      <c r="M1646" s="10">
        <v>2</v>
      </c>
    </row>
    <row r="1647" spans="1:13">
      <c r="A1647" s="8">
        <v>42929</v>
      </c>
      <c r="B1647" s="9">
        <v>0.62083333333333335</v>
      </c>
      <c r="C1647" s="10" t="str">
        <f>"FES1162562449"</f>
        <v>FES1162562449</v>
      </c>
      <c r="D1647" s="10" t="s">
        <v>19</v>
      </c>
      <c r="E1647" s="10" t="s">
        <v>848</v>
      </c>
      <c r="F1647" s="10" t="str">
        <f>"2170579044 "</f>
        <v xml:space="preserve">2170579044 </v>
      </c>
      <c r="G1647" s="10" t="str">
        <f t="shared" si="69"/>
        <v>ON1</v>
      </c>
      <c r="H1647" s="10" t="s">
        <v>21</v>
      </c>
      <c r="I1647" s="10" t="s">
        <v>569</v>
      </c>
      <c r="J1647" s="10" t="str">
        <f>""</f>
        <v/>
      </c>
      <c r="K1647" s="10" t="str">
        <f>"PFES1162562449_0001"</f>
        <v>PFES1162562449_0001</v>
      </c>
      <c r="L1647" s="10">
        <v>1</v>
      </c>
      <c r="M1647" s="10">
        <v>1</v>
      </c>
    </row>
    <row r="1648" spans="1:13">
      <c r="A1648" s="8">
        <v>42929</v>
      </c>
      <c r="B1648" s="9">
        <v>0.62083333333333335</v>
      </c>
      <c r="C1648" s="10" t="str">
        <f>"FES1162562455"</f>
        <v>FES1162562455</v>
      </c>
      <c r="D1648" s="10" t="s">
        <v>19</v>
      </c>
      <c r="E1648" s="10" t="s">
        <v>773</v>
      </c>
      <c r="F1648" s="10" t="str">
        <f>"2170579051 "</f>
        <v xml:space="preserve">2170579051 </v>
      </c>
      <c r="G1648" s="10" t="str">
        <f t="shared" si="69"/>
        <v>ON1</v>
      </c>
      <c r="H1648" s="10" t="s">
        <v>21</v>
      </c>
      <c r="I1648" s="10" t="s">
        <v>52</v>
      </c>
      <c r="J1648" s="10" t="str">
        <f>""</f>
        <v/>
      </c>
      <c r="K1648" s="10" t="str">
        <f>"PFES1162562455_0001"</f>
        <v>PFES1162562455_0001</v>
      </c>
      <c r="L1648" s="10">
        <v>1</v>
      </c>
      <c r="M1648" s="10">
        <v>1</v>
      </c>
    </row>
    <row r="1649" spans="1:13">
      <c r="A1649" s="8">
        <v>42929</v>
      </c>
      <c r="B1649" s="9">
        <v>0.62013888888888891</v>
      </c>
      <c r="C1649" s="10" t="str">
        <f>"FES1162562457"</f>
        <v>FES1162562457</v>
      </c>
      <c r="D1649" s="10" t="s">
        <v>19</v>
      </c>
      <c r="E1649" s="10" t="s">
        <v>849</v>
      </c>
      <c r="F1649" s="10" t="str">
        <f>"2170579055 "</f>
        <v xml:space="preserve">2170579055 </v>
      </c>
      <c r="G1649" s="10" t="str">
        <f t="shared" si="69"/>
        <v>ON1</v>
      </c>
      <c r="H1649" s="10" t="s">
        <v>21</v>
      </c>
      <c r="I1649" s="10" t="s">
        <v>179</v>
      </c>
      <c r="J1649" s="10" t="str">
        <f>""</f>
        <v/>
      </c>
      <c r="K1649" s="10" t="str">
        <f>"PFES1162562457_0001"</f>
        <v>PFES1162562457_0001</v>
      </c>
      <c r="L1649" s="10">
        <v>1</v>
      </c>
      <c r="M1649" s="10">
        <v>1</v>
      </c>
    </row>
    <row r="1650" spans="1:13">
      <c r="A1650" s="8">
        <v>42929</v>
      </c>
      <c r="B1650" s="9">
        <v>0.62013888888888891</v>
      </c>
      <c r="C1650" s="10" t="str">
        <f>"FES1162562377"</f>
        <v>FES1162562377</v>
      </c>
      <c r="D1650" s="10" t="s">
        <v>19</v>
      </c>
      <c r="E1650" s="10" t="s">
        <v>376</v>
      </c>
      <c r="F1650" s="10" t="str">
        <f>"2170578970 "</f>
        <v xml:space="preserve">2170578970 </v>
      </c>
      <c r="G1650" s="10" t="str">
        <f t="shared" si="69"/>
        <v>ON1</v>
      </c>
      <c r="H1650" s="10" t="s">
        <v>21</v>
      </c>
      <c r="I1650" s="10" t="s">
        <v>377</v>
      </c>
      <c r="J1650" s="10" t="str">
        <f>""</f>
        <v/>
      </c>
      <c r="K1650" s="10" t="str">
        <f>"PFES1162562377_0001"</f>
        <v>PFES1162562377_0001</v>
      </c>
      <c r="L1650" s="10">
        <v>1</v>
      </c>
      <c r="M1650" s="10">
        <v>1</v>
      </c>
    </row>
    <row r="1651" spans="1:13">
      <c r="A1651" s="8">
        <v>42929</v>
      </c>
      <c r="B1651" s="9">
        <v>0.62013888888888891</v>
      </c>
      <c r="C1651" s="10" t="str">
        <f>"FES1162562381"</f>
        <v>FES1162562381</v>
      </c>
      <c r="D1651" s="10" t="s">
        <v>19</v>
      </c>
      <c r="E1651" s="10" t="s">
        <v>376</v>
      </c>
      <c r="F1651" s="10" t="str">
        <f>"2170578794 "</f>
        <v xml:space="preserve">2170578794 </v>
      </c>
      <c r="G1651" s="10" t="str">
        <f t="shared" si="69"/>
        <v>ON1</v>
      </c>
      <c r="H1651" s="10" t="s">
        <v>21</v>
      </c>
      <c r="I1651" s="10" t="s">
        <v>377</v>
      </c>
      <c r="J1651" s="10" t="str">
        <f>""</f>
        <v/>
      </c>
      <c r="K1651" s="10" t="str">
        <f>"PFES1162562381_0001"</f>
        <v>PFES1162562381_0001</v>
      </c>
      <c r="L1651" s="10">
        <v>1</v>
      </c>
      <c r="M1651" s="10">
        <v>1</v>
      </c>
    </row>
    <row r="1652" spans="1:13">
      <c r="A1652" s="8">
        <v>42929</v>
      </c>
      <c r="B1652" s="9">
        <v>0.61944444444444446</v>
      </c>
      <c r="C1652" s="10" t="str">
        <f>"FES1162562378"</f>
        <v>FES1162562378</v>
      </c>
      <c r="D1652" s="10" t="s">
        <v>19</v>
      </c>
      <c r="E1652" s="10" t="s">
        <v>376</v>
      </c>
      <c r="F1652" s="10" t="str">
        <f>"2170578971 "</f>
        <v xml:space="preserve">2170578971 </v>
      </c>
      <c r="G1652" s="10" t="str">
        <f t="shared" si="69"/>
        <v>ON1</v>
      </c>
      <c r="H1652" s="10" t="s">
        <v>21</v>
      </c>
      <c r="I1652" s="10" t="s">
        <v>377</v>
      </c>
      <c r="J1652" s="10" t="str">
        <f>""</f>
        <v/>
      </c>
      <c r="K1652" s="10" t="str">
        <f>"PFES1162562378_0001"</f>
        <v>PFES1162562378_0001</v>
      </c>
      <c r="L1652" s="10">
        <v>1</v>
      </c>
      <c r="M1652" s="10">
        <v>1</v>
      </c>
    </row>
    <row r="1653" spans="1:13">
      <c r="A1653" s="8">
        <v>42929</v>
      </c>
      <c r="B1653" s="9">
        <v>0.61944444444444446</v>
      </c>
      <c r="C1653" s="10" t="str">
        <f>"FES1162562379"</f>
        <v>FES1162562379</v>
      </c>
      <c r="D1653" s="10" t="s">
        <v>19</v>
      </c>
      <c r="E1653" s="10" t="s">
        <v>376</v>
      </c>
      <c r="F1653" s="10" t="str">
        <f>"2170578972 "</f>
        <v xml:space="preserve">2170578972 </v>
      </c>
      <c r="G1653" s="10" t="str">
        <f t="shared" si="69"/>
        <v>ON1</v>
      </c>
      <c r="H1653" s="10" t="s">
        <v>21</v>
      </c>
      <c r="I1653" s="10" t="s">
        <v>377</v>
      </c>
      <c r="J1653" s="10" t="str">
        <f>""</f>
        <v/>
      </c>
      <c r="K1653" s="10" t="str">
        <f>"PFES1162562379_0001"</f>
        <v>PFES1162562379_0001</v>
      </c>
      <c r="L1653" s="10">
        <v>1</v>
      </c>
      <c r="M1653" s="10">
        <v>1</v>
      </c>
    </row>
    <row r="1654" spans="1:13">
      <c r="A1654" s="8">
        <v>42929</v>
      </c>
      <c r="B1654" s="9">
        <v>0.61875000000000002</v>
      </c>
      <c r="C1654" s="10" t="str">
        <f>"FES1162562372"</f>
        <v>FES1162562372</v>
      </c>
      <c r="D1654" s="10" t="s">
        <v>19</v>
      </c>
      <c r="E1654" s="10" t="s">
        <v>376</v>
      </c>
      <c r="F1654" s="10" t="str">
        <f>"2170578964 "</f>
        <v xml:space="preserve">2170578964 </v>
      </c>
      <c r="G1654" s="10" t="str">
        <f t="shared" si="69"/>
        <v>ON1</v>
      </c>
      <c r="H1654" s="10" t="s">
        <v>21</v>
      </c>
      <c r="I1654" s="10" t="s">
        <v>377</v>
      </c>
      <c r="J1654" s="10" t="str">
        <f>""</f>
        <v/>
      </c>
      <c r="K1654" s="10" t="str">
        <f>"PFES1162562372_0001"</f>
        <v>PFES1162562372_0001</v>
      </c>
      <c r="L1654" s="10">
        <v>1</v>
      </c>
      <c r="M1654" s="10">
        <v>1</v>
      </c>
    </row>
    <row r="1655" spans="1:13">
      <c r="A1655" s="8">
        <v>42929</v>
      </c>
      <c r="B1655" s="9">
        <v>0.61805555555555558</v>
      </c>
      <c r="C1655" s="10" t="str">
        <f>"FES1162562375"</f>
        <v>FES1162562375</v>
      </c>
      <c r="D1655" s="10" t="s">
        <v>19</v>
      </c>
      <c r="E1655" s="10" t="s">
        <v>376</v>
      </c>
      <c r="F1655" s="10" t="str">
        <f>"2170578967 "</f>
        <v xml:space="preserve">2170578967 </v>
      </c>
      <c r="G1655" s="10" t="str">
        <f t="shared" si="69"/>
        <v>ON1</v>
      </c>
      <c r="H1655" s="10" t="s">
        <v>21</v>
      </c>
      <c r="I1655" s="10" t="s">
        <v>377</v>
      </c>
      <c r="J1655" s="10" t="str">
        <f>""</f>
        <v/>
      </c>
      <c r="K1655" s="10" t="str">
        <f>"PFES1162562375_0001"</f>
        <v>PFES1162562375_0001</v>
      </c>
      <c r="L1655" s="10">
        <v>1</v>
      </c>
      <c r="M1655" s="10">
        <v>1</v>
      </c>
    </row>
    <row r="1656" spans="1:13">
      <c r="A1656" s="8">
        <v>42929</v>
      </c>
      <c r="B1656" s="9">
        <v>0.61805555555555558</v>
      </c>
      <c r="C1656" s="10" t="str">
        <f>"FES1162562374"</f>
        <v>FES1162562374</v>
      </c>
      <c r="D1656" s="10" t="s">
        <v>19</v>
      </c>
      <c r="E1656" s="10" t="s">
        <v>376</v>
      </c>
      <c r="F1656" s="10" t="str">
        <f>"2170578966 "</f>
        <v xml:space="preserve">2170578966 </v>
      </c>
      <c r="G1656" s="10" t="str">
        <f t="shared" si="69"/>
        <v>ON1</v>
      </c>
      <c r="H1656" s="10" t="s">
        <v>21</v>
      </c>
      <c r="I1656" s="10" t="s">
        <v>377</v>
      </c>
      <c r="J1656" s="10" t="str">
        <f>""</f>
        <v/>
      </c>
      <c r="K1656" s="10" t="str">
        <f>"PFES1162562374_0001"</f>
        <v>PFES1162562374_0001</v>
      </c>
      <c r="L1656" s="10">
        <v>1</v>
      </c>
      <c r="M1656" s="10">
        <v>1</v>
      </c>
    </row>
    <row r="1657" spans="1:13">
      <c r="A1657" s="8">
        <v>42929</v>
      </c>
      <c r="B1657" s="9">
        <v>0.6166666666666667</v>
      </c>
      <c r="C1657" s="10" t="str">
        <f>"FES1162562370"</f>
        <v>FES1162562370</v>
      </c>
      <c r="D1657" s="10" t="s">
        <v>19</v>
      </c>
      <c r="E1657" s="10" t="s">
        <v>376</v>
      </c>
      <c r="F1657" s="10" t="str">
        <f>"2170578962 "</f>
        <v xml:space="preserve">2170578962 </v>
      </c>
      <c r="G1657" s="10" t="str">
        <f t="shared" si="69"/>
        <v>ON1</v>
      </c>
      <c r="H1657" s="10" t="s">
        <v>21</v>
      </c>
      <c r="I1657" s="10" t="s">
        <v>377</v>
      </c>
      <c r="J1657" s="10" t="str">
        <f>""</f>
        <v/>
      </c>
      <c r="K1657" s="10" t="str">
        <f>"PFES1162562370_0001"</f>
        <v>PFES1162562370_0001</v>
      </c>
      <c r="L1657" s="10">
        <v>1</v>
      </c>
      <c r="M1657" s="10">
        <v>1</v>
      </c>
    </row>
    <row r="1658" spans="1:13">
      <c r="A1658" s="8">
        <v>42929</v>
      </c>
      <c r="B1658" s="9">
        <v>0.61597222222222225</v>
      </c>
      <c r="C1658" s="10" t="str">
        <f>"FES1162562371"</f>
        <v>FES1162562371</v>
      </c>
      <c r="D1658" s="10" t="s">
        <v>19</v>
      </c>
      <c r="E1658" s="10" t="s">
        <v>376</v>
      </c>
      <c r="F1658" s="10" t="str">
        <f>"2170578963 "</f>
        <v xml:space="preserve">2170578963 </v>
      </c>
      <c r="G1658" s="10" t="str">
        <f t="shared" si="69"/>
        <v>ON1</v>
      </c>
      <c r="H1658" s="10" t="s">
        <v>21</v>
      </c>
      <c r="I1658" s="10" t="s">
        <v>377</v>
      </c>
      <c r="J1658" s="10" t="str">
        <f>""</f>
        <v/>
      </c>
      <c r="K1658" s="10" t="str">
        <f>"PFES1162562371_0001"</f>
        <v>PFES1162562371_0001</v>
      </c>
      <c r="L1658" s="10">
        <v>1</v>
      </c>
      <c r="M1658" s="10">
        <v>1</v>
      </c>
    </row>
    <row r="1659" spans="1:13">
      <c r="A1659" s="8">
        <v>42929</v>
      </c>
      <c r="B1659" s="9">
        <v>0.61597222222222225</v>
      </c>
      <c r="C1659" s="10" t="str">
        <f>"FES1162562369"</f>
        <v>FES1162562369</v>
      </c>
      <c r="D1659" s="10" t="s">
        <v>19</v>
      </c>
      <c r="E1659" s="10" t="s">
        <v>376</v>
      </c>
      <c r="F1659" s="10" t="str">
        <f>"2170578961 "</f>
        <v xml:space="preserve">2170578961 </v>
      </c>
      <c r="G1659" s="10" t="str">
        <f t="shared" si="69"/>
        <v>ON1</v>
      </c>
      <c r="H1659" s="10" t="s">
        <v>21</v>
      </c>
      <c r="I1659" s="10" t="s">
        <v>377</v>
      </c>
      <c r="J1659" s="10" t="str">
        <f>""</f>
        <v/>
      </c>
      <c r="K1659" s="10" t="str">
        <f>"PFES1162562369_0001"</f>
        <v>PFES1162562369_0001</v>
      </c>
      <c r="L1659" s="10">
        <v>1</v>
      </c>
      <c r="M1659" s="10">
        <v>1</v>
      </c>
    </row>
    <row r="1660" spans="1:13">
      <c r="A1660" s="8">
        <v>42929</v>
      </c>
      <c r="B1660" s="9">
        <v>0.61527777777777781</v>
      </c>
      <c r="C1660" s="10" t="str">
        <f>"FES1162562380"</f>
        <v>FES1162562380</v>
      </c>
      <c r="D1660" s="10" t="s">
        <v>19</v>
      </c>
      <c r="E1660" s="10" t="s">
        <v>376</v>
      </c>
      <c r="F1660" s="10" t="str">
        <f>"2170578973 "</f>
        <v xml:space="preserve">2170578973 </v>
      </c>
      <c r="G1660" s="10" t="str">
        <f t="shared" si="69"/>
        <v>ON1</v>
      </c>
      <c r="H1660" s="10" t="s">
        <v>21</v>
      </c>
      <c r="I1660" s="10" t="s">
        <v>377</v>
      </c>
      <c r="J1660" s="10" t="str">
        <f>""</f>
        <v/>
      </c>
      <c r="K1660" s="10" t="str">
        <f>"PFES1162562380_0001"</f>
        <v>PFES1162562380_0001</v>
      </c>
      <c r="L1660" s="10">
        <v>1</v>
      </c>
      <c r="M1660" s="10">
        <v>1</v>
      </c>
    </row>
    <row r="1661" spans="1:13">
      <c r="A1661" s="8">
        <v>42929</v>
      </c>
      <c r="B1661" s="9">
        <v>0.61527777777777781</v>
      </c>
      <c r="C1661" s="10" t="str">
        <f>"FES1162562373"</f>
        <v>FES1162562373</v>
      </c>
      <c r="D1661" s="10" t="s">
        <v>19</v>
      </c>
      <c r="E1661" s="10" t="s">
        <v>376</v>
      </c>
      <c r="F1661" s="10" t="str">
        <f>"2170578965 "</f>
        <v xml:space="preserve">2170578965 </v>
      </c>
      <c r="G1661" s="10" t="str">
        <f t="shared" si="69"/>
        <v>ON1</v>
      </c>
      <c r="H1661" s="10" t="s">
        <v>21</v>
      </c>
      <c r="I1661" s="10" t="s">
        <v>377</v>
      </c>
      <c r="J1661" s="10" t="str">
        <f>""</f>
        <v/>
      </c>
      <c r="K1661" s="10" t="str">
        <f>"PFES1162562373_0001"</f>
        <v>PFES1162562373_0001</v>
      </c>
      <c r="L1661" s="10">
        <v>1</v>
      </c>
      <c r="M1661" s="10">
        <v>1</v>
      </c>
    </row>
    <row r="1662" spans="1:13">
      <c r="A1662" s="8">
        <v>42929</v>
      </c>
      <c r="B1662" s="9">
        <v>0.61458333333333337</v>
      </c>
      <c r="C1662" s="10" t="str">
        <f>"FES1162562391"</f>
        <v>FES1162562391</v>
      </c>
      <c r="D1662" s="10" t="s">
        <v>19</v>
      </c>
      <c r="E1662" s="10" t="s">
        <v>850</v>
      </c>
      <c r="F1662" s="10" t="str">
        <f>"2170578983 "</f>
        <v xml:space="preserve">2170578983 </v>
      </c>
      <c r="G1662" s="10" t="str">
        <f t="shared" si="69"/>
        <v>ON1</v>
      </c>
      <c r="H1662" s="10" t="s">
        <v>21</v>
      </c>
      <c r="I1662" s="10" t="s">
        <v>136</v>
      </c>
      <c r="J1662" s="10" t="str">
        <f>""</f>
        <v/>
      </c>
      <c r="K1662" s="10" t="str">
        <f>"PFES1162562391_0001"</f>
        <v>PFES1162562391_0001</v>
      </c>
      <c r="L1662" s="10">
        <v>1</v>
      </c>
      <c r="M1662" s="10">
        <v>1</v>
      </c>
    </row>
    <row r="1663" spans="1:13">
      <c r="A1663" s="8">
        <v>42929</v>
      </c>
      <c r="B1663" s="9">
        <v>0.61458333333333337</v>
      </c>
      <c r="C1663" s="10" t="str">
        <f>"FES1162562443"</f>
        <v>FES1162562443</v>
      </c>
      <c r="D1663" s="10" t="s">
        <v>19</v>
      </c>
      <c r="E1663" s="10" t="s">
        <v>39</v>
      </c>
      <c r="F1663" s="10" t="str">
        <f>"2170579035 "</f>
        <v xml:space="preserve">2170579035 </v>
      </c>
      <c r="G1663" s="10" t="str">
        <f t="shared" si="69"/>
        <v>ON1</v>
      </c>
      <c r="H1663" s="10" t="s">
        <v>21</v>
      </c>
      <c r="I1663" s="10" t="s">
        <v>40</v>
      </c>
      <c r="J1663" s="10" t="str">
        <f>""</f>
        <v/>
      </c>
      <c r="K1663" s="10" t="str">
        <f>"PFES1162562443_0001"</f>
        <v>PFES1162562443_0001</v>
      </c>
      <c r="L1663" s="10">
        <v>1</v>
      </c>
      <c r="M1663" s="10">
        <v>1</v>
      </c>
    </row>
    <row r="1664" spans="1:13">
      <c r="A1664" s="8">
        <v>42929</v>
      </c>
      <c r="B1664" s="9">
        <v>0.61458333333333337</v>
      </c>
      <c r="C1664" s="10" t="str">
        <f>"FES1162562446"</f>
        <v>FES1162562446</v>
      </c>
      <c r="D1664" s="10" t="s">
        <v>19</v>
      </c>
      <c r="E1664" s="10" t="s">
        <v>851</v>
      </c>
      <c r="F1664" s="10" t="str">
        <f>"2170579040 "</f>
        <v xml:space="preserve">2170579040 </v>
      </c>
      <c r="G1664" s="10" t="str">
        <f t="shared" si="69"/>
        <v>ON1</v>
      </c>
      <c r="H1664" s="10" t="s">
        <v>21</v>
      </c>
      <c r="I1664" s="10" t="s">
        <v>852</v>
      </c>
      <c r="J1664" s="10" t="str">
        <f>""</f>
        <v/>
      </c>
      <c r="K1664" s="10" t="str">
        <f>"PFES1162562446_0001"</f>
        <v>PFES1162562446_0001</v>
      </c>
      <c r="L1664" s="10">
        <v>1</v>
      </c>
      <c r="M1664" s="10">
        <v>1</v>
      </c>
    </row>
    <row r="1665" spans="1:13">
      <c r="A1665" s="8">
        <v>42929</v>
      </c>
      <c r="B1665" s="9">
        <v>0.61388888888888882</v>
      </c>
      <c r="C1665" s="10" t="str">
        <f>"FES1162562451"</f>
        <v>FES1162562451</v>
      </c>
      <c r="D1665" s="10" t="s">
        <v>19</v>
      </c>
      <c r="E1665" s="10" t="s">
        <v>499</v>
      </c>
      <c r="F1665" s="10" t="str">
        <f>"2170579048 "</f>
        <v xml:space="preserve">2170579048 </v>
      </c>
      <c r="G1665" s="10" t="str">
        <f t="shared" si="69"/>
        <v>ON1</v>
      </c>
      <c r="H1665" s="10" t="s">
        <v>21</v>
      </c>
      <c r="I1665" s="10" t="s">
        <v>500</v>
      </c>
      <c r="J1665" s="10" t="str">
        <f>""</f>
        <v/>
      </c>
      <c r="K1665" s="10" t="str">
        <f>"PFES1162562451_0001"</f>
        <v>PFES1162562451_0001</v>
      </c>
      <c r="L1665" s="10">
        <v>1</v>
      </c>
      <c r="M1665" s="10">
        <v>1</v>
      </c>
    </row>
    <row r="1666" spans="1:13">
      <c r="A1666" s="8">
        <v>42933</v>
      </c>
      <c r="B1666" s="9">
        <v>0.61041666666666672</v>
      </c>
      <c r="C1666" s="10" t="str">
        <f>"FES1162562914"</f>
        <v>FES1162562914</v>
      </c>
      <c r="D1666" s="10" t="s">
        <v>19</v>
      </c>
      <c r="E1666" s="10" t="s">
        <v>62</v>
      </c>
      <c r="F1666" s="10" t="str">
        <f>"2170579571 "</f>
        <v xml:space="preserve">2170579571 </v>
      </c>
      <c r="G1666" s="10" t="str">
        <f>"ON1"</f>
        <v>ON1</v>
      </c>
      <c r="H1666" s="10" t="s">
        <v>21</v>
      </c>
      <c r="I1666" s="10" t="s">
        <v>40</v>
      </c>
      <c r="J1666" s="10" t="str">
        <f>""</f>
        <v/>
      </c>
      <c r="K1666" s="10" t="str">
        <f>"PFES1162562914_0001"</f>
        <v>PFES1162562914_0001</v>
      </c>
      <c r="L1666" s="10">
        <v>1</v>
      </c>
      <c r="M1666" s="10">
        <v>1</v>
      </c>
    </row>
    <row r="1667" spans="1:13">
      <c r="A1667" s="8">
        <v>42933</v>
      </c>
      <c r="B1667" s="9">
        <v>0.60902777777777783</v>
      </c>
      <c r="C1667" s="10" t="str">
        <f>"FES1162562604"</f>
        <v>FES1162562604</v>
      </c>
      <c r="D1667" s="10" t="s">
        <v>19</v>
      </c>
      <c r="E1667" s="10" t="s">
        <v>853</v>
      </c>
      <c r="F1667" s="10" t="str">
        <f>"2170579207 "</f>
        <v xml:space="preserve">2170579207 </v>
      </c>
      <c r="G1667" s="10" t="str">
        <f>"ON1"</f>
        <v>ON1</v>
      </c>
      <c r="H1667" s="10" t="s">
        <v>21</v>
      </c>
      <c r="I1667" s="10" t="s">
        <v>179</v>
      </c>
      <c r="J1667" s="10" t="str">
        <f>""</f>
        <v/>
      </c>
      <c r="K1667" s="10" t="str">
        <f>"PFES1162562604_0001"</f>
        <v>PFES1162562604_0001</v>
      </c>
      <c r="L1667" s="10">
        <v>1</v>
      </c>
      <c r="M1667" s="10">
        <v>3</v>
      </c>
    </row>
    <row r="1668" spans="1:13">
      <c r="A1668" s="8">
        <v>42933</v>
      </c>
      <c r="B1668" s="9">
        <v>0.60486111111111118</v>
      </c>
      <c r="C1668" s="10" t="str">
        <f>"FES1162562896"</f>
        <v>FES1162562896</v>
      </c>
      <c r="D1668" s="10" t="s">
        <v>19</v>
      </c>
      <c r="E1668" s="10" t="s">
        <v>854</v>
      </c>
      <c r="F1668" s="10" t="str">
        <f>"2170579181 "</f>
        <v xml:space="preserve">2170579181 </v>
      </c>
      <c r="G1668" s="10" t="str">
        <f>"ON1"</f>
        <v>ON1</v>
      </c>
      <c r="H1668" s="10" t="s">
        <v>21</v>
      </c>
      <c r="I1668" s="10" t="s">
        <v>224</v>
      </c>
      <c r="J1668" s="10" t="str">
        <f>""</f>
        <v/>
      </c>
      <c r="K1668" s="10" t="str">
        <f>"PFES1162562896_0001"</f>
        <v>PFES1162562896_0001</v>
      </c>
      <c r="L1668" s="10">
        <v>1</v>
      </c>
      <c r="M1668" s="10">
        <v>10</v>
      </c>
    </row>
    <row r="1669" spans="1:13">
      <c r="A1669" s="8">
        <v>42933</v>
      </c>
      <c r="B1669" s="9">
        <v>0.60277777777777775</v>
      </c>
      <c r="C1669" s="10" t="str">
        <f>"FES1162562851"</f>
        <v>FES1162562851</v>
      </c>
      <c r="D1669" s="10" t="s">
        <v>19</v>
      </c>
      <c r="E1669" s="10" t="s">
        <v>210</v>
      </c>
      <c r="F1669" s="10" t="str">
        <f>"2170575659 "</f>
        <v xml:space="preserve">2170575659 </v>
      </c>
      <c r="G1669" s="10" t="str">
        <f>"ON2"</f>
        <v>ON2</v>
      </c>
      <c r="H1669" s="10" t="s">
        <v>21</v>
      </c>
      <c r="I1669" s="10" t="s">
        <v>32</v>
      </c>
      <c r="J1669" s="10" t="str">
        <f>""</f>
        <v/>
      </c>
      <c r="K1669" s="10" t="str">
        <f>"PFES1162562851_0001"</f>
        <v>PFES1162562851_0001</v>
      </c>
      <c r="L1669" s="10">
        <v>2</v>
      </c>
      <c r="M1669" s="10">
        <v>6</v>
      </c>
    </row>
    <row r="1670" spans="1:13">
      <c r="A1670" s="8">
        <v>42933</v>
      </c>
      <c r="B1670" s="9">
        <v>0.60277777777777775</v>
      </c>
      <c r="C1670" s="10" t="str">
        <f>"FES1162562851"</f>
        <v>FES1162562851</v>
      </c>
      <c r="D1670" s="10" t="s">
        <v>19</v>
      </c>
      <c r="E1670" s="10" t="s">
        <v>210</v>
      </c>
      <c r="F1670" s="10" t="str">
        <f>"2170575659 "</f>
        <v xml:space="preserve">2170575659 </v>
      </c>
      <c r="G1670" s="10" t="str">
        <f>"ON2"</f>
        <v>ON2</v>
      </c>
      <c r="H1670" s="10" t="s">
        <v>21</v>
      </c>
      <c r="I1670" s="10" t="s">
        <v>32</v>
      </c>
      <c r="J1670" s="10"/>
      <c r="K1670" s="10" t="str">
        <f>"PFES1162562851_0002"</f>
        <v>PFES1162562851_0002</v>
      </c>
      <c r="L1670" s="10">
        <v>2</v>
      </c>
      <c r="M1670" s="10">
        <v>6</v>
      </c>
    </row>
    <row r="1671" spans="1:13">
      <c r="A1671" s="8">
        <v>42933</v>
      </c>
      <c r="B1671" s="9">
        <v>0.60138888888888886</v>
      </c>
      <c r="C1671" s="10" t="str">
        <f>"FES1162562904"</f>
        <v>FES1162562904</v>
      </c>
      <c r="D1671" s="10" t="s">
        <v>19</v>
      </c>
      <c r="E1671" s="10" t="s">
        <v>855</v>
      </c>
      <c r="F1671" s="10" t="str">
        <f>"2170572701 "</f>
        <v xml:space="preserve">2170572701 </v>
      </c>
      <c r="G1671" s="10" t="str">
        <f t="shared" ref="G1671:G1702" si="70">"ON1"</f>
        <v>ON1</v>
      </c>
      <c r="H1671" s="10" t="s">
        <v>21</v>
      </c>
      <c r="I1671" s="10" t="s">
        <v>240</v>
      </c>
      <c r="J1671" s="10" t="str">
        <f>""</f>
        <v/>
      </c>
      <c r="K1671" s="10" t="str">
        <f>"PFES1162562904_0001"</f>
        <v>PFES1162562904_0001</v>
      </c>
      <c r="L1671" s="10">
        <v>1</v>
      </c>
      <c r="M1671" s="10">
        <v>15</v>
      </c>
    </row>
    <row r="1672" spans="1:13">
      <c r="A1672" s="8">
        <v>42933</v>
      </c>
      <c r="B1672" s="9">
        <v>0.60069444444444442</v>
      </c>
      <c r="C1672" s="10" t="str">
        <f>"FES1162562871"</f>
        <v>FES1162562871</v>
      </c>
      <c r="D1672" s="10" t="s">
        <v>19</v>
      </c>
      <c r="E1672" s="10" t="s">
        <v>33</v>
      </c>
      <c r="F1672" s="10" t="str">
        <f>"2170579506 "</f>
        <v xml:space="preserve">2170579506 </v>
      </c>
      <c r="G1672" s="10" t="str">
        <f t="shared" si="70"/>
        <v>ON1</v>
      </c>
      <c r="H1672" s="10" t="s">
        <v>21</v>
      </c>
      <c r="I1672" s="10" t="s">
        <v>34</v>
      </c>
      <c r="J1672" s="10" t="str">
        <f>""</f>
        <v/>
      </c>
      <c r="K1672" s="10" t="str">
        <f>"PFES1162562871_0001"</f>
        <v>PFES1162562871_0001</v>
      </c>
      <c r="L1672" s="10">
        <v>1</v>
      </c>
      <c r="M1672" s="10">
        <v>1</v>
      </c>
    </row>
    <row r="1673" spans="1:13">
      <c r="A1673" s="8">
        <v>42933</v>
      </c>
      <c r="B1673" s="9">
        <v>0.59930555555555554</v>
      </c>
      <c r="C1673" s="10" t="str">
        <f>"FES1162562856"</f>
        <v>FES1162562856</v>
      </c>
      <c r="D1673" s="10" t="s">
        <v>19</v>
      </c>
      <c r="E1673" s="10" t="s">
        <v>47</v>
      </c>
      <c r="F1673" s="10" t="str">
        <f>"2170579487 "</f>
        <v xml:space="preserve">2170579487 </v>
      </c>
      <c r="G1673" s="10" t="str">
        <f t="shared" si="70"/>
        <v>ON1</v>
      </c>
      <c r="H1673" s="10" t="s">
        <v>21</v>
      </c>
      <c r="I1673" s="10" t="s">
        <v>48</v>
      </c>
      <c r="J1673" s="10" t="str">
        <f>""</f>
        <v/>
      </c>
      <c r="K1673" s="10" t="str">
        <f>"PFES1162562856_0001"</f>
        <v>PFES1162562856_0001</v>
      </c>
      <c r="L1673" s="10">
        <v>1</v>
      </c>
      <c r="M1673" s="10">
        <v>1</v>
      </c>
    </row>
    <row r="1674" spans="1:13">
      <c r="A1674" s="8">
        <v>42933</v>
      </c>
      <c r="B1674" s="9">
        <v>0.59861111111111109</v>
      </c>
      <c r="C1674" s="10" t="str">
        <f>"FES1162562905"</f>
        <v>FES1162562905</v>
      </c>
      <c r="D1674" s="10" t="s">
        <v>19</v>
      </c>
      <c r="E1674" s="10" t="s">
        <v>855</v>
      </c>
      <c r="F1674" s="10" t="str">
        <f>"2170574026 "</f>
        <v xml:space="preserve">2170574026 </v>
      </c>
      <c r="G1674" s="10" t="str">
        <f t="shared" si="70"/>
        <v>ON1</v>
      </c>
      <c r="H1674" s="10" t="s">
        <v>21</v>
      </c>
      <c r="I1674" s="10" t="s">
        <v>240</v>
      </c>
      <c r="J1674" s="10" t="str">
        <f>""</f>
        <v/>
      </c>
      <c r="K1674" s="10" t="str">
        <f>"PFES1162562905_0001"</f>
        <v>PFES1162562905_0001</v>
      </c>
      <c r="L1674" s="10">
        <v>1</v>
      </c>
      <c r="M1674" s="10">
        <v>1</v>
      </c>
    </row>
    <row r="1675" spans="1:13">
      <c r="A1675" s="8">
        <v>42933</v>
      </c>
      <c r="B1675" s="9">
        <v>0.59652777777777777</v>
      </c>
      <c r="C1675" s="10" t="str">
        <f>"FES1162562814"</f>
        <v>FES1162562814</v>
      </c>
      <c r="D1675" s="10" t="s">
        <v>19</v>
      </c>
      <c r="E1675" s="10" t="s">
        <v>324</v>
      </c>
      <c r="F1675" s="10" t="str">
        <f>"2170579433 "</f>
        <v xml:space="preserve">2170579433 </v>
      </c>
      <c r="G1675" s="10" t="str">
        <f t="shared" si="70"/>
        <v>ON1</v>
      </c>
      <c r="H1675" s="10" t="s">
        <v>21</v>
      </c>
      <c r="I1675" s="10" t="s">
        <v>325</v>
      </c>
      <c r="J1675" s="10" t="str">
        <f>""</f>
        <v/>
      </c>
      <c r="K1675" s="10" t="str">
        <f>"PFES1162562814_0001"</f>
        <v>PFES1162562814_0001</v>
      </c>
      <c r="L1675" s="10">
        <v>1</v>
      </c>
      <c r="M1675" s="10">
        <v>7</v>
      </c>
    </row>
    <row r="1676" spans="1:13">
      <c r="A1676" s="8">
        <v>42933</v>
      </c>
      <c r="B1676" s="9">
        <v>0.59375</v>
      </c>
      <c r="C1676" s="10" t="str">
        <f>"FES1162562815"</f>
        <v>FES1162562815</v>
      </c>
      <c r="D1676" s="10" t="s">
        <v>19</v>
      </c>
      <c r="E1676" s="10" t="s">
        <v>162</v>
      </c>
      <c r="F1676" s="10" t="str">
        <f>"2170579440 "</f>
        <v xml:space="preserve">2170579440 </v>
      </c>
      <c r="G1676" s="10" t="str">
        <f t="shared" si="70"/>
        <v>ON1</v>
      </c>
      <c r="H1676" s="10" t="s">
        <v>21</v>
      </c>
      <c r="I1676" s="10" t="s">
        <v>163</v>
      </c>
      <c r="J1676" s="10" t="str">
        <f>""</f>
        <v/>
      </c>
      <c r="K1676" s="10" t="str">
        <f>"PFES1162562815_0001"</f>
        <v>PFES1162562815_0001</v>
      </c>
      <c r="L1676" s="10">
        <v>1</v>
      </c>
      <c r="M1676" s="10">
        <v>7</v>
      </c>
    </row>
    <row r="1677" spans="1:13">
      <c r="A1677" s="8">
        <v>42933</v>
      </c>
      <c r="B1677" s="9">
        <v>0.59236111111111112</v>
      </c>
      <c r="C1677" s="10" t="str">
        <f>"FES1162562875"</f>
        <v>FES1162562875</v>
      </c>
      <c r="D1677" s="10" t="s">
        <v>19</v>
      </c>
      <c r="E1677" s="10" t="s">
        <v>304</v>
      </c>
      <c r="F1677" s="10" t="str">
        <f>"2170579512 "</f>
        <v xml:space="preserve">2170579512 </v>
      </c>
      <c r="G1677" s="10" t="str">
        <f t="shared" si="70"/>
        <v>ON1</v>
      </c>
      <c r="H1677" s="10" t="s">
        <v>21</v>
      </c>
      <c r="I1677" s="10" t="s">
        <v>56</v>
      </c>
      <c r="J1677" s="10" t="str">
        <f>""</f>
        <v/>
      </c>
      <c r="K1677" s="10" t="str">
        <f>"PFES1162562875_0001"</f>
        <v>PFES1162562875_0001</v>
      </c>
      <c r="L1677" s="10">
        <v>1</v>
      </c>
      <c r="M1677" s="10">
        <v>4</v>
      </c>
    </row>
    <row r="1678" spans="1:13">
      <c r="A1678" s="8">
        <v>42933</v>
      </c>
      <c r="B1678" s="9">
        <v>0.59097222222222223</v>
      </c>
      <c r="C1678" s="10" t="str">
        <f>"FES1162562900"</f>
        <v>FES1162562900</v>
      </c>
      <c r="D1678" s="10" t="s">
        <v>19</v>
      </c>
      <c r="E1678" s="10" t="s">
        <v>856</v>
      </c>
      <c r="F1678" s="10" t="str">
        <f>"2170579545 "</f>
        <v xml:space="preserve">2170579545 </v>
      </c>
      <c r="G1678" s="10" t="str">
        <f t="shared" si="70"/>
        <v>ON1</v>
      </c>
      <c r="H1678" s="10" t="s">
        <v>21</v>
      </c>
      <c r="I1678" s="10" t="s">
        <v>407</v>
      </c>
      <c r="J1678" s="10" t="str">
        <f>""</f>
        <v/>
      </c>
      <c r="K1678" s="10" t="str">
        <f>"PFES1162562900_0001"</f>
        <v>PFES1162562900_0001</v>
      </c>
      <c r="L1678" s="10">
        <v>1</v>
      </c>
      <c r="M1678" s="10">
        <v>1</v>
      </c>
    </row>
    <row r="1679" spans="1:13">
      <c r="A1679" s="8">
        <v>42933</v>
      </c>
      <c r="B1679" s="9">
        <v>0.59027777777777779</v>
      </c>
      <c r="C1679" s="10" t="str">
        <f>"FES1162562909"</f>
        <v>FES1162562909</v>
      </c>
      <c r="D1679" s="10" t="s">
        <v>19</v>
      </c>
      <c r="E1679" s="10" t="s">
        <v>180</v>
      </c>
      <c r="F1679" s="10" t="str">
        <f>"2170579559 "</f>
        <v xml:space="preserve">2170579559 </v>
      </c>
      <c r="G1679" s="10" t="str">
        <f t="shared" si="70"/>
        <v>ON1</v>
      </c>
      <c r="H1679" s="10" t="s">
        <v>21</v>
      </c>
      <c r="I1679" s="10" t="s">
        <v>168</v>
      </c>
      <c r="J1679" s="10" t="str">
        <f>""</f>
        <v/>
      </c>
      <c r="K1679" s="10" t="str">
        <f>"PFES1162562909_0001"</f>
        <v>PFES1162562909_0001</v>
      </c>
      <c r="L1679" s="10">
        <v>1</v>
      </c>
      <c r="M1679" s="10">
        <v>1</v>
      </c>
    </row>
    <row r="1680" spans="1:13">
      <c r="A1680" s="8">
        <v>42933</v>
      </c>
      <c r="B1680" s="9">
        <v>0.58958333333333335</v>
      </c>
      <c r="C1680" s="10" t="str">
        <f>"FES1162562836"</f>
        <v>FES1162562836</v>
      </c>
      <c r="D1680" s="10" t="s">
        <v>19</v>
      </c>
      <c r="E1680" s="10" t="s">
        <v>857</v>
      </c>
      <c r="F1680" s="10" t="str">
        <f>"2170579467 "</f>
        <v xml:space="preserve">2170579467 </v>
      </c>
      <c r="G1680" s="10" t="str">
        <f t="shared" si="70"/>
        <v>ON1</v>
      </c>
      <c r="H1680" s="10" t="s">
        <v>21</v>
      </c>
      <c r="I1680" s="10" t="s">
        <v>179</v>
      </c>
      <c r="J1680" s="10" t="str">
        <f>""</f>
        <v/>
      </c>
      <c r="K1680" s="10" t="str">
        <f>"PFES1162562836_0001"</f>
        <v>PFES1162562836_0001</v>
      </c>
      <c r="L1680" s="10">
        <v>1</v>
      </c>
      <c r="M1680" s="10">
        <v>1</v>
      </c>
    </row>
    <row r="1681" spans="1:13">
      <c r="A1681" s="8">
        <v>42933</v>
      </c>
      <c r="B1681" s="9">
        <v>0.58819444444444446</v>
      </c>
      <c r="C1681" s="10" t="str">
        <f>"FES1162562891"</f>
        <v>FES1162562891</v>
      </c>
      <c r="D1681" s="10" t="s">
        <v>19</v>
      </c>
      <c r="E1681" s="10" t="s">
        <v>62</v>
      </c>
      <c r="F1681" s="10" t="str">
        <f>"2170579536 "</f>
        <v xml:space="preserve">2170579536 </v>
      </c>
      <c r="G1681" s="10" t="str">
        <f t="shared" si="70"/>
        <v>ON1</v>
      </c>
      <c r="H1681" s="10" t="s">
        <v>21</v>
      </c>
      <c r="I1681" s="10" t="s">
        <v>402</v>
      </c>
      <c r="J1681" s="10" t="str">
        <f>""</f>
        <v/>
      </c>
      <c r="K1681" s="10" t="str">
        <f>"PFES1162562891_0001"</f>
        <v>PFES1162562891_0001</v>
      </c>
      <c r="L1681" s="10">
        <v>1</v>
      </c>
      <c r="M1681" s="10">
        <v>1</v>
      </c>
    </row>
    <row r="1682" spans="1:13">
      <c r="A1682" s="8">
        <v>42933</v>
      </c>
      <c r="B1682" s="9">
        <v>0.58750000000000002</v>
      </c>
      <c r="C1682" s="10" t="str">
        <f>"FES1162562805"</f>
        <v>FES1162562805</v>
      </c>
      <c r="D1682" s="10" t="s">
        <v>19</v>
      </c>
      <c r="E1682" s="10" t="s">
        <v>509</v>
      </c>
      <c r="F1682" s="10" t="str">
        <f>"2170579412 "</f>
        <v xml:space="preserve">2170579412 </v>
      </c>
      <c r="G1682" s="10" t="str">
        <f t="shared" si="70"/>
        <v>ON1</v>
      </c>
      <c r="H1682" s="10" t="s">
        <v>21</v>
      </c>
      <c r="I1682" s="10" t="s">
        <v>510</v>
      </c>
      <c r="J1682" s="10" t="str">
        <f>""</f>
        <v/>
      </c>
      <c r="K1682" s="10" t="str">
        <f>"PFES1162562805_0001"</f>
        <v>PFES1162562805_0001</v>
      </c>
      <c r="L1682" s="10">
        <v>1</v>
      </c>
      <c r="M1682" s="10">
        <v>1</v>
      </c>
    </row>
    <row r="1683" spans="1:13">
      <c r="A1683" s="8">
        <v>42933</v>
      </c>
      <c r="B1683" s="9">
        <v>0.58680555555555558</v>
      </c>
      <c r="C1683" s="10" t="str">
        <f>"FES1162562813"</f>
        <v>FES1162562813</v>
      </c>
      <c r="D1683" s="10" t="s">
        <v>19</v>
      </c>
      <c r="E1683" s="10" t="s">
        <v>509</v>
      </c>
      <c r="F1683" s="10" t="str">
        <f>"2170579425 "</f>
        <v xml:space="preserve">2170579425 </v>
      </c>
      <c r="G1683" s="10" t="str">
        <f t="shared" si="70"/>
        <v>ON1</v>
      </c>
      <c r="H1683" s="10" t="s">
        <v>21</v>
      </c>
      <c r="I1683" s="10" t="s">
        <v>510</v>
      </c>
      <c r="J1683" s="10" t="str">
        <f>""</f>
        <v/>
      </c>
      <c r="K1683" s="10" t="str">
        <f>"PFES1162562813_0001"</f>
        <v>PFES1162562813_0001</v>
      </c>
      <c r="L1683" s="10">
        <v>1</v>
      </c>
      <c r="M1683" s="10">
        <v>1</v>
      </c>
    </row>
    <row r="1684" spans="1:13">
      <c r="A1684" s="8">
        <v>42933</v>
      </c>
      <c r="B1684" s="9">
        <v>0.5854166666666667</v>
      </c>
      <c r="C1684" s="10" t="str">
        <f>"FES1162562831"</f>
        <v>FES1162562831</v>
      </c>
      <c r="D1684" s="10" t="s">
        <v>19</v>
      </c>
      <c r="E1684" s="10" t="s">
        <v>266</v>
      </c>
      <c r="F1684" s="10" t="str">
        <f>"2170579452 "</f>
        <v xml:space="preserve">2170579452 </v>
      </c>
      <c r="G1684" s="10" t="str">
        <f t="shared" si="70"/>
        <v>ON1</v>
      </c>
      <c r="H1684" s="10" t="s">
        <v>21</v>
      </c>
      <c r="I1684" s="10" t="s">
        <v>290</v>
      </c>
      <c r="J1684" s="10" t="str">
        <f>""</f>
        <v/>
      </c>
      <c r="K1684" s="10" t="str">
        <f>"PFES1162562831_0001"</f>
        <v>PFES1162562831_0001</v>
      </c>
      <c r="L1684" s="10">
        <v>1</v>
      </c>
      <c r="M1684" s="10">
        <v>1</v>
      </c>
    </row>
    <row r="1685" spans="1:13">
      <c r="A1685" s="8">
        <v>42933</v>
      </c>
      <c r="B1685" s="9">
        <v>0.58402777777777781</v>
      </c>
      <c r="C1685" s="10" t="str">
        <f>"FES1162562807"</f>
        <v>FES1162562807</v>
      </c>
      <c r="D1685" s="10" t="s">
        <v>19</v>
      </c>
      <c r="E1685" s="10" t="s">
        <v>509</v>
      </c>
      <c r="F1685" s="10" t="str">
        <f>"2170579418 "</f>
        <v xml:space="preserve">2170579418 </v>
      </c>
      <c r="G1685" s="10" t="str">
        <f t="shared" si="70"/>
        <v>ON1</v>
      </c>
      <c r="H1685" s="10" t="s">
        <v>21</v>
      </c>
      <c r="I1685" s="10" t="s">
        <v>510</v>
      </c>
      <c r="J1685" s="10" t="str">
        <f>""</f>
        <v/>
      </c>
      <c r="K1685" s="10" t="str">
        <f>"PFES1162562807_0001"</f>
        <v>PFES1162562807_0001</v>
      </c>
      <c r="L1685" s="10">
        <v>1</v>
      </c>
      <c r="M1685" s="10">
        <v>2</v>
      </c>
    </row>
    <row r="1686" spans="1:13">
      <c r="A1686" s="8">
        <v>42933</v>
      </c>
      <c r="B1686" s="9">
        <v>0.58333333333333337</v>
      </c>
      <c r="C1686" s="10" t="str">
        <f>"FES1162562834"</f>
        <v>FES1162562834</v>
      </c>
      <c r="D1686" s="10" t="s">
        <v>19</v>
      </c>
      <c r="E1686" s="10" t="s">
        <v>20</v>
      </c>
      <c r="F1686" s="10" t="str">
        <f>"2170579460 "</f>
        <v xml:space="preserve">2170579460 </v>
      </c>
      <c r="G1686" s="10" t="str">
        <f t="shared" si="70"/>
        <v>ON1</v>
      </c>
      <c r="H1686" s="10" t="s">
        <v>21</v>
      </c>
      <c r="I1686" s="10" t="s">
        <v>22</v>
      </c>
      <c r="J1686" s="10" t="str">
        <f>""</f>
        <v/>
      </c>
      <c r="K1686" s="10" t="str">
        <f>"PFES1162562834_0001"</f>
        <v>PFES1162562834_0001</v>
      </c>
      <c r="L1686" s="10">
        <v>1</v>
      </c>
      <c r="M1686" s="10">
        <v>1</v>
      </c>
    </row>
    <row r="1687" spans="1:13">
      <c r="A1687" s="8">
        <v>42933</v>
      </c>
      <c r="B1687" s="9">
        <v>0.58194444444444449</v>
      </c>
      <c r="C1687" s="10" t="str">
        <f>"FES1162562709"</f>
        <v>FES1162562709</v>
      </c>
      <c r="D1687" s="10" t="s">
        <v>19</v>
      </c>
      <c r="E1687" s="10" t="s">
        <v>55</v>
      </c>
      <c r="F1687" s="10" t="str">
        <f>"2170576913 "</f>
        <v xml:space="preserve">2170576913 </v>
      </c>
      <c r="G1687" s="10" t="str">
        <f t="shared" si="70"/>
        <v>ON1</v>
      </c>
      <c r="H1687" s="10" t="s">
        <v>21</v>
      </c>
      <c r="I1687" s="10" t="s">
        <v>56</v>
      </c>
      <c r="J1687" s="10" t="str">
        <f>""</f>
        <v/>
      </c>
      <c r="K1687" s="10" t="str">
        <f>"PFES1162562709_0001"</f>
        <v>PFES1162562709_0001</v>
      </c>
      <c r="L1687" s="10">
        <v>1</v>
      </c>
      <c r="M1687" s="10">
        <v>1</v>
      </c>
    </row>
    <row r="1688" spans="1:13">
      <c r="A1688" s="8">
        <v>42933</v>
      </c>
      <c r="B1688" s="9">
        <v>0.58124999999999993</v>
      </c>
      <c r="C1688" s="10" t="str">
        <f>"FES1162562888"</f>
        <v>FES1162562888</v>
      </c>
      <c r="D1688" s="10" t="s">
        <v>19</v>
      </c>
      <c r="E1688" s="10" t="s">
        <v>858</v>
      </c>
      <c r="F1688" s="10" t="str">
        <f>"2170579529 "</f>
        <v xml:space="preserve">2170579529 </v>
      </c>
      <c r="G1688" s="10" t="str">
        <f t="shared" si="70"/>
        <v>ON1</v>
      </c>
      <c r="H1688" s="10" t="s">
        <v>21</v>
      </c>
      <c r="I1688" s="10" t="s">
        <v>859</v>
      </c>
      <c r="J1688" s="10" t="str">
        <f>""</f>
        <v/>
      </c>
      <c r="K1688" s="10" t="str">
        <f>"PFES1162562888_0001"</f>
        <v>PFES1162562888_0001</v>
      </c>
      <c r="L1688" s="10">
        <v>1</v>
      </c>
      <c r="M1688" s="10">
        <v>1</v>
      </c>
    </row>
    <row r="1689" spans="1:13">
      <c r="A1689" s="8">
        <v>42933</v>
      </c>
      <c r="B1689" s="9">
        <v>0.5805555555555556</v>
      </c>
      <c r="C1689" s="10" t="str">
        <f>"FES1162562842"</f>
        <v>FES1162562842</v>
      </c>
      <c r="D1689" s="10" t="s">
        <v>19</v>
      </c>
      <c r="E1689" s="10" t="s">
        <v>76</v>
      </c>
      <c r="F1689" s="10" t="str">
        <f>"2170579473 "</f>
        <v xml:space="preserve">2170579473 </v>
      </c>
      <c r="G1689" s="10" t="str">
        <f t="shared" si="70"/>
        <v>ON1</v>
      </c>
      <c r="H1689" s="10" t="s">
        <v>21</v>
      </c>
      <c r="I1689" s="10" t="s">
        <v>77</v>
      </c>
      <c r="J1689" s="10" t="str">
        <f>""</f>
        <v/>
      </c>
      <c r="K1689" s="10" t="str">
        <f>"PFES1162562842_0001"</f>
        <v>PFES1162562842_0001</v>
      </c>
      <c r="L1689" s="10">
        <v>1</v>
      </c>
      <c r="M1689" s="10">
        <v>1</v>
      </c>
    </row>
    <row r="1690" spans="1:13">
      <c r="A1690" s="8">
        <v>42933</v>
      </c>
      <c r="B1690" s="9">
        <v>0.5805555555555556</v>
      </c>
      <c r="C1690" s="10" t="str">
        <f>"FES1162562848"</f>
        <v>FES1162562848</v>
      </c>
      <c r="D1690" s="10" t="s">
        <v>19</v>
      </c>
      <c r="E1690" s="10" t="s">
        <v>76</v>
      </c>
      <c r="F1690" s="10" t="str">
        <f>"2170579497 "</f>
        <v xml:space="preserve">2170579497 </v>
      </c>
      <c r="G1690" s="10" t="str">
        <f t="shared" si="70"/>
        <v>ON1</v>
      </c>
      <c r="H1690" s="10" t="s">
        <v>21</v>
      </c>
      <c r="I1690" s="10" t="s">
        <v>77</v>
      </c>
      <c r="J1690" s="10" t="str">
        <f>""</f>
        <v/>
      </c>
      <c r="K1690" s="10" t="str">
        <f>"PFES1162562848_0001"</f>
        <v>PFES1162562848_0001</v>
      </c>
      <c r="L1690" s="10">
        <v>1</v>
      </c>
      <c r="M1690" s="10">
        <v>2</v>
      </c>
    </row>
    <row r="1691" spans="1:13">
      <c r="A1691" s="8">
        <v>42933</v>
      </c>
      <c r="B1691" s="9">
        <v>0.57986111111111105</v>
      </c>
      <c r="C1691" s="10" t="str">
        <f>"FES1162562879"</f>
        <v>FES1162562879</v>
      </c>
      <c r="D1691" s="10" t="s">
        <v>19</v>
      </c>
      <c r="E1691" s="10" t="s">
        <v>154</v>
      </c>
      <c r="F1691" s="10" t="str">
        <f>"2170579518 "</f>
        <v xml:space="preserve">2170579518 </v>
      </c>
      <c r="G1691" s="10" t="str">
        <f t="shared" si="70"/>
        <v>ON1</v>
      </c>
      <c r="H1691" s="10" t="s">
        <v>21</v>
      </c>
      <c r="I1691" s="10" t="s">
        <v>130</v>
      </c>
      <c r="J1691" s="10" t="str">
        <f>""</f>
        <v/>
      </c>
      <c r="K1691" s="10" t="str">
        <f>"PFES1162562879_0001"</f>
        <v>PFES1162562879_0001</v>
      </c>
      <c r="L1691" s="10">
        <v>1</v>
      </c>
      <c r="M1691" s="10">
        <v>1</v>
      </c>
    </row>
    <row r="1692" spans="1:13">
      <c r="A1692" s="8">
        <v>42933</v>
      </c>
      <c r="B1692" s="9">
        <v>0.57986111111111105</v>
      </c>
      <c r="C1692" s="10" t="str">
        <f>"FES1162562844"</f>
        <v>FES1162562844</v>
      </c>
      <c r="D1692" s="10" t="s">
        <v>19</v>
      </c>
      <c r="E1692" s="10" t="s">
        <v>33</v>
      </c>
      <c r="F1692" s="10" t="str">
        <f>"2170579475 "</f>
        <v xml:space="preserve">2170579475 </v>
      </c>
      <c r="G1692" s="10" t="str">
        <f t="shared" si="70"/>
        <v>ON1</v>
      </c>
      <c r="H1692" s="10" t="s">
        <v>21</v>
      </c>
      <c r="I1692" s="10" t="s">
        <v>34</v>
      </c>
      <c r="J1692" s="10" t="str">
        <f>""</f>
        <v/>
      </c>
      <c r="K1692" s="10" t="str">
        <f>"PFES1162562844_0001"</f>
        <v>PFES1162562844_0001</v>
      </c>
      <c r="L1692" s="10">
        <v>1</v>
      </c>
      <c r="M1692" s="10">
        <v>6</v>
      </c>
    </row>
    <row r="1693" spans="1:13">
      <c r="A1693" s="8">
        <v>42933</v>
      </c>
      <c r="B1693" s="9">
        <v>0.57916666666666672</v>
      </c>
      <c r="C1693" s="10" t="str">
        <f>"FES1162562755"</f>
        <v>FES1162562755</v>
      </c>
      <c r="D1693" s="10" t="s">
        <v>19</v>
      </c>
      <c r="E1693" s="10" t="s">
        <v>355</v>
      </c>
      <c r="F1693" s="10" t="str">
        <f>"2170579353 "</f>
        <v xml:space="preserve">2170579353 </v>
      </c>
      <c r="G1693" s="10" t="str">
        <f t="shared" si="70"/>
        <v>ON1</v>
      </c>
      <c r="H1693" s="10" t="s">
        <v>21</v>
      </c>
      <c r="I1693" s="10" t="s">
        <v>330</v>
      </c>
      <c r="J1693" s="10" t="str">
        <f>""</f>
        <v/>
      </c>
      <c r="K1693" s="10" t="str">
        <f>"PFES1162562755_0001"</f>
        <v>PFES1162562755_0001</v>
      </c>
      <c r="L1693" s="10">
        <v>1</v>
      </c>
      <c r="M1693" s="10">
        <v>3</v>
      </c>
    </row>
    <row r="1694" spans="1:13">
      <c r="A1694" s="8">
        <v>42933</v>
      </c>
      <c r="B1694" s="9">
        <v>0.57916666666666672</v>
      </c>
      <c r="C1694" s="10" t="str">
        <f>"FES1162562801"</f>
        <v>FES1162562801</v>
      </c>
      <c r="D1694" s="10" t="s">
        <v>19</v>
      </c>
      <c r="E1694" s="10" t="s">
        <v>860</v>
      </c>
      <c r="F1694" s="10" t="str">
        <f>"2170576392 "</f>
        <v xml:space="preserve">2170576392 </v>
      </c>
      <c r="G1694" s="10" t="str">
        <f t="shared" si="70"/>
        <v>ON1</v>
      </c>
      <c r="H1694" s="10" t="s">
        <v>21</v>
      </c>
      <c r="I1694" s="10" t="s">
        <v>217</v>
      </c>
      <c r="J1694" s="10" t="str">
        <f>""</f>
        <v/>
      </c>
      <c r="K1694" s="10" t="str">
        <f>"PFES1162562801_0001"</f>
        <v>PFES1162562801_0001</v>
      </c>
      <c r="L1694" s="10">
        <v>1</v>
      </c>
      <c r="M1694" s="10">
        <v>9</v>
      </c>
    </row>
    <row r="1695" spans="1:13">
      <c r="A1695" s="8">
        <v>42933</v>
      </c>
      <c r="B1695" s="9">
        <v>0.57847222222222217</v>
      </c>
      <c r="C1695" s="10" t="str">
        <f>"FES1162562863"</f>
        <v>FES1162562863</v>
      </c>
      <c r="D1695" s="10" t="s">
        <v>19</v>
      </c>
      <c r="E1695" s="10" t="s">
        <v>740</v>
      </c>
      <c r="F1695" s="10" t="str">
        <f>"2170573019 "</f>
        <v xml:space="preserve">2170573019 </v>
      </c>
      <c r="G1695" s="10" t="str">
        <f t="shared" si="70"/>
        <v>ON1</v>
      </c>
      <c r="H1695" s="10" t="s">
        <v>21</v>
      </c>
      <c r="I1695" s="10" t="s">
        <v>330</v>
      </c>
      <c r="J1695" s="10" t="str">
        <f>""</f>
        <v/>
      </c>
      <c r="K1695" s="10" t="str">
        <f>"PFES1162562863_0001"</f>
        <v>PFES1162562863_0001</v>
      </c>
      <c r="L1695" s="10">
        <v>1</v>
      </c>
      <c r="M1695" s="10">
        <v>3</v>
      </c>
    </row>
    <row r="1696" spans="1:13">
      <c r="A1696" s="8">
        <v>42933</v>
      </c>
      <c r="B1696" s="9">
        <v>0.57777777777777783</v>
      </c>
      <c r="C1696" s="10" t="str">
        <f>"FES1162562832"</f>
        <v>FES1162562832</v>
      </c>
      <c r="D1696" s="10" t="s">
        <v>19</v>
      </c>
      <c r="E1696" s="10" t="s">
        <v>861</v>
      </c>
      <c r="F1696" s="10" t="str">
        <f>"2170579457 "</f>
        <v xml:space="preserve">2170579457 </v>
      </c>
      <c r="G1696" s="10" t="str">
        <f t="shared" si="70"/>
        <v>ON1</v>
      </c>
      <c r="H1696" s="10" t="s">
        <v>21</v>
      </c>
      <c r="I1696" s="10" t="s">
        <v>389</v>
      </c>
      <c r="J1696" s="10" t="str">
        <f>""</f>
        <v/>
      </c>
      <c r="K1696" s="10" t="str">
        <f>"PFES1162562832_0001"</f>
        <v>PFES1162562832_0001</v>
      </c>
      <c r="L1696" s="10">
        <v>1</v>
      </c>
      <c r="M1696" s="10">
        <v>3</v>
      </c>
    </row>
    <row r="1697" spans="1:13">
      <c r="A1697" s="8">
        <v>42933</v>
      </c>
      <c r="B1697" s="9">
        <v>0.57777777777777783</v>
      </c>
      <c r="C1697" s="10" t="str">
        <f>"FES1162562825"</f>
        <v>FES1162562825</v>
      </c>
      <c r="D1697" s="10" t="s">
        <v>19</v>
      </c>
      <c r="E1697" s="10" t="s">
        <v>825</v>
      </c>
      <c r="F1697" s="10" t="str">
        <f>"2170574775 "</f>
        <v xml:space="preserve">2170574775 </v>
      </c>
      <c r="G1697" s="10" t="str">
        <f t="shared" si="70"/>
        <v>ON1</v>
      </c>
      <c r="H1697" s="10" t="s">
        <v>21</v>
      </c>
      <c r="I1697" s="10" t="s">
        <v>724</v>
      </c>
      <c r="J1697" s="10" t="str">
        <f>""</f>
        <v/>
      </c>
      <c r="K1697" s="10" t="str">
        <f>"PFES1162562825_0001"</f>
        <v>PFES1162562825_0001</v>
      </c>
      <c r="L1697" s="10">
        <v>1</v>
      </c>
      <c r="M1697" s="10">
        <v>1</v>
      </c>
    </row>
    <row r="1698" spans="1:13">
      <c r="A1698" s="8">
        <v>42933</v>
      </c>
      <c r="B1698" s="9">
        <v>0.57708333333333328</v>
      </c>
      <c r="C1698" s="10" t="str">
        <f>"FES1162562855"</f>
        <v>FES1162562855</v>
      </c>
      <c r="D1698" s="10" t="s">
        <v>19</v>
      </c>
      <c r="E1698" s="10" t="s">
        <v>862</v>
      </c>
      <c r="F1698" s="10" t="str">
        <f>"2170579483 "</f>
        <v xml:space="preserve">2170579483 </v>
      </c>
      <c r="G1698" s="10" t="str">
        <f t="shared" si="70"/>
        <v>ON1</v>
      </c>
      <c r="H1698" s="10" t="s">
        <v>21</v>
      </c>
      <c r="I1698" s="10" t="s">
        <v>177</v>
      </c>
      <c r="J1698" s="10" t="str">
        <f>""</f>
        <v/>
      </c>
      <c r="K1698" s="10" t="str">
        <f>"PFES1162562855_0001"</f>
        <v>PFES1162562855_0001</v>
      </c>
      <c r="L1698" s="10">
        <v>1</v>
      </c>
      <c r="M1698" s="10">
        <v>1</v>
      </c>
    </row>
    <row r="1699" spans="1:13">
      <c r="A1699" s="8">
        <v>42933</v>
      </c>
      <c r="B1699" s="9">
        <v>0.57500000000000007</v>
      </c>
      <c r="C1699" s="10" t="str">
        <f>"FES1162562853"</f>
        <v>FES1162562853</v>
      </c>
      <c r="D1699" s="10" t="s">
        <v>19</v>
      </c>
      <c r="E1699" s="10" t="s">
        <v>863</v>
      </c>
      <c r="F1699" s="10" t="str">
        <f>"2170572894 "</f>
        <v xml:space="preserve">2170572894 </v>
      </c>
      <c r="G1699" s="10" t="str">
        <f t="shared" si="70"/>
        <v>ON1</v>
      </c>
      <c r="H1699" s="10" t="s">
        <v>21</v>
      </c>
      <c r="I1699" s="10" t="s">
        <v>540</v>
      </c>
      <c r="J1699" s="10" t="str">
        <f>""</f>
        <v/>
      </c>
      <c r="K1699" s="10" t="str">
        <f>"PFES1162562853_0001"</f>
        <v>PFES1162562853_0001</v>
      </c>
      <c r="L1699" s="10">
        <v>1</v>
      </c>
      <c r="M1699" s="10">
        <v>1</v>
      </c>
    </row>
    <row r="1700" spans="1:13">
      <c r="A1700" s="8">
        <v>42933</v>
      </c>
      <c r="B1700" s="9">
        <v>0.57430555555555551</v>
      </c>
      <c r="C1700" s="10" t="str">
        <f>"FES1162562824"</f>
        <v>FES1162562824</v>
      </c>
      <c r="D1700" s="10" t="s">
        <v>19</v>
      </c>
      <c r="E1700" s="10" t="s">
        <v>99</v>
      </c>
      <c r="F1700" s="10" t="str">
        <f>"2170579862 "</f>
        <v xml:space="preserve">2170579862 </v>
      </c>
      <c r="G1700" s="10" t="str">
        <f t="shared" si="70"/>
        <v>ON1</v>
      </c>
      <c r="H1700" s="10" t="s">
        <v>21</v>
      </c>
      <c r="I1700" s="10" t="s">
        <v>100</v>
      </c>
      <c r="J1700" s="10" t="str">
        <f>""</f>
        <v/>
      </c>
      <c r="K1700" s="10" t="str">
        <f>"PFES1162562824_0001"</f>
        <v>PFES1162562824_0001</v>
      </c>
      <c r="L1700" s="10">
        <v>1</v>
      </c>
      <c r="M1700" s="10">
        <v>1</v>
      </c>
    </row>
    <row r="1701" spans="1:13">
      <c r="A1701" s="8">
        <v>42933</v>
      </c>
      <c r="B1701" s="9">
        <v>0.57361111111111118</v>
      </c>
      <c r="C1701" s="10" t="str">
        <f>"FES1162562835"</f>
        <v>FES1162562835</v>
      </c>
      <c r="D1701" s="10" t="s">
        <v>19</v>
      </c>
      <c r="E1701" s="10" t="s">
        <v>304</v>
      </c>
      <c r="F1701" s="10" t="str">
        <f>"2170579462 "</f>
        <v xml:space="preserve">2170579462 </v>
      </c>
      <c r="G1701" s="10" t="str">
        <f t="shared" si="70"/>
        <v>ON1</v>
      </c>
      <c r="H1701" s="10" t="s">
        <v>21</v>
      </c>
      <c r="I1701" s="10" t="s">
        <v>56</v>
      </c>
      <c r="J1701" s="10" t="str">
        <f>""</f>
        <v/>
      </c>
      <c r="K1701" s="10" t="str">
        <f>"PFES1162562835_0001"</f>
        <v>PFES1162562835_0001</v>
      </c>
      <c r="L1701" s="10">
        <v>1</v>
      </c>
      <c r="M1701" s="10">
        <v>2</v>
      </c>
    </row>
    <row r="1702" spans="1:13">
      <c r="A1702" s="8">
        <v>42933</v>
      </c>
      <c r="B1702" s="9">
        <v>0.57361111111111118</v>
      </c>
      <c r="C1702" s="10" t="str">
        <f>"FES1162562849"</f>
        <v>FES1162562849</v>
      </c>
      <c r="D1702" s="10" t="s">
        <v>19</v>
      </c>
      <c r="E1702" s="10" t="s">
        <v>832</v>
      </c>
      <c r="F1702" s="10" t="str">
        <f>"2170579481 "</f>
        <v xml:space="preserve">2170579481 </v>
      </c>
      <c r="G1702" s="10" t="str">
        <f t="shared" si="70"/>
        <v>ON1</v>
      </c>
      <c r="H1702" s="10" t="s">
        <v>21</v>
      </c>
      <c r="I1702" s="10" t="s">
        <v>480</v>
      </c>
      <c r="J1702" s="10" t="str">
        <f>""</f>
        <v/>
      </c>
      <c r="K1702" s="10" t="str">
        <f>"PFES1162562849_0001"</f>
        <v>PFES1162562849_0001</v>
      </c>
      <c r="L1702" s="10">
        <v>1</v>
      </c>
      <c r="M1702" s="10">
        <v>1</v>
      </c>
    </row>
    <row r="1703" spans="1:13">
      <c r="A1703" s="8">
        <v>42933</v>
      </c>
      <c r="B1703" s="9">
        <v>0.57291666666666663</v>
      </c>
      <c r="C1703" s="10" t="str">
        <f>"FES1162562766"</f>
        <v>FES1162562766</v>
      </c>
      <c r="D1703" s="10" t="s">
        <v>19</v>
      </c>
      <c r="E1703" s="10" t="s">
        <v>320</v>
      </c>
      <c r="F1703" s="10" t="str">
        <f>"217057623 "</f>
        <v xml:space="preserve">217057623 </v>
      </c>
      <c r="G1703" s="10" t="str">
        <f>"DBC"</f>
        <v>DBC</v>
      </c>
      <c r="H1703" s="10" t="s">
        <v>21</v>
      </c>
      <c r="I1703" s="10" t="s">
        <v>32</v>
      </c>
      <c r="J1703" s="10" t="str">
        <f>""</f>
        <v/>
      </c>
      <c r="K1703" s="10" t="str">
        <f>"PFES1162562766_0001"</f>
        <v>PFES1162562766_0001</v>
      </c>
      <c r="L1703" s="10">
        <v>2</v>
      </c>
      <c r="M1703" s="10">
        <v>17</v>
      </c>
    </row>
    <row r="1704" spans="1:13">
      <c r="A1704" s="8">
        <v>42933</v>
      </c>
      <c r="B1704" s="9">
        <v>0.57291666666666663</v>
      </c>
      <c r="C1704" s="10" t="str">
        <f>"FES1162562766"</f>
        <v>FES1162562766</v>
      </c>
      <c r="D1704" s="10" t="s">
        <v>19</v>
      </c>
      <c r="E1704" s="10" t="s">
        <v>320</v>
      </c>
      <c r="F1704" s="10" t="str">
        <f>"217057623 "</f>
        <v xml:space="preserve">217057623 </v>
      </c>
      <c r="G1704" s="10" t="str">
        <f>"DBC"</f>
        <v>DBC</v>
      </c>
      <c r="H1704" s="10" t="s">
        <v>21</v>
      </c>
      <c r="I1704" s="10" t="s">
        <v>32</v>
      </c>
      <c r="J1704" s="10"/>
      <c r="K1704" s="10" t="str">
        <f>"PFES1162562766_0002"</f>
        <v>PFES1162562766_0002</v>
      </c>
      <c r="L1704" s="10">
        <v>2</v>
      </c>
      <c r="M1704" s="10">
        <v>17</v>
      </c>
    </row>
    <row r="1705" spans="1:13">
      <c r="A1705" s="8">
        <v>42933</v>
      </c>
      <c r="B1705" s="9">
        <v>0.57222222222222219</v>
      </c>
      <c r="C1705" s="10" t="str">
        <f>"FES1162562809"</f>
        <v>FES1162562809</v>
      </c>
      <c r="D1705" s="10" t="s">
        <v>19</v>
      </c>
      <c r="E1705" s="10" t="s">
        <v>509</v>
      </c>
      <c r="F1705" s="10" t="str">
        <f>"2170579421 "</f>
        <v xml:space="preserve">2170579421 </v>
      </c>
      <c r="G1705" s="10" t="str">
        <f t="shared" ref="G1705:G1716" si="71">"ON1"</f>
        <v>ON1</v>
      </c>
      <c r="H1705" s="10" t="s">
        <v>21</v>
      </c>
      <c r="I1705" s="10" t="s">
        <v>510</v>
      </c>
      <c r="J1705" s="10" t="str">
        <f>""</f>
        <v/>
      </c>
      <c r="K1705" s="10" t="str">
        <f>"PFES1162562809_0001"</f>
        <v>PFES1162562809_0001</v>
      </c>
      <c r="L1705" s="10">
        <v>1</v>
      </c>
      <c r="M1705" s="10">
        <v>1</v>
      </c>
    </row>
    <row r="1706" spans="1:13">
      <c r="A1706" s="8">
        <v>42933</v>
      </c>
      <c r="B1706" s="9">
        <v>0.57222222222222219</v>
      </c>
      <c r="C1706" s="10" t="str">
        <f>"FES1162562857"</f>
        <v>FES1162562857</v>
      </c>
      <c r="D1706" s="10" t="s">
        <v>19</v>
      </c>
      <c r="E1706" s="10" t="s">
        <v>190</v>
      </c>
      <c r="F1706" s="10" t="str">
        <f>"217057948 "</f>
        <v xml:space="preserve">217057948 </v>
      </c>
      <c r="G1706" s="10" t="str">
        <f t="shared" si="71"/>
        <v>ON1</v>
      </c>
      <c r="H1706" s="10" t="s">
        <v>21</v>
      </c>
      <c r="I1706" s="10" t="s">
        <v>52</v>
      </c>
      <c r="J1706" s="10" t="str">
        <f>""</f>
        <v/>
      </c>
      <c r="K1706" s="10" t="str">
        <f>"PFES1162562857_0001"</f>
        <v>PFES1162562857_0001</v>
      </c>
      <c r="L1706" s="10">
        <v>1</v>
      </c>
      <c r="M1706" s="10">
        <v>10</v>
      </c>
    </row>
    <row r="1707" spans="1:13">
      <c r="A1707" s="8">
        <v>42933</v>
      </c>
      <c r="B1707" s="9">
        <v>0.5708333333333333</v>
      </c>
      <c r="C1707" s="10" t="str">
        <f>"FES1162562859"</f>
        <v>FES1162562859</v>
      </c>
      <c r="D1707" s="10" t="s">
        <v>19</v>
      </c>
      <c r="E1707" s="10" t="s">
        <v>190</v>
      </c>
      <c r="F1707" s="10" t="str">
        <f>"2170579494 "</f>
        <v xml:space="preserve">2170579494 </v>
      </c>
      <c r="G1707" s="10" t="str">
        <f t="shared" si="71"/>
        <v>ON1</v>
      </c>
      <c r="H1707" s="10" t="s">
        <v>21</v>
      </c>
      <c r="I1707" s="10" t="s">
        <v>52</v>
      </c>
      <c r="J1707" s="10" t="str">
        <f>""</f>
        <v/>
      </c>
      <c r="K1707" s="10" t="str">
        <f>"PFES1162562859_0001"</f>
        <v>PFES1162562859_0001</v>
      </c>
      <c r="L1707" s="10">
        <v>1</v>
      </c>
      <c r="M1707" s="10">
        <v>1</v>
      </c>
    </row>
    <row r="1708" spans="1:13">
      <c r="A1708" s="8">
        <v>42933</v>
      </c>
      <c r="B1708" s="9">
        <v>0.57013888888888886</v>
      </c>
      <c r="C1708" s="10" t="str">
        <f>"FES1162562862"</f>
        <v>FES1162562862</v>
      </c>
      <c r="D1708" s="10" t="s">
        <v>19</v>
      </c>
      <c r="E1708" s="10" t="s">
        <v>548</v>
      </c>
      <c r="F1708" s="10" t="str">
        <f>"2170575503 "</f>
        <v xml:space="preserve">2170575503 </v>
      </c>
      <c r="G1708" s="10" t="str">
        <f t="shared" si="71"/>
        <v>ON1</v>
      </c>
      <c r="H1708" s="10" t="s">
        <v>21</v>
      </c>
      <c r="I1708" s="10" t="s">
        <v>90</v>
      </c>
      <c r="J1708" s="10" t="str">
        <f>""</f>
        <v/>
      </c>
      <c r="K1708" s="10" t="str">
        <f>"PFES1162562862_0001"</f>
        <v>PFES1162562862_0001</v>
      </c>
      <c r="L1708" s="10">
        <v>1</v>
      </c>
      <c r="M1708" s="10">
        <v>1</v>
      </c>
    </row>
    <row r="1709" spans="1:13">
      <c r="A1709" s="8">
        <v>42933</v>
      </c>
      <c r="B1709" s="9">
        <v>0.56944444444444442</v>
      </c>
      <c r="C1709" s="10" t="str">
        <f>"FES1162562806"</f>
        <v>FES1162562806</v>
      </c>
      <c r="D1709" s="10" t="s">
        <v>19</v>
      </c>
      <c r="E1709" s="10" t="s">
        <v>512</v>
      </c>
      <c r="F1709" s="10" t="str">
        <f>"2170579415 "</f>
        <v xml:space="preserve">2170579415 </v>
      </c>
      <c r="G1709" s="10" t="str">
        <f t="shared" si="71"/>
        <v>ON1</v>
      </c>
      <c r="H1709" s="10" t="s">
        <v>21</v>
      </c>
      <c r="I1709" s="10" t="s">
        <v>157</v>
      </c>
      <c r="J1709" s="10" t="str">
        <f>""</f>
        <v/>
      </c>
      <c r="K1709" s="10" t="str">
        <f>"PFES1162562806_0001"</f>
        <v>PFES1162562806_0001</v>
      </c>
      <c r="L1709" s="10">
        <v>1</v>
      </c>
      <c r="M1709" s="10">
        <v>6</v>
      </c>
    </row>
    <row r="1710" spans="1:13">
      <c r="A1710" s="8">
        <v>42933</v>
      </c>
      <c r="B1710" s="9">
        <v>0.56944444444444442</v>
      </c>
      <c r="C1710" s="10" t="str">
        <f>"FES1162562847"</f>
        <v>FES1162562847</v>
      </c>
      <c r="D1710" s="10" t="s">
        <v>19</v>
      </c>
      <c r="E1710" s="10" t="s">
        <v>78</v>
      </c>
      <c r="F1710" s="10" t="str">
        <f>"2170579478 "</f>
        <v xml:space="preserve">2170579478 </v>
      </c>
      <c r="G1710" s="10" t="str">
        <f t="shared" si="71"/>
        <v>ON1</v>
      </c>
      <c r="H1710" s="10" t="s">
        <v>21</v>
      </c>
      <c r="I1710" s="10" t="s">
        <v>79</v>
      </c>
      <c r="J1710" s="10" t="str">
        <f>""</f>
        <v/>
      </c>
      <c r="K1710" s="10" t="str">
        <f>"PFES1162562847_0001"</f>
        <v>PFES1162562847_0001</v>
      </c>
      <c r="L1710" s="10">
        <v>1</v>
      </c>
      <c r="M1710" s="10">
        <v>1</v>
      </c>
    </row>
    <row r="1711" spans="1:13">
      <c r="A1711" s="8">
        <v>42933</v>
      </c>
      <c r="B1711" s="9">
        <v>0.56944444444444442</v>
      </c>
      <c r="C1711" s="10" t="str">
        <f>"FES1162562770"</f>
        <v>FES1162562770</v>
      </c>
      <c r="D1711" s="10" t="s">
        <v>19</v>
      </c>
      <c r="E1711" s="10" t="s">
        <v>156</v>
      </c>
      <c r="F1711" s="10" t="str">
        <f>"2170574988 "</f>
        <v xml:space="preserve">2170574988 </v>
      </c>
      <c r="G1711" s="10" t="str">
        <f t="shared" si="71"/>
        <v>ON1</v>
      </c>
      <c r="H1711" s="10" t="s">
        <v>21</v>
      </c>
      <c r="I1711" s="10" t="s">
        <v>157</v>
      </c>
      <c r="J1711" s="10" t="str">
        <f>""</f>
        <v/>
      </c>
      <c r="K1711" s="10" t="str">
        <f>"PFES1162562770_0001"</f>
        <v>PFES1162562770_0001</v>
      </c>
      <c r="L1711" s="10">
        <v>1</v>
      </c>
      <c r="M1711" s="10">
        <v>7</v>
      </c>
    </row>
    <row r="1712" spans="1:13">
      <c r="A1712" s="8">
        <v>42933</v>
      </c>
      <c r="B1712" s="9">
        <v>0.56874999999999998</v>
      </c>
      <c r="C1712" s="10" t="str">
        <f>"FES1162562843"</f>
        <v>FES1162562843</v>
      </c>
      <c r="D1712" s="10" t="s">
        <v>19</v>
      </c>
      <c r="E1712" s="10" t="s">
        <v>288</v>
      </c>
      <c r="F1712" s="10" t="str">
        <f>"2170579474 "</f>
        <v xml:space="preserve">2170579474 </v>
      </c>
      <c r="G1712" s="10" t="str">
        <f t="shared" si="71"/>
        <v>ON1</v>
      </c>
      <c r="H1712" s="10" t="s">
        <v>21</v>
      </c>
      <c r="I1712" s="10" t="s">
        <v>300</v>
      </c>
      <c r="J1712" s="10" t="str">
        <f>""</f>
        <v/>
      </c>
      <c r="K1712" s="10" t="str">
        <f>"PFES1162562843_0001"</f>
        <v>PFES1162562843_0001</v>
      </c>
      <c r="L1712" s="10">
        <v>1</v>
      </c>
      <c r="M1712" s="10">
        <v>4</v>
      </c>
    </row>
    <row r="1713" spans="1:13">
      <c r="A1713" s="8">
        <v>42933</v>
      </c>
      <c r="B1713" s="9">
        <v>0.56874999999999998</v>
      </c>
      <c r="C1713" s="10" t="str">
        <f>"FES1162562776"</f>
        <v>FES1162562776</v>
      </c>
      <c r="D1713" s="10" t="s">
        <v>19</v>
      </c>
      <c r="E1713" s="10" t="s">
        <v>864</v>
      </c>
      <c r="F1713" s="10" t="str">
        <f>"2170575957 "</f>
        <v xml:space="preserve">2170575957 </v>
      </c>
      <c r="G1713" s="10" t="str">
        <f t="shared" si="71"/>
        <v>ON1</v>
      </c>
      <c r="H1713" s="10" t="s">
        <v>21</v>
      </c>
      <c r="I1713" s="10" t="s">
        <v>92</v>
      </c>
      <c r="J1713" s="10" t="str">
        <f>""</f>
        <v/>
      </c>
      <c r="K1713" s="10" t="str">
        <f>"PFES1162562776_0001"</f>
        <v>PFES1162562776_0001</v>
      </c>
      <c r="L1713" s="10">
        <v>1</v>
      </c>
      <c r="M1713" s="10">
        <v>1</v>
      </c>
    </row>
    <row r="1714" spans="1:13">
      <c r="A1714" s="8">
        <v>42933</v>
      </c>
      <c r="B1714" s="9">
        <v>0.56736111111111109</v>
      </c>
      <c r="C1714" s="10" t="str">
        <f>"FES1162562841"</f>
        <v>FES1162562841</v>
      </c>
      <c r="D1714" s="10" t="s">
        <v>19</v>
      </c>
      <c r="E1714" s="10" t="s">
        <v>397</v>
      </c>
      <c r="F1714" s="10" t="str">
        <f>"2170579472 "</f>
        <v xml:space="preserve">2170579472 </v>
      </c>
      <c r="G1714" s="10" t="str">
        <f t="shared" si="71"/>
        <v>ON1</v>
      </c>
      <c r="H1714" s="10" t="s">
        <v>21</v>
      </c>
      <c r="I1714" s="10" t="s">
        <v>800</v>
      </c>
      <c r="J1714" s="10" t="str">
        <f>""</f>
        <v/>
      </c>
      <c r="K1714" s="10" t="str">
        <f>"PFES1162562841_0001"</f>
        <v>PFES1162562841_0001</v>
      </c>
      <c r="L1714" s="10">
        <v>1</v>
      </c>
      <c r="M1714" s="10">
        <v>2</v>
      </c>
    </row>
    <row r="1715" spans="1:13">
      <c r="A1715" s="8">
        <v>42933</v>
      </c>
      <c r="B1715" s="9">
        <v>0.54791666666666672</v>
      </c>
      <c r="C1715" s="10" t="str">
        <f>"FES1162562754"</f>
        <v>FES1162562754</v>
      </c>
      <c r="D1715" s="10" t="s">
        <v>19</v>
      </c>
      <c r="E1715" s="10" t="s">
        <v>666</v>
      </c>
      <c r="F1715" s="10" t="str">
        <f>"2170579351 "</f>
        <v xml:space="preserve">2170579351 </v>
      </c>
      <c r="G1715" s="10" t="str">
        <f t="shared" si="71"/>
        <v>ON1</v>
      </c>
      <c r="H1715" s="10" t="s">
        <v>21</v>
      </c>
      <c r="I1715" s="10" t="s">
        <v>628</v>
      </c>
      <c r="J1715" s="10" t="str">
        <f>""</f>
        <v/>
      </c>
      <c r="K1715" s="10" t="str">
        <f>"PFES1162562754_0001"</f>
        <v>PFES1162562754_0001</v>
      </c>
      <c r="L1715" s="10">
        <v>1</v>
      </c>
      <c r="M1715" s="10">
        <v>5</v>
      </c>
    </row>
    <row r="1716" spans="1:13">
      <c r="A1716" s="8">
        <v>42933</v>
      </c>
      <c r="B1716" s="9">
        <v>0.54722222222222217</v>
      </c>
      <c r="C1716" s="10" t="str">
        <f>"FES1162562828"</f>
        <v>FES1162562828</v>
      </c>
      <c r="D1716" s="10" t="s">
        <v>19</v>
      </c>
      <c r="E1716" s="10" t="s">
        <v>154</v>
      </c>
      <c r="F1716" s="10" t="str">
        <f>"2170578892 "</f>
        <v xml:space="preserve">2170578892 </v>
      </c>
      <c r="G1716" s="10" t="str">
        <f t="shared" si="71"/>
        <v>ON1</v>
      </c>
      <c r="H1716" s="10" t="s">
        <v>21</v>
      </c>
      <c r="I1716" s="10" t="s">
        <v>130</v>
      </c>
      <c r="J1716" s="10" t="str">
        <f>""</f>
        <v/>
      </c>
      <c r="K1716" s="10" t="str">
        <f>"PFES1162562828_0001"</f>
        <v>PFES1162562828_0001</v>
      </c>
      <c r="L1716" s="10">
        <v>1</v>
      </c>
      <c r="M1716" s="10">
        <v>3</v>
      </c>
    </row>
    <row r="1717" spans="1:13">
      <c r="A1717" s="8">
        <v>42933</v>
      </c>
      <c r="B1717" s="9">
        <v>0.54583333333333328</v>
      </c>
      <c r="C1717" s="10" t="str">
        <f>"FES1162562781"</f>
        <v>FES1162562781</v>
      </c>
      <c r="D1717" s="10" t="s">
        <v>19</v>
      </c>
      <c r="E1717" s="10" t="s">
        <v>371</v>
      </c>
      <c r="F1717" s="10" t="str">
        <f>"2170577487 "</f>
        <v xml:space="preserve">2170577487 </v>
      </c>
      <c r="G1717" s="10" t="str">
        <f>"ON2"</f>
        <v>ON2</v>
      </c>
      <c r="H1717" s="10" t="s">
        <v>21</v>
      </c>
      <c r="I1717" s="10" t="s">
        <v>202</v>
      </c>
      <c r="J1717" s="10" t="str">
        <f>""</f>
        <v/>
      </c>
      <c r="K1717" s="10" t="str">
        <f>"PFES1162562781_0001"</f>
        <v>PFES1162562781_0001</v>
      </c>
      <c r="L1717" s="10">
        <v>1</v>
      </c>
      <c r="M1717" s="10">
        <v>14</v>
      </c>
    </row>
    <row r="1718" spans="1:13">
      <c r="A1718" s="8">
        <v>42933</v>
      </c>
      <c r="B1718" s="9">
        <v>0.5444444444444444</v>
      </c>
      <c r="C1718" s="10" t="str">
        <f>"FES1162562840"</f>
        <v>FES1162562840</v>
      </c>
      <c r="D1718" s="10" t="s">
        <v>19</v>
      </c>
      <c r="E1718" s="10" t="s">
        <v>146</v>
      </c>
      <c r="F1718" s="10" t="str">
        <f>"2170579470 "</f>
        <v xml:space="preserve">2170579470 </v>
      </c>
      <c r="G1718" s="10" t="str">
        <f>"ON1"</f>
        <v>ON1</v>
      </c>
      <c r="H1718" s="10" t="s">
        <v>21</v>
      </c>
      <c r="I1718" s="10" t="s">
        <v>147</v>
      </c>
      <c r="J1718" s="10" t="str">
        <f>""</f>
        <v/>
      </c>
      <c r="K1718" s="10" t="str">
        <f>"PFES1162562840_0001"</f>
        <v>PFES1162562840_0001</v>
      </c>
      <c r="L1718" s="10">
        <v>2</v>
      </c>
      <c r="M1718" s="10">
        <v>4</v>
      </c>
    </row>
    <row r="1719" spans="1:13">
      <c r="A1719" s="8">
        <v>42933</v>
      </c>
      <c r="B1719" s="9">
        <v>0.5444444444444444</v>
      </c>
      <c r="C1719" s="10" t="str">
        <f>"FES1162562840"</f>
        <v>FES1162562840</v>
      </c>
      <c r="D1719" s="10" t="s">
        <v>19</v>
      </c>
      <c r="E1719" s="10" t="s">
        <v>146</v>
      </c>
      <c r="F1719" s="10" t="str">
        <f>"2170579470 "</f>
        <v xml:space="preserve">2170579470 </v>
      </c>
      <c r="G1719" s="10" t="str">
        <f>"ON1"</f>
        <v>ON1</v>
      </c>
      <c r="H1719" s="10" t="s">
        <v>21</v>
      </c>
      <c r="I1719" s="10" t="s">
        <v>147</v>
      </c>
      <c r="J1719" s="10"/>
      <c r="K1719" s="10" t="str">
        <f>"PFES1162562840_0002"</f>
        <v>PFES1162562840_0002</v>
      </c>
      <c r="L1719" s="10">
        <v>2</v>
      </c>
      <c r="M1719" s="10">
        <v>4</v>
      </c>
    </row>
    <row r="1720" spans="1:13">
      <c r="A1720" s="8">
        <v>42933</v>
      </c>
      <c r="B1720" s="9">
        <v>0.54375000000000007</v>
      </c>
      <c r="C1720" s="10" t="str">
        <f>"FES1162562830"</f>
        <v>FES1162562830</v>
      </c>
      <c r="D1720" s="10" t="s">
        <v>19</v>
      </c>
      <c r="E1720" s="10" t="s">
        <v>865</v>
      </c>
      <c r="F1720" s="10" t="str">
        <f>"2170579446 "</f>
        <v xml:space="preserve">2170579446 </v>
      </c>
      <c r="G1720" s="10" t="str">
        <f t="shared" ref="G1720:G1757" si="72">"ON1"</f>
        <v>ON1</v>
      </c>
      <c r="H1720" s="10" t="s">
        <v>21</v>
      </c>
      <c r="I1720" s="10" t="s">
        <v>130</v>
      </c>
      <c r="J1720" s="10" t="str">
        <f>""</f>
        <v/>
      </c>
      <c r="K1720" s="10" t="str">
        <f>"PFES1162562830_0001"</f>
        <v>PFES1162562830_0001</v>
      </c>
      <c r="L1720" s="10">
        <v>1</v>
      </c>
      <c r="M1720" s="10">
        <v>1</v>
      </c>
    </row>
    <row r="1721" spans="1:13">
      <c r="A1721" s="8">
        <v>42933</v>
      </c>
      <c r="B1721" s="9">
        <v>0.54097222222222219</v>
      </c>
      <c r="C1721" s="10" t="str">
        <f>"FES1162562773"</f>
        <v>FES1162562773</v>
      </c>
      <c r="D1721" s="10" t="s">
        <v>19</v>
      </c>
      <c r="E1721" s="10" t="s">
        <v>123</v>
      </c>
      <c r="F1721" s="10" t="str">
        <f>"2170575787 "</f>
        <v xml:space="preserve">2170575787 </v>
      </c>
      <c r="G1721" s="10" t="str">
        <f t="shared" si="72"/>
        <v>ON1</v>
      </c>
      <c r="H1721" s="10" t="s">
        <v>21</v>
      </c>
      <c r="I1721" s="10" t="s">
        <v>24</v>
      </c>
      <c r="J1721" s="10" t="str">
        <f>""</f>
        <v/>
      </c>
      <c r="K1721" s="10" t="str">
        <f>"PFES1162562773_0001"</f>
        <v>PFES1162562773_0001</v>
      </c>
      <c r="L1721" s="10">
        <v>1</v>
      </c>
      <c r="M1721" s="10">
        <v>1</v>
      </c>
    </row>
    <row r="1722" spans="1:13">
      <c r="A1722" s="8">
        <v>42933</v>
      </c>
      <c r="B1722" s="9">
        <v>0.5395833333333333</v>
      </c>
      <c r="C1722" s="10" t="str">
        <f>"FES1162562798"</f>
        <v>FES1162562798</v>
      </c>
      <c r="D1722" s="10" t="s">
        <v>19</v>
      </c>
      <c r="E1722" s="10" t="s">
        <v>209</v>
      </c>
      <c r="F1722" s="10" t="str">
        <f>"2170579394 "</f>
        <v xml:space="preserve">2170579394 </v>
      </c>
      <c r="G1722" s="10" t="str">
        <f t="shared" si="72"/>
        <v>ON1</v>
      </c>
      <c r="H1722" s="10" t="s">
        <v>21</v>
      </c>
      <c r="I1722" s="10" t="s">
        <v>196</v>
      </c>
      <c r="J1722" s="10" t="str">
        <f>""</f>
        <v/>
      </c>
      <c r="K1722" s="10" t="str">
        <f>"PFES1162562798_0001"</f>
        <v>PFES1162562798_0001</v>
      </c>
      <c r="L1722" s="10">
        <v>1</v>
      </c>
      <c r="M1722" s="10">
        <v>1</v>
      </c>
    </row>
    <row r="1723" spans="1:13">
      <c r="A1723" s="8">
        <v>42933</v>
      </c>
      <c r="B1723" s="9">
        <v>0.53888888888888886</v>
      </c>
      <c r="C1723" s="10" t="str">
        <f>"FES1162562712"</f>
        <v>FES1162562712</v>
      </c>
      <c r="D1723" s="10" t="s">
        <v>19</v>
      </c>
      <c r="E1723" s="10" t="s">
        <v>457</v>
      </c>
      <c r="F1723" s="10" t="str">
        <f>"2170577271 "</f>
        <v xml:space="preserve">2170577271 </v>
      </c>
      <c r="G1723" s="10" t="str">
        <f t="shared" si="72"/>
        <v>ON1</v>
      </c>
      <c r="H1723" s="10" t="s">
        <v>21</v>
      </c>
      <c r="I1723" s="10" t="s">
        <v>414</v>
      </c>
      <c r="J1723" s="10" t="str">
        <f>""</f>
        <v/>
      </c>
      <c r="K1723" s="10" t="str">
        <f>"PFES1162562712_0001"</f>
        <v>PFES1162562712_0001</v>
      </c>
      <c r="L1723" s="10">
        <v>1</v>
      </c>
      <c r="M1723" s="10">
        <v>1</v>
      </c>
    </row>
    <row r="1724" spans="1:13">
      <c r="A1724" s="8">
        <v>42933</v>
      </c>
      <c r="B1724" s="9">
        <v>0.53819444444444442</v>
      </c>
      <c r="C1724" s="10" t="str">
        <f>"FES1162562783"</f>
        <v>FES1162562783</v>
      </c>
      <c r="D1724" s="10" t="s">
        <v>19</v>
      </c>
      <c r="E1724" s="10" t="s">
        <v>89</v>
      </c>
      <c r="F1724" s="10" t="str">
        <f>"2170579366 "</f>
        <v xml:space="preserve">2170579366 </v>
      </c>
      <c r="G1724" s="10" t="str">
        <f t="shared" si="72"/>
        <v>ON1</v>
      </c>
      <c r="H1724" s="10" t="s">
        <v>21</v>
      </c>
      <c r="I1724" s="10" t="s">
        <v>66</v>
      </c>
      <c r="J1724" s="10" t="str">
        <f>""</f>
        <v/>
      </c>
      <c r="K1724" s="10" t="str">
        <f>"PFES1162562783_0001"</f>
        <v>PFES1162562783_0001</v>
      </c>
      <c r="L1724" s="10">
        <v>1</v>
      </c>
      <c r="M1724" s="10">
        <v>1</v>
      </c>
    </row>
    <row r="1725" spans="1:13">
      <c r="A1725" s="8">
        <v>42933</v>
      </c>
      <c r="B1725" s="9">
        <v>0.53541666666666665</v>
      </c>
      <c r="C1725" s="10" t="str">
        <f>"FES1162562808"</f>
        <v>FES1162562808</v>
      </c>
      <c r="D1725" s="10" t="s">
        <v>19</v>
      </c>
      <c r="E1725" s="10" t="s">
        <v>87</v>
      </c>
      <c r="F1725" s="10" t="str">
        <f>"2170579419 "</f>
        <v xml:space="preserve">2170579419 </v>
      </c>
      <c r="G1725" s="10" t="str">
        <f t="shared" si="72"/>
        <v>ON1</v>
      </c>
      <c r="H1725" s="10" t="s">
        <v>21</v>
      </c>
      <c r="I1725" s="10" t="s">
        <v>88</v>
      </c>
      <c r="J1725" s="10" t="str">
        <f>""</f>
        <v/>
      </c>
      <c r="K1725" s="10" t="str">
        <f>"PFES1162562808_0001"</f>
        <v>PFES1162562808_0001</v>
      </c>
      <c r="L1725" s="10">
        <v>1</v>
      </c>
      <c r="M1725" s="10">
        <v>1</v>
      </c>
    </row>
    <row r="1726" spans="1:13">
      <c r="A1726" s="8">
        <v>42933</v>
      </c>
      <c r="B1726" s="9">
        <v>0.53333333333333333</v>
      </c>
      <c r="C1726" s="10" t="str">
        <f>"FES1162562846"</f>
        <v>FES1162562846</v>
      </c>
      <c r="D1726" s="10" t="s">
        <v>19</v>
      </c>
      <c r="E1726" s="10" t="s">
        <v>110</v>
      </c>
      <c r="F1726" s="10" t="str">
        <f>"2170579477 "</f>
        <v xml:space="preserve">2170579477 </v>
      </c>
      <c r="G1726" s="10" t="str">
        <f t="shared" si="72"/>
        <v>ON1</v>
      </c>
      <c r="H1726" s="10" t="s">
        <v>21</v>
      </c>
      <c r="I1726" s="10" t="s">
        <v>111</v>
      </c>
      <c r="J1726" s="10" t="str">
        <f>""</f>
        <v/>
      </c>
      <c r="K1726" s="10" t="str">
        <f>"PFES1162562846_0001"</f>
        <v>PFES1162562846_0001</v>
      </c>
      <c r="L1726" s="10">
        <v>1</v>
      </c>
      <c r="M1726" s="10">
        <v>1</v>
      </c>
    </row>
    <row r="1727" spans="1:13">
      <c r="A1727" s="8">
        <v>42933</v>
      </c>
      <c r="B1727" s="9">
        <v>0.50555555555555554</v>
      </c>
      <c r="C1727" s="10" t="str">
        <f>"FES1162562782"</f>
        <v>FES1162562782</v>
      </c>
      <c r="D1727" s="10" t="s">
        <v>19</v>
      </c>
      <c r="E1727" s="10" t="s">
        <v>795</v>
      </c>
      <c r="F1727" s="10" t="str">
        <f>"2170579364 "</f>
        <v xml:space="preserve">2170579364 </v>
      </c>
      <c r="G1727" s="10" t="str">
        <f t="shared" si="72"/>
        <v>ON1</v>
      </c>
      <c r="H1727" s="10" t="s">
        <v>21</v>
      </c>
      <c r="I1727" s="10" t="s">
        <v>58</v>
      </c>
      <c r="J1727" s="10" t="str">
        <f>""</f>
        <v/>
      </c>
      <c r="K1727" s="10" t="str">
        <f>"PFES1162562782_0001"</f>
        <v>PFES1162562782_0001</v>
      </c>
      <c r="L1727" s="10">
        <v>1</v>
      </c>
      <c r="M1727" s="10">
        <v>1</v>
      </c>
    </row>
    <row r="1728" spans="1:13">
      <c r="A1728" s="8">
        <v>42933</v>
      </c>
      <c r="B1728" s="9">
        <v>0.50416666666666665</v>
      </c>
      <c r="C1728" s="10" t="str">
        <f>"FES1162562756"</f>
        <v>FES1162562756</v>
      </c>
      <c r="D1728" s="10" t="s">
        <v>19</v>
      </c>
      <c r="E1728" s="10" t="s">
        <v>369</v>
      </c>
      <c r="F1728" s="10" t="str">
        <f>"2170579358 "</f>
        <v xml:space="preserve">2170579358 </v>
      </c>
      <c r="G1728" s="10" t="str">
        <f t="shared" si="72"/>
        <v>ON1</v>
      </c>
      <c r="H1728" s="10" t="s">
        <v>21</v>
      </c>
      <c r="I1728" s="10" t="s">
        <v>183</v>
      </c>
      <c r="J1728" s="10" t="str">
        <f>""</f>
        <v/>
      </c>
      <c r="K1728" s="10" t="str">
        <f>"PFES1162562756_0001"</f>
        <v>PFES1162562756_0001</v>
      </c>
      <c r="L1728" s="10">
        <v>1</v>
      </c>
      <c r="M1728" s="10">
        <v>1</v>
      </c>
    </row>
    <row r="1729" spans="1:13">
      <c r="A1729" s="8">
        <v>42933</v>
      </c>
      <c r="B1729" s="9">
        <v>0.4993055555555555</v>
      </c>
      <c r="C1729" s="10" t="str">
        <f>"FES1162256730"</f>
        <v>FES1162256730</v>
      </c>
      <c r="D1729" s="10" t="s">
        <v>19</v>
      </c>
      <c r="E1729" s="10" t="s">
        <v>191</v>
      </c>
      <c r="F1729" s="10" t="str">
        <f>"2170579328 "</f>
        <v xml:space="preserve">2170579328 </v>
      </c>
      <c r="G1729" s="10" t="str">
        <f t="shared" si="72"/>
        <v>ON1</v>
      </c>
      <c r="H1729" s="10" t="s">
        <v>21</v>
      </c>
      <c r="I1729" s="10" t="s">
        <v>192</v>
      </c>
      <c r="J1729" s="10" t="str">
        <f>""</f>
        <v/>
      </c>
      <c r="K1729" s="10" t="str">
        <f>"PFES1162256730_0001"</f>
        <v>PFES1162256730_0001</v>
      </c>
      <c r="L1729" s="10">
        <v>1</v>
      </c>
      <c r="M1729" s="10">
        <v>1</v>
      </c>
    </row>
    <row r="1730" spans="1:13">
      <c r="A1730" s="8">
        <v>42933</v>
      </c>
      <c r="B1730" s="9">
        <v>0.49722222222222223</v>
      </c>
      <c r="C1730" s="10" t="str">
        <f>"FES1162562725"</f>
        <v>FES1162562725</v>
      </c>
      <c r="D1730" s="10" t="s">
        <v>19</v>
      </c>
      <c r="E1730" s="10" t="s">
        <v>422</v>
      </c>
      <c r="F1730" s="10" t="str">
        <f>"2170579322 "</f>
        <v xml:space="preserve">2170579322 </v>
      </c>
      <c r="G1730" s="10" t="str">
        <f t="shared" si="72"/>
        <v>ON1</v>
      </c>
      <c r="H1730" s="10" t="s">
        <v>21</v>
      </c>
      <c r="I1730" s="10" t="s">
        <v>330</v>
      </c>
      <c r="J1730" s="10" t="str">
        <f>""</f>
        <v/>
      </c>
      <c r="K1730" s="10" t="str">
        <f>"PFES1162562725_0001"</f>
        <v>PFES1162562725_0001</v>
      </c>
      <c r="L1730" s="10">
        <v>1</v>
      </c>
      <c r="M1730" s="10">
        <v>1</v>
      </c>
    </row>
    <row r="1731" spans="1:13">
      <c r="A1731" s="8">
        <v>42933</v>
      </c>
      <c r="B1731" s="9">
        <v>0.49583333333333335</v>
      </c>
      <c r="C1731" s="10" t="str">
        <f>"FES1162562700"</f>
        <v>FES1162562700</v>
      </c>
      <c r="D1731" s="10" t="s">
        <v>19</v>
      </c>
      <c r="E1731" s="10" t="s">
        <v>333</v>
      </c>
      <c r="F1731" s="10" t="str">
        <f>"2170579316 "</f>
        <v xml:space="preserve">2170579316 </v>
      </c>
      <c r="G1731" s="10" t="str">
        <f t="shared" si="72"/>
        <v>ON1</v>
      </c>
      <c r="H1731" s="10" t="s">
        <v>21</v>
      </c>
      <c r="I1731" s="10" t="s">
        <v>334</v>
      </c>
      <c r="J1731" s="10" t="str">
        <f>""</f>
        <v/>
      </c>
      <c r="K1731" s="10" t="str">
        <f>"PFES1162562700_0001"</f>
        <v>PFES1162562700_0001</v>
      </c>
      <c r="L1731" s="10">
        <v>1</v>
      </c>
      <c r="M1731" s="10">
        <v>1</v>
      </c>
    </row>
    <row r="1732" spans="1:13">
      <c r="A1732" s="8">
        <v>42933</v>
      </c>
      <c r="B1732" s="9">
        <v>0.49374999999999997</v>
      </c>
      <c r="C1732" s="10" t="str">
        <f>"FES1162562796"</f>
        <v>FES1162562796</v>
      </c>
      <c r="D1732" s="10" t="s">
        <v>19</v>
      </c>
      <c r="E1732" s="10" t="s">
        <v>181</v>
      </c>
      <c r="F1732" s="10" t="str">
        <f>"2170577466 "</f>
        <v xml:space="preserve">2170577466 </v>
      </c>
      <c r="G1732" s="10" t="str">
        <f t="shared" si="72"/>
        <v>ON1</v>
      </c>
      <c r="H1732" s="10" t="s">
        <v>21</v>
      </c>
      <c r="I1732" s="10" t="s">
        <v>179</v>
      </c>
      <c r="J1732" s="10" t="str">
        <f>""</f>
        <v/>
      </c>
      <c r="K1732" s="10" t="str">
        <f>"PFES1162562796_0001"</f>
        <v>PFES1162562796_0001</v>
      </c>
      <c r="L1732" s="10">
        <v>1</v>
      </c>
      <c r="M1732" s="10">
        <v>1</v>
      </c>
    </row>
    <row r="1733" spans="1:13">
      <c r="A1733" s="8">
        <v>42933</v>
      </c>
      <c r="B1733" s="9">
        <v>0.47916666666666669</v>
      </c>
      <c r="C1733" s="10" t="str">
        <f>"FES1162562823"</f>
        <v>FES1162562823</v>
      </c>
      <c r="D1733" s="10" t="s">
        <v>19</v>
      </c>
      <c r="E1733" s="10" t="s">
        <v>190</v>
      </c>
      <c r="F1733" s="10" t="str">
        <f>"2170579439 "</f>
        <v xml:space="preserve">2170579439 </v>
      </c>
      <c r="G1733" s="10" t="str">
        <f t="shared" si="72"/>
        <v>ON1</v>
      </c>
      <c r="H1733" s="10" t="s">
        <v>21</v>
      </c>
      <c r="I1733" s="10" t="s">
        <v>52</v>
      </c>
      <c r="J1733" s="10" t="str">
        <f>""</f>
        <v/>
      </c>
      <c r="K1733" s="10" t="str">
        <f>"PFES1162562823_0001"</f>
        <v>PFES1162562823_0001</v>
      </c>
      <c r="L1733" s="10">
        <v>1</v>
      </c>
      <c r="M1733" s="10">
        <v>1</v>
      </c>
    </row>
    <row r="1734" spans="1:13">
      <c r="A1734" s="8">
        <v>42933</v>
      </c>
      <c r="B1734" s="9">
        <v>0.47361111111111115</v>
      </c>
      <c r="C1734" s="10" t="str">
        <f>"FES1162562764"</f>
        <v>FES1162562764</v>
      </c>
      <c r="D1734" s="10" t="s">
        <v>19</v>
      </c>
      <c r="E1734" s="10" t="s">
        <v>255</v>
      </c>
      <c r="F1734" s="10" t="str">
        <f>"2170571942 "</f>
        <v xml:space="preserve">2170571942 </v>
      </c>
      <c r="G1734" s="10" t="str">
        <f t="shared" si="72"/>
        <v>ON1</v>
      </c>
      <c r="H1734" s="10" t="s">
        <v>21</v>
      </c>
      <c r="I1734" s="10" t="s">
        <v>256</v>
      </c>
      <c r="J1734" s="10" t="str">
        <f>""</f>
        <v/>
      </c>
      <c r="K1734" s="10" t="str">
        <f>"PFES1162562764_0001"</f>
        <v>PFES1162562764_0001</v>
      </c>
      <c r="L1734" s="10">
        <v>1</v>
      </c>
      <c r="M1734" s="10">
        <v>11</v>
      </c>
    </row>
    <row r="1735" spans="1:13">
      <c r="A1735" s="8">
        <v>42933</v>
      </c>
      <c r="B1735" s="9">
        <v>0.47291666666666665</v>
      </c>
      <c r="C1735" s="10" t="str">
        <f>"FES1162562792"</f>
        <v>FES1162562792</v>
      </c>
      <c r="D1735" s="10" t="s">
        <v>19</v>
      </c>
      <c r="E1735" s="10" t="s">
        <v>273</v>
      </c>
      <c r="F1735" s="10" t="str">
        <f>"2170579380 "</f>
        <v xml:space="preserve">2170579380 </v>
      </c>
      <c r="G1735" s="10" t="str">
        <f t="shared" si="72"/>
        <v>ON1</v>
      </c>
      <c r="H1735" s="10" t="s">
        <v>21</v>
      </c>
      <c r="I1735" s="10" t="s">
        <v>52</v>
      </c>
      <c r="J1735" s="10" t="str">
        <f>""</f>
        <v/>
      </c>
      <c r="K1735" s="10" t="str">
        <f>"PFES1162562792_0001"</f>
        <v>PFES1162562792_0001</v>
      </c>
      <c r="L1735" s="10">
        <v>1</v>
      </c>
      <c r="M1735" s="10">
        <v>9</v>
      </c>
    </row>
    <row r="1736" spans="1:13">
      <c r="A1736" s="8">
        <v>42933</v>
      </c>
      <c r="B1736" s="9">
        <v>0.47152777777777777</v>
      </c>
      <c r="C1736" s="10" t="str">
        <f>"FES1162562775"</f>
        <v>FES1162562775</v>
      </c>
      <c r="D1736" s="10" t="s">
        <v>19</v>
      </c>
      <c r="E1736" s="10" t="s">
        <v>184</v>
      </c>
      <c r="F1736" s="10" t="str">
        <f>"2170575951 "</f>
        <v xml:space="preserve">2170575951 </v>
      </c>
      <c r="G1736" s="10" t="str">
        <f t="shared" si="72"/>
        <v>ON1</v>
      </c>
      <c r="H1736" s="10" t="s">
        <v>21</v>
      </c>
      <c r="I1736" s="10" t="s">
        <v>185</v>
      </c>
      <c r="J1736" s="10" t="str">
        <f>""</f>
        <v/>
      </c>
      <c r="K1736" s="10" t="str">
        <f>"PFES1162562775_0001"</f>
        <v>PFES1162562775_0001</v>
      </c>
      <c r="L1736" s="10">
        <v>1</v>
      </c>
      <c r="M1736" s="10">
        <v>10</v>
      </c>
    </row>
    <row r="1737" spans="1:13">
      <c r="A1737" s="8">
        <v>42933</v>
      </c>
      <c r="B1737" s="9">
        <v>0.4694444444444445</v>
      </c>
      <c r="C1737" s="10" t="str">
        <f>"FES1162562763"</f>
        <v>FES1162562763</v>
      </c>
      <c r="D1737" s="10" t="s">
        <v>19</v>
      </c>
      <c r="E1737" s="10" t="s">
        <v>264</v>
      </c>
      <c r="F1737" s="10" t="str">
        <f>"2170571508 "</f>
        <v xml:space="preserve">2170571508 </v>
      </c>
      <c r="G1737" s="10" t="str">
        <f t="shared" si="72"/>
        <v>ON1</v>
      </c>
      <c r="H1737" s="10" t="s">
        <v>21</v>
      </c>
      <c r="I1737" s="10" t="s">
        <v>240</v>
      </c>
      <c r="J1737" s="10" t="str">
        <f>""</f>
        <v/>
      </c>
      <c r="K1737" s="10" t="str">
        <f>"PFES1162562763_0001"</f>
        <v>PFES1162562763_0001</v>
      </c>
      <c r="L1737" s="10">
        <v>1</v>
      </c>
      <c r="M1737" s="10">
        <v>5</v>
      </c>
    </row>
    <row r="1738" spans="1:13">
      <c r="A1738" s="8">
        <v>42933</v>
      </c>
      <c r="B1738" s="9">
        <v>0.46875</v>
      </c>
      <c r="C1738" s="10" t="str">
        <f>"FES1162562774"</f>
        <v>FES1162562774</v>
      </c>
      <c r="D1738" s="10" t="s">
        <v>19</v>
      </c>
      <c r="E1738" s="10" t="s">
        <v>184</v>
      </c>
      <c r="F1738" s="10" t="str">
        <f>"2170575899 "</f>
        <v xml:space="preserve">2170575899 </v>
      </c>
      <c r="G1738" s="10" t="str">
        <f t="shared" si="72"/>
        <v>ON1</v>
      </c>
      <c r="H1738" s="10" t="s">
        <v>21</v>
      </c>
      <c r="I1738" s="10" t="s">
        <v>185</v>
      </c>
      <c r="J1738" s="10" t="str">
        <f>""</f>
        <v/>
      </c>
      <c r="K1738" s="10" t="str">
        <f>"PFES1162562774_0001"</f>
        <v>PFES1162562774_0001</v>
      </c>
      <c r="L1738" s="10">
        <v>1</v>
      </c>
      <c r="M1738" s="10">
        <v>2</v>
      </c>
    </row>
    <row r="1739" spans="1:13">
      <c r="A1739" s="8">
        <v>42933</v>
      </c>
      <c r="B1739" s="9">
        <v>0.46736111111111112</v>
      </c>
      <c r="C1739" s="10" t="str">
        <f>"FES1162562711"</f>
        <v>FES1162562711</v>
      </c>
      <c r="D1739" s="10" t="s">
        <v>19</v>
      </c>
      <c r="E1739" s="10" t="s">
        <v>376</v>
      </c>
      <c r="F1739" s="10" t="str">
        <f>"2170577185 "</f>
        <v xml:space="preserve">2170577185 </v>
      </c>
      <c r="G1739" s="10" t="str">
        <f t="shared" si="72"/>
        <v>ON1</v>
      </c>
      <c r="H1739" s="10" t="s">
        <v>21</v>
      </c>
      <c r="I1739" s="10" t="s">
        <v>377</v>
      </c>
      <c r="J1739" s="10" t="str">
        <f>""</f>
        <v/>
      </c>
      <c r="K1739" s="10" t="str">
        <f>"PFES1162562711_0001"</f>
        <v>PFES1162562711_0001</v>
      </c>
      <c r="L1739" s="10">
        <v>1</v>
      </c>
      <c r="M1739" s="10">
        <v>1</v>
      </c>
    </row>
    <row r="1740" spans="1:13">
      <c r="A1740" s="8">
        <v>42933</v>
      </c>
      <c r="B1740" s="9">
        <v>0.46736111111111112</v>
      </c>
      <c r="C1740" s="10" t="str">
        <f>"FES1162562777"</f>
        <v>FES1162562777</v>
      </c>
      <c r="D1740" s="10" t="s">
        <v>19</v>
      </c>
      <c r="E1740" s="10" t="s">
        <v>283</v>
      </c>
      <c r="F1740" s="10" t="str">
        <f>"2170576137 "</f>
        <v xml:space="preserve">2170576137 </v>
      </c>
      <c r="G1740" s="10" t="str">
        <f t="shared" si="72"/>
        <v>ON1</v>
      </c>
      <c r="H1740" s="10" t="s">
        <v>21</v>
      </c>
      <c r="I1740" s="10" t="s">
        <v>234</v>
      </c>
      <c r="J1740" s="10" t="str">
        <f>""</f>
        <v/>
      </c>
      <c r="K1740" s="10" t="str">
        <f>"PFES1162562777_0001"</f>
        <v>PFES1162562777_0001</v>
      </c>
      <c r="L1740" s="10">
        <v>1</v>
      </c>
      <c r="M1740" s="10">
        <v>1</v>
      </c>
    </row>
    <row r="1741" spans="1:13">
      <c r="A1741" s="8">
        <v>42933</v>
      </c>
      <c r="B1741" s="9">
        <v>0.46736111111111112</v>
      </c>
      <c r="C1741" s="10" t="str">
        <f>"FES1162562726"</f>
        <v>FES1162562726</v>
      </c>
      <c r="D1741" s="10" t="s">
        <v>19</v>
      </c>
      <c r="E1741" s="10" t="s">
        <v>680</v>
      </c>
      <c r="F1741" s="10" t="str">
        <f>"2170579323 "</f>
        <v xml:space="preserve">2170579323 </v>
      </c>
      <c r="G1741" s="10" t="str">
        <f t="shared" si="72"/>
        <v>ON1</v>
      </c>
      <c r="H1741" s="10" t="s">
        <v>21</v>
      </c>
      <c r="I1741" s="10" t="s">
        <v>64</v>
      </c>
      <c r="J1741" s="10" t="str">
        <f>""</f>
        <v/>
      </c>
      <c r="K1741" s="10" t="str">
        <f>"PFES1162562726_0001"</f>
        <v>PFES1162562726_0001</v>
      </c>
      <c r="L1741" s="10">
        <v>1</v>
      </c>
      <c r="M1741" s="10">
        <v>1</v>
      </c>
    </row>
    <row r="1742" spans="1:13">
      <c r="A1742" s="8">
        <v>42933</v>
      </c>
      <c r="B1742" s="9">
        <v>0.46736111111111112</v>
      </c>
      <c r="C1742" s="10" t="str">
        <f>"FES1162562727"</f>
        <v>FES1162562727</v>
      </c>
      <c r="D1742" s="10" t="s">
        <v>19</v>
      </c>
      <c r="E1742" s="10" t="s">
        <v>680</v>
      </c>
      <c r="F1742" s="10" t="str">
        <f>"2170579325 "</f>
        <v xml:space="preserve">2170579325 </v>
      </c>
      <c r="G1742" s="10" t="str">
        <f t="shared" si="72"/>
        <v>ON1</v>
      </c>
      <c r="H1742" s="10" t="s">
        <v>21</v>
      </c>
      <c r="I1742" s="10" t="s">
        <v>64</v>
      </c>
      <c r="J1742" s="10" t="str">
        <f>""</f>
        <v/>
      </c>
      <c r="K1742" s="10" t="str">
        <f>"PFES1162562727_0001"</f>
        <v>PFES1162562727_0001</v>
      </c>
      <c r="L1742" s="10">
        <v>1</v>
      </c>
      <c r="M1742" s="10">
        <v>1</v>
      </c>
    </row>
    <row r="1743" spans="1:13">
      <c r="A1743" s="8">
        <v>42933</v>
      </c>
      <c r="B1743" s="9">
        <v>0.46666666666666662</v>
      </c>
      <c r="C1743" s="10" t="str">
        <f>"FES1162562750"</f>
        <v>FES1162562750</v>
      </c>
      <c r="D1743" s="10" t="s">
        <v>19</v>
      </c>
      <c r="E1743" s="10" t="s">
        <v>376</v>
      </c>
      <c r="F1743" s="10" t="str">
        <f>"217057348 "</f>
        <v xml:space="preserve">217057348 </v>
      </c>
      <c r="G1743" s="10" t="str">
        <f t="shared" si="72"/>
        <v>ON1</v>
      </c>
      <c r="H1743" s="10" t="s">
        <v>21</v>
      </c>
      <c r="I1743" s="10" t="s">
        <v>377</v>
      </c>
      <c r="J1743" s="10" t="str">
        <f>""</f>
        <v/>
      </c>
      <c r="K1743" s="10" t="str">
        <f>"PFES1162562750_0001"</f>
        <v>PFES1162562750_0001</v>
      </c>
      <c r="L1743" s="10">
        <v>1</v>
      </c>
      <c r="M1743" s="10">
        <v>1</v>
      </c>
    </row>
    <row r="1744" spans="1:13">
      <c r="A1744" s="8">
        <v>42933</v>
      </c>
      <c r="B1744" s="9">
        <v>0.46666666666666662</v>
      </c>
      <c r="C1744" s="10" t="str">
        <f>"FES1162562778"</f>
        <v>FES1162562778</v>
      </c>
      <c r="D1744" s="10" t="s">
        <v>19</v>
      </c>
      <c r="E1744" s="10" t="s">
        <v>25</v>
      </c>
      <c r="F1744" s="10" t="str">
        <f>"2170576279 "</f>
        <v xml:space="preserve">2170576279 </v>
      </c>
      <c r="G1744" s="10" t="str">
        <f t="shared" si="72"/>
        <v>ON1</v>
      </c>
      <c r="H1744" s="10" t="s">
        <v>21</v>
      </c>
      <c r="I1744" s="10" t="s">
        <v>26</v>
      </c>
      <c r="J1744" s="10" t="str">
        <f>""</f>
        <v/>
      </c>
      <c r="K1744" s="10" t="str">
        <f>"PFES1162562778_0001"</f>
        <v>PFES1162562778_0001</v>
      </c>
      <c r="L1744" s="10">
        <v>1</v>
      </c>
      <c r="M1744" s="10">
        <v>8</v>
      </c>
    </row>
    <row r="1745" spans="1:13">
      <c r="A1745" s="8">
        <v>42933</v>
      </c>
      <c r="B1745" s="9">
        <v>0.46666666666666662</v>
      </c>
      <c r="C1745" s="10" t="str">
        <f>"FES1162562729"</f>
        <v>FES1162562729</v>
      </c>
      <c r="D1745" s="10" t="s">
        <v>19</v>
      </c>
      <c r="E1745" s="10" t="s">
        <v>723</v>
      </c>
      <c r="F1745" s="10" t="str">
        <f>"2170579327 "</f>
        <v xml:space="preserve">2170579327 </v>
      </c>
      <c r="G1745" s="10" t="str">
        <f t="shared" si="72"/>
        <v>ON1</v>
      </c>
      <c r="H1745" s="10" t="s">
        <v>21</v>
      </c>
      <c r="I1745" s="10" t="s">
        <v>724</v>
      </c>
      <c r="J1745" s="10" t="str">
        <f>""</f>
        <v/>
      </c>
      <c r="K1745" s="10" t="str">
        <f>"PFES1162562729_0001"</f>
        <v>PFES1162562729_0001</v>
      </c>
      <c r="L1745" s="10">
        <v>1</v>
      </c>
      <c r="M1745" s="10">
        <v>1</v>
      </c>
    </row>
    <row r="1746" spans="1:13">
      <c r="A1746" s="8">
        <v>42933</v>
      </c>
      <c r="B1746" s="9">
        <v>0.46597222222222223</v>
      </c>
      <c r="C1746" s="10" t="str">
        <f>"FES1162562720"</f>
        <v>FES1162562720</v>
      </c>
      <c r="D1746" s="10" t="s">
        <v>19</v>
      </c>
      <c r="E1746" s="10" t="s">
        <v>144</v>
      </c>
      <c r="F1746" s="10" t="str">
        <f>"2170578402 "</f>
        <v xml:space="preserve">2170578402 </v>
      </c>
      <c r="G1746" s="10" t="str">
        <f t="shared" si="72"/>
        <v>ON1</v>
      </c>
      <c r="H1746" s="10" t="s">
        <v>21</v>
      </c>
      <c r="I1746" s="10" t="s">
        <v>145</v>
      </c>
      <c r="J1746" s="10" t="str">
        <f>""</f>
        <v/>
      </c>
      <c r="K1746" s="10" t="str">
        <f>"PFES1162562720_0001"</f>
        <v>PFES1162562720_0001</v>
      </c>
      <c r="L1746" s="10">
        <v>1</v>
      </c>
      <c r="M1746" s="10">
        <v>1</v>
      </c>
    </row>
    <row r="1747" spans="1:13">
      <c r="A1747" s="8">
        <v>42933</v>
      </c>
      <c r="B1747" s="9">
        <v>0.46597222222222223</v>
      </c>
      <c r="C1747" s="10" t="str">
        <f>"FES1162562728"</f>
        <v>FES1162562728</v>
      </c>
      <c r="D1747" s="10" t="s">
        <v>19</v>
      </c>
      <c r="E1747" s="10" t="s">
        <v>680</v>
      </c>
      <c r="F1747" s="10" t="str">
        <f>"2170579326 "</f>
        <v xml:space="preserve">2170579326 </v>
      </c>
      <c r="G1747" s="10" t="str">
        <f t="shared" si="72"/>
        <v>ON1</v>
      </c>
      <c r="H1747" s="10" t="s">
        <v>21</v>
      </c>
      <c r="I1747" s="10" t="s">
        <v>64</v>
      </c>
      <c r="J1747" s="10" t="str">
        <f>""</f>
        <v/>
      </c>
      <c r="K1747" s="10" t="str">
        <f>"PFES1162562728_0001"</f>
        <v>PFES1162562728_0001</v>
      </c>
      <c r="L1747" s="10">
        <v>1</v>
      </c>
      <c r="M1747" s="10">
        <v>1</v>
      </c>
    </row>
    <row r="1748" spans="1:13">
      <c r="A1748" s="8">
        <v>42933</v>
      </c>
      <c r="B1748" s="9">
        <v>0.46527777777777773</v>
      </c>
      <c r="C1748" s="10" t="str">
        <f>"FES1162562724"</f>
        <v>FES1162562724</v>
      </c>
      <c r="D1748" s="10" t="s">
        <v>19</v>
      </c>
      <c r="E1748" s="10" t="s">
        <v>866</v>
      </c>
      <c r="F1748" s="10" t="str">
        <f>"2170579250 "</f>
        <v xml:space="preserve">2170579250 </v>
      </c>
      <c r="G1748" s="10" t="str">
        <f t="shared" si="72"/>
        <v>ON1</v>
      </c>
      <c r="H1748" s="10" t="s">
        <v>21</v>
      </c>
      <c r="I1748" s="10" t="s">
        <v>364</v>
      </c>
      <c r="J1748" s="10" t="str">
        <f>""</f>
        <v/>
      </c>
      <c r="K1748" s="10" t="str">
        <f>"PFES1162562724_0001"</f>
        <v>PFES1162562724_0001</v>
      </c>
      <c r="L1748" s="10">
        <v>1</v>
      </c>
      <c r="M1748" s="10">
        <v>1</v>
      </c>
    </row>
    <row r="1749" spans="1:13">
      <c r="A1749" s="8">
        <v>42933</v>
      </c>
      <c r="B1749" s="9">
        <v>0.46527777777777773</v>
      </c>
      <c r="C1749" s="10" t="str">
        <f>"FES1162562803"</f>
        <v>FES1162562803</v>
      </c>
      <c r="D1749" s="10" t="s">
        <v>19</v>
      </c>
      <c r="E1749" s="10" t="s">
        <v>425</v>
      </c>
      <c r="F1749" s="10" t="str">
        <f>"2170579420 "</f>
        <v xml:space="preserve">2170579420 </v>
      </c>
      <c r="G1749" s="10" t="str">
        <f t="shared" si="72"/>
        <v>ON1</v>
      </c>
      <c r="H1749" s="10" t="s">
        <v>21</v>
      </c>
      <c r="I1749" s="10" t="s">
        <v>426</v>
      </c>
      <c r="J1749" s="10" t="str">
        <f>""</f>
        <v/>
      </c>
      <c r="K1749" s="10" t="str">
        <f>"PFES1162562803_0001"</f>
        <v>PFES1162562803_0001</v>
      </c>
      <c r="L1749" s="10">
        <v>1</v>
      </c>
      <c r="M1749" s="10">
        <v>2</v>
      </c>
    </row>
    <row r="1750" spans="1:13">
      <c r="A1750" s="8">
        <v>42933</v>
      </c>
      <c r="B1750" s="9">
        <v>0.46458333333333335</v>
      </c>
      <c r="C1750" s="10" t="str">
        <f>"FES1162562714"</f>
        <v>FES1162562714</v>
      </c>
      <c r="D1750" s="10" t="s">
        <v>19</v>
      </c>
      <c r="E1750" s="10" t="s">
        <v>181</v>
      </c>
      <c r="F1750" s="10" t="str">
        <f>"2170577466 "</f>
        <v xml:space="preserve">2170577466 </v>
      </c>
      <c r="G1750" s="10" t="str">
        <f t="shared" si="72"/>
        <v>ON1</v>
      </c>
      <c r="H1750" s="10" t="s">
        <v>21</v>
      </c>
      <c r="I1750" s="10" t="s">
        <v>179</v>
      </c>
      <c r="J1750" s="10" t="str">
        <f>""</f>
        <v/>
      </c>
      <c r="K1750" s="10" t="str">
        <f>"PFES1162562714_0001"</f>
        <v>PFES1162562714_0001</v>
      </c>
      <c r="L1750" s="10">
        <v>1</v>
      </c>
      <c r="M1750" s="10">
        <v>4</v>
      </c>
    </row>
    <row r="1751" spans="1:13">
      <c r="A1751" s="8">
        <v>42933</v>
      </c>
      <c r="B1751" s="9">
        <v>0.46458333333333335</v>
      </c>
      <c r="C1751" s="10" t="str">
        <f>"FES1162562765"</f>
        <v>FES1162562765</v>
      </c>
      <c r="D1751" s="10" t="s">
        <v>19</v>
      </c>
      <c r="E1751" s="10" t="s">
        <v>283</v>
      </c>
      <c r="F1751" s="10" t="str">
        <f>"2170572360 "</f>
        <v xml:space="preserve">2170572360 </v>
      </c>
      <c r="G1751" s="10" t="str">
        <f t="shared" si="72"/>
        <v>ON1</v>
      </c>
      <c r="H1751" s="10" t="s">
        <v>21</v>
      </c>
      <c r="I1751" s="10" t="s">
        <v>234</v>
      </c>
      <c r="J1751" s="10" t="str">
        <f>""</f>
        <v/>
      </c>
      <c r="K1751" s="10" t="str">
        <f>"PFES1162562765_0001"</f>
        <v>PFES1162562765_0001</v>
      </c>
      <c r="L1751" s="10">
        <v>1</v>
      </c>
      <c r="M1751" s="10">
        <v>9</v>
      </c>
    </row>
    <row r="1752" spans="1:13">
      <c r="A1752" s="8">
        <v>42933</v>
      </c>
      <c r="B1752" s="9">
        <v>0.46458333333333335</v>
      </c>
      <c r="C1752" s="10" t="str">
        <f>"FES1162562721"</f>
        <v>FES1162562721</v>
      </c>
      <c r="D1752" s="10" t="s">
        <v>19</v>
      </c>
      <c r="E1752" s="10" t="s">
        <v>288</v>
      </c>
      <c r="F1752" s="10" t="str">
        <f>"2170578858 "</f>
        <v xml:space="preserve">2170578858 </v>
      </c>
      <c r="G1752" s="10" t="str">
        <f t="shared" si="72"/>
        <v>ON1</v>
      </c>
      <c r="H1752" s="10" t="s">
        <v>21</v>
      </c>
      <c r="I1752" s="10" t="s">
        <v>300</v>
      </c>
      <c r="J1752" s="10" t="str">
        <f>""</f>
        <v/>
      </c>
      <c r="K1752" s="10" t="str">
        <f>"PFES1162562721_0001"</f>
        <v>PFES1162562721_0001</v>
      </c>
      <c r="L1752" s="10">
        <v>1</v>
      </c>
      <c r="M1752" s="10">
        <v>2</v>
      </c>
    </row>
    <row r="1753" spans="1:13">
      <c r="A1753" s="8">
        <v>42933</v>
      </c>
      <c r="B1753" s="9">
        <v>0.46388888888888885</v>
      </c>
      <c r="C1753" s="10" t="str">
        <f>"FES1162562751"</f>
        <v>FES1162562751</v>
      </c>
      <c r="D1753" s="10" t="s">
        <v>19</v>
      </c>
      <c r="E1753" s="10" t="s">
        <v>589</v>
      </c>
      <c r="F1753" s="10" t="str">
        <f>"217057704 "</f>
        <v xml:space="preserve">217057704 </v>
      </c>
      <c r="G1753" s="10" t="str">
        <f t="shared" si="72"/>
        <v>ON1</v>
      </c>
      <c r="H1753" s="10" t="s">
        <v>21</v>
      </c>
      <c r="I1753" s="10" t="s">
        <v>330</v>
      </c>
      <c r="J1753" s="10" t="str">
        <f>""</f>
        <v/>
      </c>
      <c r="K1753" s="10" t="str">
        <f>"PFES1162562751_0001"</f>
        <v>PFES1162562751_0001</v>
      </c>
      <c r="L1753" s="10">
        <v>1</v>
      </c>
      <c r="M1753" s="10">
        <v>3</v>
      </c>
    </row>
    <row r="1754" spans="1:13">
      <c r="A1754" s="8">
        <v>42933</v>
      </c>
      <c r="B1754" s="9">
        <v>0.46388888888888885</v>
      </c>
      <c r="C1754" s="10" t="str">
        <f>"FES1162562718"</f>
        <v>FES1162562718</v>
      </c>
      <c r="D1754" s="10" t="s">
        <v>19</v>
      </c>
      <c r="E1754" s="10" t="s">
        <v>288</v>
      </c>
      <c r="F1754" s="10" t="str">
        <f>"2170577775 "</f>
        <v xml:space="preserve">2170577775 </v>
      </c>
      <c r="G1754" s="10" t="str">
        <f t="shared" si="72"/>
        <v>ON1</v>
      </c>
      <c r="H1754" s="10" t="s">
        <v>21</v>
      </c>
      <c r="I1754" s="10" t="s">
        <v>177</v>
      </c>
      <c r="J1754" s="10" t="str">
        <f>""</f>
        <v/>
      </c>
      <c r="K1754" s="10" t="str">
        <f>"PFES1162562718_0001"</f>
        <v>PFES1162562718_0001</v>
      </c>
      <c r="L1754" s="10">
        <v>1</v>
      </c>
      <c r="M1754" s="10">
        <v>2</v>
      </c>
    </row>
    <row r="1755" spans="1:13">
      <c r="A1755" s="8">
        <v>42933</v>
      </c>
      <c r="B1755" s="9">
        <v>0.46319444444444446</v>
      </c>
      <c r="C1755" s="10" t="str">
        <f>"FES1162562772"</f>
        <v>FES1162562772</v>
      </c>
      <c r="D1755" s="10" t="s">
        <v>19</v>
      </c>
      <c r="E1755" s="10" t="s">
        <v>409</v>
      </c>
      <c r="F1755" s="10" t="str">
        <f>"2170575472 "</f>
        <v xml:space="preserve">2170575472 </v>
      </c>
      <c r="G1755" s="10" t="str">
        <f t="shared" si="72"/>
        <v>ON1</v>
      </c>
      <c r="H1755" s="10" t="s">
        <v>21</v>
      </c>
      <c r="I1755" s="10" t="s">
        <v>410</v>
      </c>
      <c r="J1755" s="10" t="str">
        <f>""</f>
        <v/>
      </c>
      <c r="K1755" s="10" t="str">
        <f>"PFES1162562772_0001"</f>
        <v>PFES1162562772_0001</v>
      </c>
      <c r="L1755" s="10">
        <v>1</v>
      </c>
      <c r="M1755" s="10">
        <v>3</v>
      </c>
    </row>
    <row r="1756" spans="1:13">
      <c r="A1756" s="8">
        <v>42933</v>
      </c>
      <c r="B1756" s="9">
        <v>0.46319444444444446</v>
      </c>
      <c r="C1756" s="10" t="str">
        <f>"FES1162562696"</f>
        <v>FES1162562696</v>
      </c>
      <c r="D1756" s="10" t="s">
        <v>19</v>
      </c>
      <c r="E1756" s="10" t="s">
        <v>152</v>
      </c>
      <c r="F1756" s="10" t="str">
        <f>"2170579304 "</f>
        <v xml:space="preserve">2170579304 </v>
      </c>
      <c r="G1756" s="10" t="str">
        <f t="shared" si="72"/>
        <v>ON1</v>
      </c>
      <c r="H1756" s="10" t="s">
        <v>21</v>
      </c>
      <c r="I1756" s="10" t="s">
        <v>153</v>
      </c>
      <c r="J1756" s="10" t="str">
        <f>""</f>
        <v/>
      </c>
      <c r="K1756" s="10" t="str">
        <f>"PFES1162562696_0001"</f>
        <v>PFES1162562696_0001</v>
      </c>
      <c r="L1756" s="10">
        <v>1</v>
      </c>
      <c r="M1756" s="10">
        <v>3</v>
      </c>
    </row>
    <row r="1757" spans="1:13">
      <c r="A1757" s="8">
        <v>42933</v>
      </c>
      <c r="B1757" s="9">
        <v>0.46249999999999997</v>
      </c>
      <c r="C1757" s="10" t="str">
        <f>"FES1162562749"</f>
        <v>FES1162562749</v>
      </c>
      <c r="D1757" s="10" t="s">
        <v>19</v>
      </c>
      <c r="E1757" s="10" t="s">
        <v>471</v>
      </c>
      <c r="F1757" s="10" t="str">
        <f>"2170579344 "</f>
        <v xml:space="preserve">2170579344 </v>
      </c>
      <c r="G1757" s="10" t="str">
        <f t="shared" si="72"/>
        <v>ON1</v>
      </c>
      <c r="H1757" s="10" t="s">
        <v>21</v>
      </c>
      <c r="I1757" s="10" t="s">
        <v>138</v>
      </c>
      <c r="J1757" s="10" t="str">
        <f>""</f>
        <v/>
      </c>
      <c r="K1757" s="10" t="str">
        <f>"PFES1162562749_0001"</f>
        <v>PFES1162562749_0001</v>
      </c>
      <c r="L1757" s="10">
        <v>1</v>
      </c>
      <c r="M1757" s="10">
        <v>2</v>
      </c>
    </row>
    <row r="1758" spans="1:13">
      <c r="A1758" s="8">
        <v>42933</v>
      </c>
      <c r="B1758" s="9">
        <v>0.46180555555555558</v>
      </c>
      <c r="C1758" s="10" t="str">
        <f>"FES1162562719"</f>
        <v>FES1162562719</v>
      </c>
      <c r="D1758" s="10" t="s">
        <v>19</v>
      </c>
      <c r="E1758" s="10" t="s">
        <v>867</v>
      </c>
      <c r="F1758" s="10" t="str">
        <f>"2170577937 "</f>
        <v xml:space="preserve">2170577937 </v>
      </c>
      <c r="G1758" s="10" t="str">
        <f>"DBC"</f>
        <v>DBC</v>
      </c>
      <c r="H1758" s="10" t="s">
        <v>21</v>
      </c>
      <c r="I1758" s="10" t="s">
        <v>514</v>
      </c>
      <c r="J1758" s="10" t="str">
        <f>""</f>
        <v/>
      </c>
      <c r="K1758" s="10" t="str">
        <f>"PFES1162562719_0001"</f>
        <v>PFES1162562719_0001</v>
      </c>
      <c r="L1758" s="10">
        <v>1</v>
      </c>
      <c r="M1758" s="10">
        <v>5</v>
      </c>
    </row>
    <row r="1759" spans="1:13">
      <c r="A1759" s="8">
        <v>42933</v>
      </c>
      <c r="B1759" s="9">
        <v>0.46180555555555558</v>
      </c>
      <c r="C1759" s="10" t="str">
        <f>"FES1162562761"</f>
        <v>FES1162562761</v>
      </c>
      <c r="D1759" s="10" t="s">
        <v>19</v>
      </c>
      <c r="E1759" s="10" t="s">
        <v>848</v>
      </c>
      <c r="F1759" s="10" t="str">
        <f>"2170579375 "</f>
        <v xml:space="preserve">2170579375 </v>
      </c>
      <c r="G1759" s="10" t="str">
        <f>"ON1"</f>
        <v>ON1</v>
      </c>
      <c r="H1759" s="10" t="s">
        <v>21</v>
      </c>
      <c r="I1759" s="10" t="s">
        <v>569</v>
      </c>
      <c r="J1759" s="10" t="str">
        <f>""</f>
        <v/>
      </c>
      <c r="K1759" s="10" t="str">
        <f>"PFES1162562761_0001"</f>
        <v>PFES1162562761_0001</v>
      </c>
      <c r="L1759" s="10">
        <v>1</v>
      </c>
      <c r="M1759" s="10">
        <v>1</v>
      </c>
    </row>
    <row r="1760" spans="1:13">
      <c r="A1760" s="8">
        <v>42933</v>
      </c>
      <c r="B1760" s="9">
        <v>0.46180555555555558</v>
      </c>
      <c r="C1760" s="10" t="str">
        <f>"FES1162562748"</f>
        <v>FES1162562748</v>
      </c>
      <c r="D1760" s="10" t="s">
        <v>19</v>
      </c>
      <c r="E1760" s="10" t="s">
        <v>680</v>
      </c>
      <c r="F1760" s="10" t="str">
        <f>"2170579343 "</f>
        <v xml:space="preserve">2170579343 </v>
      </c>
      <c r="G1760" s="10" t="str">
        <f>"DBC"</f>
        <v>DBC</v>
      </c>
      <c r="H1760" s="10" t="s">
        <v>21</v>
      </c>
      <c r="I1760" s="10" t="s">
        <v>64</v>
      </c>
      <c r="J1760" s="10" t="str">
        <f>""</f>
        <v/>
      </c>
      <c r="K1760" s="10" t="str">
        <f>"PFES1162562748_0001"</f>
        <v>PFES1162562748_0001</v>
      </c>
      <c r="L1760" s="10">
        <v>1</v>
      </c>
      <c r="M1760" s="10">
        <v>4</v>
      </c>
    </row>
    <row r="1761" spans="1:13">
      <c r="A1761" s="8">
        <v>42933</v>
      </c>
      <c r="B1761" s="9">
        <v>0.45624999999999999</v>
      </c>
      <c r="C1761" s="10" t="str">
        <f>"FES1162562771"</f>
        <v>FES1162562771</v>
      </c>
      <c r="D1761" s="10" t="s">
        <v>19</v>
      </c>
      <c r="E1761" s="10" t="s">
        <v>129</v>
      </c>
      <c r="F1761" s="10" t="str">
        <f>"2170575243 "</f>
        <v xml:space="preserve">2170575243 </v>
      </c>
      <c r="G1761" s="10" t="str">
        <f t="shared" ref="G1761:G1770" si="73">"ON1"</f>
        <v>ON1</v>
      </c>
      <c r="H1761" s="10" t="s">
        <v>21</v>
      </c>
      <c r="I1761" s="10" t="s">
        <v>130</v>
      </c>
      <c r="J1761" s="10" t="str">
        <f>""</f>
        <v/>
      </c>
      <c r="K1761" s="10" t="str">
        <f>"PFES1162562771_0001"</f>
        <v>PFES1162562771_0001</v>
      </c>
      <c r="L1761" s="10">
        <v>1</v>
      </c>
      <c r="M1761" s="10">
        <v>1</v>
      </c>
    </row>
    <row r="1762" spans="1:13">
      <c r="A1762" s="8">
        <v>42933</v>
      </c>
      <c r="B1762" s="9">
        <v>0.45555555555555555</v>
      </c>
      <c r="C1762" s="10" t="str">
        <f>"FES1162562767"</f>
        <v>FES1162562767</v>
      </c>
      <c r="D1762" s="10" t="s">
        <v>19</v>
      </c>
      <c r="E1762" s="10" t="s">
        <v>127</v>
      </c>
      <c r="F1762" s="10" t="str">
        <f>"21705792997 "</f>
        <v xml:space="preserve">21705792997 </v>
      </c>
      <c r="G1762" s="10" t="str">
        <f t="shared" si="73"/>
        <v>ON1</v>
      </c>
      <c r="H1762" s="10" t="s">
        <v>21</v>
      </c>
      <c r="I1762" s="10" t="s">
        <v>128</v>
      </c>
      <c r="J1762" s="10" t="str">
        <f>""</f>
        <v/>
      </c>
      <c r="K1762" s="10" t="str">
        <f>"PFES1162562767_0001"</f>
        <v>PFES1162562767_0001</v>
      </c>
      <c r="L1762" s="10">
        <v>1</v>
      </c>
      <c r="M1762" s="10">
        <v>1</v>
      </c>
    </row>
    <row r="1763" spans="1:13">
      <c r="A1763" s="8">
        <v>42933</v>
      </c>
      <c r="B1763" s="9">
        <v>0.45555555555555555</v>
      </c>
      <c r="C1763" s="10" t="str">
        <f>"FES1162562769"</f>
        <v>FES1162562769</v>
      </c>
      <c r="D1763" s="10" t="s">
        <v>19</v>
      </c>
      <c r="E1763" s="10" t="s">
        <v>154</v>
      </c>
      <c r="F1763" s="10" t="str">
        <f>"2170574600 "</f>
        <v xml:space="preserve">2170574600 </v>
      </c>
      <c r="G1763" s="10" t="str">
        <f t="shared" si="73"/>
        <v>ON1</v>
      </c>
      <c r="H1763" s="10" t="s">
        <v>21</v>
      </c>
      <c r="I1763" s="10" t="s">
        <v>130</v>
      </c>
      <c r="J1763" s="10" t="str">
        <f>""</f>
        <v/>
      </c>
      <c r="K1763" s="10" t="str">
        <f>"PFES1162562769_0001"</f>
        <v>PFES1162562769_0001</v>
      </c>
      <c r="L1763" s="10">
        <v>1</v>
      </c>
      <c r="M1763" s="10">
        <v>1</v>
      </c>
    </row>
    <row r="1764" spans="1:13">
      <c r="A1764" s="8">
        <v>42933</v>
      </c>
      <c r="B1764" s="9">
        <v>0.4548611111111111</v>
      </c>
      <c r="C1764" s="10" t="str">
        <f>"FES1162562784"</f>
        <v>FES1162562784</v>
      </c>
      <c r="D1764" s="10" t="s">
        <v>19</v>
      </c>
      <c r="E1764" s="10" t="s">
        <v>603</v>
      </c>
      <c r="F1764" s="10" t="str">
        <f>"2170579370 "</f>
        <v xml:space="preserve">2170579370 </v>
      </c>
      <c r="G1764" s="10" t="str">
        <f t="shared" si="73"/>
        <v>ON1</v>
      </c>
      <c r="H1764" s="10" t="s">
        <v>21</v>
      </c>
      <c r="I1764" s="10" t="s">
        <v>232</v>
      </c>
      <c r="J1764" s="10" t="str">
        <f>""</f>
        <v/>
      </c>
      <c r="K1764" s="10" t="str">
        <f>"PFES1162562784_0001"</f>
        <v>PFES1162562784_0001</v>
      </c>
      <c r="L1764" s="10">
        <v>1</v>
      </c>
      <c r="M1764" s="10">
        <v>1</v>
      </c>
    </row>
    <row r="1765" spans="1:13">
      <c r="A1765" s="8">
        <v>42933</v>
      </c>
      <c r="B1765" s="9">
        <v>0.4548611111111111</v>
      </c>
      <c r="C1765" s="10" t="str">
        <f>"FES1162562802"</f>
        <v>FES1162562802</v>
      </c>
      <c r="D1765" s="10" t="s">
        <v>19</v>
      </c>
      <c r="E1765" s="10" t="s">
        <v>146</v>
      </c>
      <c r="F1765" s="10" t="str">
        <f>"2170579406 "</f>
        <v xml:space="preserve">2170579406 </v>
      </c>
      <c r="G1765" s="10" t="str">
        <f t="shared" si="73"/>
        <v>ON1</v>
      </c>
      <c r="H1765" s="10" t="s">
        <v>21</v>
      </c>
      <c r="I1765" s="10" t="s">
        <v>147</v>
      </c>
      <c r="J1765" s="10" t="str">
        <f>""</f>
        <v/>
      </c>
      <c r="K1765" s="10" t="str">
        <f>"PFES1162562802_0001"</f>
        <v>PFES1162562802_0001</v>
      </c>
      <c r="L1765" s="10">
        <v>1</v>
      </c>
      <c r="M1765" s="10">
        <v>1</v>
      </c>
    </row>
    <row r="1766" spans="1:13">
      <c r="A1766" s="8">
        <v>42933</v>
      </c>
      <c r="B1766" s="9">
        <v>0.45416666666666666</v>
      </c>
      <c r="C1766" s="10" t="str">
        <f>"FES1162562804"</f>
        <v>FES1162562804</v>
      </c>
      <c r="D1766" s="10" t="s">
        <v>19</v>
      </c>
      <c r="E1766" s="10" t="s">
        <v>164</v>
      </c>
      <c r="F1766" s="10" t="str">
        <f>"2170574090 "</f>
        <v xml:space="preserve">2170574090 </v>
      </c>
      <c r="G1766" s="10" t="str">
        <f t="shared" si="73"/>
        <v>ON1</v>
      </c>
      <c r="H1766" s="10" t="s">
        <v>21</v>
      </c>
      <c r="I1766" s="10" t="s">
        <v>147</v>
      </c>
      <c r="J1766" s="10" t="str">
        <f>""</f>
        <v/>
      </c>
      <c r="K1766" s="10" t="str">
        <f>"PFES1162562804_0001"</f>
        <v>PFES1162562804_0001</v>
      </c>
      <c r="L1766" s="10">
        <v>1</v>
      </c>
      <c r="M1766" s="10">
        <v>1</v>
      </c>
    </row>
    <row r="1767" spans="1:13">
      <c r="A1767" s="8">
        <v>42933</v>
      </c>
      <c r="B1767" s="9">
        <v>0.45416666666666666</v>
      </c>
      <c r="C1767" s="10" t="str">
        <f>"FES1162562797"</f>
        <v>FES1162562797</v>
      </c>
      <c r="D1767" s="10" t="s">
        <v>19</v>
      </c>
      <c r="E1767" s="10" t="s">
        <v>756</v>
      </c>
      <c r="F1767" s="10" t="str">
        <f>"2170579391 "</f>
        <v xml:space="preserve">2170579391 </v>
      </c>
      <c r="G1767" s="10" t="str">
        <f t="shared" si="73"/>
        <v>ON1</v>
      </c>
      <c r="H1767" s="10" t="s">
        <v>21</v>
      </c>
      <c r="I1767" s="10" t="s">
        <v>149</v>
      </c>
      <c r="J1767" s="10" t="str">
        <f>""</f>
        <v/>
      </c>
      <c r="K1767" s="10" t="str">
        <f>"PFES1162562797_0001"</f>
        <v>PFES1162562797_0001</v>
      </c>
      <c r="L1767" s="10">
        <v>1</v>
      </c>
      <c r="M1767" s="10">
        <v>1</v>
      </c>
    </row>
    <row r="1768" spans="1:13">
      <c r="A1768" s="8">
        <v>42933</v>
      </c>
      <c r="B1768" s="9">
        <v>0.45416666666666666</v>
      </c>
      <c r="C1768" s="10" t="str">
        <f>"FES1162562768"</f>
        <v>FES1162562768</v>
      </c>
      <c r="D1768" s="10" t="s">
        <v>19</v>
      </c>
      <c r="E1768" s="10" t="s">
        <v>154</v>
      </c>
      <c r="F1768" s="10" t="str">
        <f>"21705774546 "</f>
        <v xml:space="preserve">21705774546 </v>
      </c>
      <c r="G1768" s="10" t="str">
        <f t="shared" si="73"/>
        <v>ON1</v>
      </c>
      <c r="H1768" s="10" t="s">
        <v>21</v>
      </c>
      <c r="I1768" s="10" t="s">
        <v>130</v>
      </c>
      <c r="J1768" s="10" t="str">
        <f>""</f>
        <v/>
      </c>
      <c r="K1768" s="10" t="str">
        <f>"PFES1162562768_0001"</f>
        <v>PFES1162562768_0001</v>
      </c>
      <c r="L1768" s="10">
        <v>1</v>
      </c>
      <c r="M1768" s="10">
        <v>2</v>
      </c>
    </row>
    <row r="1769" spans="1:13">
      <c r="A1769" s="8">
        <v>42933</v>
      </c>
      <c r="B1769" s="9">
        <v>0.45347222222222222</v>
      </c>
      <c r="C1769" s="10" t="str">
        <f>"FES1162562779"</f>
        <v>FES1162562779</v>
      </c>
      <c r="D1769" s="10" t="s">
        <v>19</v>
      </c>
      <c r="E1769" s="10" t="s">
        <v>868</v>
      </c>
      <c r="F1769" s="10" t="str">
        <f>"2170576865 "</f>
        <v xml:space="preserve">2170576865 </v>
      </c>
      <c r="G1769" s="10" t="str">
        <f t="shared" si="73"/>
        <v>ON1</v>
      </c>
      <c r="H1769" s="10" t="s">
        <v>21</v>
      </c>
      <c r="I1769" s="10" t="s">
        <v>226</v>
      </c>
      <c r="J1769" s="10" t="str">
        <f>""</f>
        <v/>
      </c>
      <c r="K1769" s="10" t="str">
        <f>"PFES1162562779_0001"</f>
        <v>PFES1162562779_0001</v>
      </c>
      <c r="L1769" s="10">
        <v>1</v>
      </c>
      <c r="M1769" s="10">
        <v>9</v>
      </c>
    </row>
    <row r="1770" spans="1:13">
      <c r="A1770" s="8">
        <v>42933</v>
      </c>
      <c r="B1770" s="9">
        <v>0.45277777777777778</v>
      </c>
      <c r="C1770" s="10" t="str">
        <f>"FES1162562707"</f>
        <v>FES1162562707</v>
      </c>
      <c r="D1770" s="10" t="s">
        <v>19</v>
      </c>
      <c r="E1770" s="10" t="s">
        <v>129</v>
      </c>
      <c r="F1770" s="10" t="str">
        <f>"2170576699 "</f>
        <v xml:space="preserve">2170576699 </v>
      </c>
      <c r="G1770" s="10" t="str">
        <f t="shared" si="73"/>
        <v>ON1</v>
      </c>
      <c r="H1770" s="10" t="s">
        <v>21</v>
      </c>
      <c r="I1770" s="10" t="s">
        <v>130</v>
      </c>
      <c r="J1770" s="10" t="str">
        <f>""</f>
        <v/>
      </c>
      <c r="K1770" s="10" t="str">
        <f>"PFES1162562707_0001"</f>
        <v>PFES1162562707_0001</v>
      </c>
      <c r="L1770" s="10">
        <v>1</v>
      </c>
      <c r="M1770" s="10">
        <v>14</v>
      </c>
    </row>
    <row r="1771" spans="1:13">
      <c r="A1771" s="8">
        <v>42933</v>
      </c>
      <c r="B1771" s="9">
        <v>0.45277777777777778</v>
      </c>
      <c r="C1771" s="10" t="str">
        <f>"FES1162562650"</f>
        <v>FES1162562650</v>
      </c>
      <c r="D1771" s="10" t="s">
        <v>19</v>
      </c>
      <c r="E1771" s="10" t="s">
        <v>538</v>
      </c>
      <c r="F1771" s="10" t="str">
        <f>"2170579256 "</f>
        <v xml:space="preserve">2170579256 </v>
      </c>
      <c r="G1771" s="10" t="str">
        <f>"DBC"</f>
        <v>DBC</v>
      </c>
      <c r="H1771" s="10" t="s">
        <v>21</v>
      </c>
      <c r="I1771" s="10" t="s">
        <v>202</v>
      </c>
      <c r="J1771" s="10" t="str">
        <f>""</f>
        <v/>
      </c>
      <c r="K1771" s="10" t="str">
        <f>"PFES1162562650_0001"</f>
        <v>PFES1162562650_0001</v>
      </c>
      <c r="L1771" s="10">
        <v>2</v>
      </c>
      <c r="M1771" s="10">
        <v>28</v>
      </c>
    </row>
    <row r="1772" spans="1:13">
      <c r="A1772" s="8">
        <v>42933</v>
      </c>
      <c r="B1772" s="9">
        <v>0.45277777777777778</v>
      </c>
      <c r="C1772" s="10" t="str">
        <f>"FES1162562650"</f>
        <v>FES1162562650</v>
      </c>
      <c r="D1772" s="10" t="s">
        <v>19</v>
      </c>
      <c r="E1772" s="10" t="s">
        <v>538</v>
      </c>
      <c r="F1772" s="10" t="str">
        <f>"2170579256 "</f>
        <v xml:space="preserve">2170579256 </v>
      </c>
      <c r="G1772" s="10" t="str">
        <f>"DBC"</f>
        <v>DBC</v>
      </c>
      <c r="H1772" s="10" t="s">
        <v>21</v>
      </c>
      <c r="I1772" s="10" t="s">
        <v>202</v>
      </c>
      <c r="J1772" s="10"/>
      <c r="K1772" s="10" t="str">
        <f>"PFES1162562650_0002"</f>
        <v>PFES1162562650_0002</v>
      </c>
      <c r="L1772" s="10">
        <v>2</v>
      </c>
      <c r="M1772" s="10">
        <v>28</v>
      </c>
    </row>
    <row r="1773" spans="1:13">
      <c r="A1773" s="8">
        <v>42933</v>
      </c>
      <c r="B1773" s="9">
        <v>0.45208333333333334</v>
      </c>
      <c r="C1773" s="10" t="str">
        <f>"FES1162562741"</f>
        <v>FES1162562741</v>
      </c>
      <c r="D1773" s="10" t="s">
        <v>19</v>
      </c>
      <c r="E1773" s="10" t="s">
        <v>425</v>
      </c>
      <c r="F1773" s="10" t="str">
        <f>"2170579339 "</f>
        <v xml:space="preserve">2170579339 </v>
      </c>
      <c r="G1773" s="10" t="str">
        <f t="shared" ref="G1773:G1781" si="74">"ON1"</f>
        <v>ON1</v>
      </c>
      <c r="H1773" s="10" t="s">
        <v>21</v>
      </c>
      <c r="I1773" s="10" t="s">
        <v>426</v>
      </c>
      <c r="J1773" s="10" t="str">
        <f>""</f>
        <v/>
      </c>
      <c r="K1773" s="10" t="str">
        <f>"PFES1162562741_0001"</f>
        <v>PFES1162562741_0001</v>
      </c>
      <c r="L1773" s="10">
        <v>1</v>
      </c>
      <c r="M1773" s="10">
        <v>2</v>
      </c>
    </row>
    <row r="1774" spans="1:13">
      <c r="A1774" s="8">
        <v>42933</v>
      </c>
      <c r="B1774" s="9">
        <v>0.45208333333333334</v>
      </c>
      <c r="C1774" s="10" t="str">
        <f>"FES1162562697"</f>
        <v>FES1162562697</v>
      </c>
      <c r="D1774" s="10" t="s">
        <v>19</v>
      </c>
      <c r="E1774" s="10" t="s">
        <v>62</v>
      </c>
      <c r="F1774" s="10" t="str">
        <f>"2170579305 "</f>
        <v xml:space="preserve">2170579305 </v>
      </c>
      <c r="G1774" s="10" t="str">
        <f t="shared" si="74"/>
        <v>ON1</v>
      </c>
      <c r="H1774" s="10" t="s">
        <v>21</v>
      </c>
      <c r="I1774" s="10" t="s">
        <v>40</v>
      </c>
      <c r="J1774" s="10" t="str">
        <f>""</f>
        <v/>
      </c>
      <c r="K1774" s="10" t="str">
        <f>"PFES1162562697_0001"</f>
        <v>PFES1162562697_0001</v>
      </c>
      <c r="L1774" s="10">
        <v>1</v>
      </c>
      <c r="M1774" s="10">
        <v>1</v>
      </c>
    </row>
    <row r="1775" spans="1:13">
      <c r="A1775" s="8">
        <v>42933</v>
      </c>
      <c r="B1775" s="9">
        <v>0.4513888888888889</v>
      </c>
      <c r="C1775" s="10" t="str">
        <f>"FES1162562793"</f>
        <v>FES1162562793</v>
      </c>
      <c r="D1775" s="10" t="s">
        <v>19</v>
      </c>
      <c r="E1775" s="10" t="s">
        <v>279</v>
      </c>
      <c r="F1775" s="10" t="str">
        <f>"2170579384 "</f>
        <v xml:space="preserve">2170579384 </v>
      </c>
      <c r="G1775" s="10" t="str">
        <f t="shared" si="74"/>
        <v>ON1</v>
      </c>
      <c r="H1775" s="10" t="s">
        <v>21</v>
      </c>
      <c r="I1775" s="10" t="s">
        <v>240</v>
      </c>
      <c r="J1775" s="10" t="str">
        <f>""</f>
        <v/>
      </c>
      <c r="K1775" s="10" t="str">
        <f>"PFES1162562793_0001"</f>
        <v>PFES1162562793_0001</v>
      </c>
      <c r="L1775" s="10">
        <v>1</v>
      </c>
      <c r="M1775" s="10">
        <v>1</v>
      </c>
    </row>
    <row r="1776" spans="1:13">
      <c r="A1776" s="8">
        <v>42933</v>
      </c>
      <c r="B1776" s="9">
        <v>0.4513888888888889</v>
      </c>
      <c r="C1776" s="10" t="str">
        <f>"FES1162562731"</f>
        <v>FES1162562731</v>
      </c>
      <c r="D1776" s="10" t="s">
        <v>19</v>
      </c>
      <c r="E1776" s="10" t="s">
        <v>462</v>
      </c>
      <c r="F1776" s="10" t="str">
        <f>"2170579329 "</f>
        <v xml:space="preserve">2170579329 </v>
      </c>
      <c r="G1776" s="10" t="str">
        <f t="shared" si="74"/>
        <v>ON1</v>
      </c>
      <c r="H1776" s="10" t="s">
        <v>21</v>
      </c>
      <c r="I1776" s="10" t="s">
        <v>463</v>
      </c>
      <c r="J1776" s="10" t="str">
        <f>""</f>
        <v/>
      </c>
      <c r="K1776" s="10" t="str">
        <f>"PFES1162562731_0001"</f>
        <v>PFES1162562731_0001</v>
      </c>
      <c r="L1776" s="10">
        <v>1</v>
      </c>
      <c r="M1776" s="10">
        <v>1</v>
      </c>
    </row>
    <row r="1777" spans="1:13">
      <c r="A1777" s="8">
        <v>42933</v>
      </c>
      <c r="B1777" s="9">
        <v>0.4513888888888889</v>
      </c>
      <c r="C1777" s="10" t="str">
        <f>"FES1162562717"</f>
        <v>FES1162562717</v>
      </c>
      <c r="D1777" s="10" t="s">
        <v>19</v>
      </c>
      <c r="E1777" s="10" t="s">
        <v>112</v>
      </c>
      <c r="F1777" s="10" t="str">
        <f>"2170577630 "</f>
        <v xml:space="preserve">2170577630 </v>
      </c>
      <c r="G1777" s="10" t="str">
        <f t="shared" si="74"/>
        <v>ON1</v>
      </c>
      <c r="H1777" s="10" t="s">
        <v>21</v>
      </c>
      <c r="I1777" s="10" t="s">
        <v>113</v>
      </c>
      <c r="J1777" s="10" t="str">
        <f>""</f>
        <v/>
      </c>
      <c r="K1777" s="10" t="str">
        <f>"PFES1162562717_0001"</f>
        <v>PFES1162562717_0001</v>
      </c>
      <c r="L1777" s="10">
        <v>1</v>
      </c>
      <c r="M1777" s="10">
        <v>2</v>
      </c>
    </row>
    <row r="1778" spans="1:13">
      <c r="A1778" s="8">
        <v>42933</v>
      </c>
      <c r="B1778" s="9">
        <v>0.45069444444444445</v>
      </c>
      <c r="C1778" s="10" t="str">
        <f>"FES1162562723"</f>
        <v>FES1162562723</v>
      </c>
      <c r="D1778" s="10" t="s">
        <v>19</v>
      </c>
      <c r="E1778" s="10" t="s">
        <v>549</v>
      </c>
      <c r="F1778" s="10" t="str">
        <f>"2170579111 "</f>
        <v xml:space="preserve">2170579111 </v>
      </c>
      <c r="G1778" s="10" t="str">
        <f t="shared" si="74"/>
        <v>ON1</v>
      </c>
      <c r="H1778" s="10" t="s">
        <v>21</v>
      </c>
      <c r="I1778" s="10" t="s">
        <v>224</v>
      </c>
      <c r="J1778" s="10" t="str">
        <f>""</f>
        <v/>
      </c>
      <c r="K1778" s="10" t="str">
        <f>"PFES1162562723_0001"</f>
        <v>PFES1162562723_0001</v>
      </c>
      <c r="L1778" s="10">
        <v>1</v>
      </c>
      <c r="M1778" s="10">
        <v>5</v>
      </c>
    </row>
    <row r="1779" spans="1:13">
      <c r="A1779" s="8">
        <v>42933</v>
      </c>
      <c r="B1779" s="9">
        <v>0.45069444444444445</v>
      </c>
      <c r="C1779" s="10" t="str">
        <f>"FES1162562686"</f>
        <v>FES1162562686</v>
      </c>
      <c r="D1779" s="10" t="s">
        <v>19</v>
      </c>
      <c r="E1779" s="10" t="s">
        <v>33</v>
      </c>
      <c r="F1779" s="10" t="str">
        <f>"2170579292 "</f>
        <v xml:space="preserve">2170579292 </v>
      </c>
      <c r="G1779" s="10" t="str">
        <f t="shared" si="74"/>
        <v>ON1</v>
      </c>
      <c r="H1779" s="10" t="s">
        <v>21</v>
      </c>
      <c r="I1779" s="10" t="s">
        <v>34</v>
      </c>
      <c r="J1779" s="10" t="str">
        <f>""</f>
        <v/>
      </c>
      <c r="K1779" s="10" t="str">
        <f>"PFES1162562686_0001"</f>
        <v>PFES1162562686_0001</v>
      </c>
      <c r="L1779" s="10">
        <v>1</v>
      </c>
      <c r="M1779" s="10">
        <v>4</v>
      </c>
    </row>
    <row r="1780" spans="1:13">
      <c r="A1780" s="8">
        <v>42933</v>
      </c>
      <c r="B1780" s="9">
        <v>0.44930555555555557</v>
      </c>
      <c r="C1780" s="10" t="str">
        <f>"FES1162562739"</f>
        <v>FES1162562739</v>
      </c>
      <c r="D1780" s="10" t="s">
        <v>19</v>
      </c>
      <c r="E1780" s="10" t="s">
        <v>255</v>
      </c>
      <c r="F1780" s="10" t="str">
        <f>"2170579334 "</f>
        <v xml:space="preserve">2170579334 </v>
      </c>
      <c r="G1780" s="10" t="str">
        <f t="shared" si="74"/>
        <v>ON1</v>
      </c>
      <c r="H1780" s="10" t="s">
        <v>21</v>
      </c>
      <c r="I1780" s="10" t="s">
        <v>256</v>
      </c>
      <c r="J1780" s="10" t="str">
        <f>""</f>
        <v/>
      </c>
      <c r="K1780" s="10" t="str">
        <f>"PFES1162562739_0001"</f>
        <v>PFES1162562739_0001</v>
      </c>
      <c r="L1780" s="10">
        <v>1</v>
      </c>
      <c r="M1780" s="10">
        <v>2</v>
      </c>
    </row>
    <row r="1781" spans="1:13">
      <c r="A1781" s="8">
        <v>42933</v>
      </c>
      <c r="B1781" s="9">
        <v>0.44861111111111113</v>
      </c>
      <c r="C1781" s="10" t="str">
        <f>"FES1162562703"</f>
        <v>FES1162562703</v>
      </c>
      <c r="D1781" s="10" t="s">
        <v>19</v>
      </c>
      <c r="E1781" s="10" t="s">
        <v>184</v>
      </c>
      <c r="F1781" s="10" t="str">
        <f>"2170573103 "</f>
        <v xml:space="preserve">2170573103 </v>
      </c>
      <c r="G1781" s="10" t="str">
        <f t="shared" si="74"/>
        <v>ON1</v>
      </c>
      <c r="H1781" s="10" t="s">
        <v>21</v>
      </c>
      <c r="I1781" s="10" t="s">
        <v>185</v>
      </c>
      <c r="J1781" s="10" t="str">
        <f>""</f>
        <v/>
      </c>
      <c r="K1781" s="10" t="str">
        <f>"PFES1162562703_0001"</f>
        <v>PFES1162562703_0001</v>
      </c>
      <c r="L1781" s="10">
        <v>1</v>
      </c>
      <c r="M1781" s="10">
        <v>4</v>
      </c>
    </row>
    <row r="1782" spans="1:13">
      <c r="A1782" s="8">
        <v>42933</v>
      </c>
      <c r="B1782" s="9">
        <v>0.44861111111111113</v>
      </c>
      <c r="C1782" s="10" t="str">
        <f>"FES1162562672"</f>
        <v>FES1162562672</v>
      </c>
      <c r="D1782" s="10" t="s">
        <v>19</v>
      </c>
      <c r="E1782" s="10" t="s">
        <v>574</v>
      </c>
      <c r="F1782" s="10" t="str">
        <f>"2170579287 "</f>
        <v xml:space="preserve">2170579287 </v>
      </c>
      <c r="G1782" s="10" t="str">
        <f>"ON2"</f>
        <v>ON2</v>
      </c>
      <c r="H1782" s="10" t="s">
        <v>21</v>
      </c>
      <c r="I1782" s="10" t="s">
        <v>213</v>
      </c>
      <c r="J1782" s="10" t="str">
        <f>""</f>
        <v/>
      </c>
      <c r="K1782" s="10" t="str">
        <f>"PFES1162562672_0001"</f>
        <v>PFES1162562672_0001</v>
      </c>
      <c r="L1782" s="10">
        <v>1</v>
      </c>
      <c r="M1782" s="10">
        <v>18</v>
      </c>
    </row>
    <row r="1783" spans="1:13">
      <c r="A1783" s="8">
        <v>42933</v>
      </c>
      <c r="B1783" s="9">
        <v>0.44791666666666669</v>
      </c>
      <c r="C1783" s="10" t="str">
        <f>"FES1162562743"</f>
        <v>FES1162562743</v>
      </c>
      <c r="D1783" s="10" t="s">
        <v>19</v>
      </c>
      <c r="E1783" s="10" t="s">
        <v>210</v>
      </c>
      <c r="F1783" s="10" t="str">
        <f>"2170579337 "</f>
        <v xml:space="preserve">2170579337 </v>
      </c>
      <c r="G1783" s="10" t="str">
        <f t="shared" ref="G1783:G1802" si="75">"ON1"</f>
        <v>ON1</v>
      </c>
      <c r="H1783" s="10" t="s">
        <v>21</v>
      </c>
      <c r="I1783" s="10" t="s">
        <v>32</v>
      </c>
      <c r="J1783" s="10" t="str">
        <f>""</f>
        <v/>
      </c>
      <c r="K1783" s="10" t="str">
        <f>"PFES1162562743_0001"</f>
        <v>PFES1162562743_0001</v>
      </c>
      <c r="L1783" s="10">
        <v>1</v>
      </c>
      <c r="M1783" s="10">
        <v>1</v>
      </c>
    </row>
    <row r="1784" spans="1:13">
      <c r="A1784" s="8">
        <v>42933</v>
      </c>
      <c r="B1784" s="9">
        <v>0.44722222222222219</v>
      </c>
      <c r="C1784" s="10" t="str">
        <f>"FES1162562708"</f>
        <v>FES1162562708</v>
      </c>
      <c r="D1784" s="10" t="s">
        <v>19</v>
      </c>
      <c r="E1784" s="10" t="s">
        <v>441</v>
      </c>
      <c r="F1784" s="10" t="str">
        <f>"2170576737 "</f>
        <v xml:space="preserve">2170576737 </v>
      </c>
      <c r="G1784" s="10" t="str">
        <f t="shared" si="75"/>
        <v>ON1</v>
      </c>
      <c r="H1784" s="10" t="s">
        <v>21</v>
      </c>
      <c r="I1784" s="10" t="s">
        <v>166</v>
      </c>
      <c r="J1784" s="10" t="str">
        <f>""</f>
        <v/>
      </c>
      <c r="K1784" s="10" t="str">
        <f>"PFES1162562708_0001"</f>
        <v>PFES1162562708_0001</v>
      </c>
      <c r="L1784" s="10">
        <v>1</v>
      </c>
      <c r="M1784" s="10">
        <v>1</v>
      </c>
    </row>
    <row r="1785" spans="1:13">
      <c r="A1785" s="8">
        <v>42933</v>
      </c>
      <c r="B1785" s="9">
        <v>0.44722222222222219</v>
      </c>
      <c r="C1785" s="10" t="str">
        <f>"FES1162562710"</f>
        <v>FES1162562710</v>
      </c>
      <c r="D1785" s="10" t="s">
        <v>19</v>
      </c>
      <c r="E1785" s="10" t="s">
        <v>441</v>
      </c>
      <c r="F1785" s="10" t="str">
        <f>"2170576924 "</f>
        <v xml:space="preserve">2170576924 </v>
      </c>
      <c r="G1785" s="10" t="str">
        <f t="shared" si="75"/>
        <v>ON1</v>
      </c>
      <c r="H1785" s="10" t="s">
        <v>21</v>
      </c>
      <c r="I1785" s="10" t="s">
        <v>166</v>
      </c>
      <c r="J1785" s="10" t="str">
        <f>""</f>
        <v/>
      </c>
      <c r="K1785" s="10" t="str">
        <f>"PFES1162562710_0001"</f>
        <v>PFES1162562710_0001</v>
      </c>
      <c r="L1785" s="10">
        <v>1</v>
      </c>
      <c r="M1785" s="10">
        <v>1</v>
      </c>
    </row>
    <row r="1786" spans="1:13">
      <c r="A1786" s="8">
        <v>42933</v>
      </c>
      <c r="B1786" s="9">
        <v>0.4465277777777778</v>
      </c>
      <c r="C1786" s="10" t="str">
        <f>"FES1162562704"</f>
        <v>FES1162562704</v>
      </c>
      <c r="D1786" s="10" t="s">
        <v>19</v>
      </c>
      <c r="E1786" s="10" t="s">
        <v>165</v>
      </c>
      <c r="F1786" s="10" t="str">
        <f>"2170575495 "</f>
        <v xml:space="preserve">2170575495 </v>
      </c>
      <c r="G1786" s="10" t="str">
        <f t="shared" si="75"/>
        <v>ON1</v>
      </c>
      <c r="H1786" s="10" t="s">
        <v>21</v>
      </c>
      <c r="I1786" s="10" t="s">
        <v>166</v>
      </c>
      <c r="J1786" s="10" t="str">
        <f>""</f>
        <v/>
      </c>
      <c r="K1786" s="10" t="str">
        <f>"PFES1162562704_0001"</f>
        <v>PFES1162562704_0001</v>
      </c>
      <c r="L1786" s="10">
        <v>1</v>
      </c>
      <c r="M1786" s="10">
        <v>1</v>
      </c>
    </row>
    <row r="1787" spans="1:13">
      <c r="A1787" s="8">
        <v>42933</v>
      </c>
      <c r="B1787" s="9">
        <v>0.4458333333333333</v>
      </c>
      <c r="C1787" s="10" t="str">
        <f>"FES1162562722"</f>
        <v>FES1162562722</v>
      </c>
      <c r="D1787" s="10" t="s">
        <v>19</v>
      </c>
      <c r="E1787" s="10" t="s">
        <v>269</v>
      </c>
      <c r="F1787" s="10" t="str">
        <f>"2170578874 "</f>
        <v xml:space="preserve">2170578874 </v>
      </c>
      <c r="G1787" s="10" t="str">
        <f t="shared" si="75"/>
        <v>ON1</v>
      </c>
      <c r="H1787" s="10" t="s">
        <v>21</v>
      </c>
      <c r="I1787" s="10" t="s">
        <v>52</v>
      </c>
      <c r="J1787" s="10" t="str">
        <f>""</f>
        <v/>
      </c>
      <c r="K1787" s="10" t="str">
        <f>"PFES1162562722_0001"</f>
        <v>PFES1162562722_0001</v>
      </c>
      <c r="L1787" s="10">
        <v>1</v>
      </c>
      <c r="M1787" s="10">
        <v>1</v>
      </c>
    </row>
    <row r="1788" spans="1:13">
      <c r="A1788" s="8">
        <v>42933</v>
      </c>
      <c r="B1788" s="9">
        <v>0.4458333333333333</v>
      </c>
      <c r="C1788" s="10" t="str">
        <f>"FES1162562706"</f>
        <v>FES1162562706</v>
      </c>
      <c r="D1788" s="10" t="s">
        <v>19</v>
      </c>
      <c r="E1788" s="10" t="s">
        <v>255</v>
      </c>
      <c r="F1788" s="10" t="str">
        <f>"2170575691 "</f>
        <v xml:space="preserve">2170575691 </v>
      </c>
      <c r="G1788" s="10" t="str">
        <f t="shared" si="75"/>
        <v>ON1</v>
      </c>
      <c r="H1788" s="10" t="s">
        <v>21</v>
      </c>
      <c r="I1788" s="10" t="s">
        <v>256</v>
      </c>
      <c r="J1788" s="10" t="str">
        <f>""</f>
        <v/>
      </c>
      <c r="K1788" s="10" t="str">
        <f>"PFES1162562706_0001"</f>
        <v>PFES1162562706_0001</v>
      </c>
      <c r="L1788" s="10">
        <v>1</v>
      </c>
      <c r="M1788" s="10">
        <v>1</v>
      </c>
    </row>
    <row r="1789" spans="1:13">
      <c r="A1789" s="8">
        <v>42933</v>
      </c>
      <c r="B1789" s="9">
        <v>0.44513888888888892</v>
      </c>
      <c r="C1789" s="10" t="str">
        <f>"FES1162562695"</f>
        <v>FES1162562695</v>
      </c>
      <c r="D1789" s="10" t="s">
        <v>19</v>
      </c>
      <c r="E1789" s="10" t="s">
        <v>301</v>
      </c>
      <c r="F1789" s="10" t="str">
        <f>"2170579297 "</f>
        <v xml:space="preserve">2170579297 </v>
      </c>
      <c r="G1789" s="10" t="str">
        <f t="shared" si="75"/>
        <v>ON1</v>
      </c>
      <c r="H1789" s="10" t="s">
        <v>21</v>
      </c>
      <c r="I1789" s="10" t="s">
        <v>302</v>
      </c>
      <c r="J1789" s="10" t="str">
        <f>""</f>
        <v/>
      </c>
      <c r="K1789" s="10" t="str">
        <f>"PFES1162562695_0001"</f>
        <v>PFES1162562695_0001</v>
      </c>
      <c r="L1789" s="10">
        <v>1</v>
      </c>
      <c r="M1789" s="10">
        <v>1</v>
      </c>
    </row>
    <row r="1790" spans="1:13">
      <c r="A1790" s="8">
        <v>42933</v>
      </c>
      <c r="B1790" s="9">
        <v>0.44444444444444442</v>
      </c>
      <c r="C1790" s="10" t="str">
        <f>"FES1162562705"</f>
        <v>FES1162562705</v>
      </c>
      <c r="D1790" s="10" t="s">
        <v>19</v>
      </c>
      <c r="E1790" s="10" t="s">
        <v>709</v>
      </c>
      <c r="F1790" s="10" t="str">
        <f>"2170575630 "</f>
        <v xml:space="preserve">2170575630 </v>
      </c>
      <c r="G1790" s="10" t="str">
        <f t="shared" si="75"/>
        <v>ON1</v>
      </c>
      <c r="H1790" s="10" t="s">
        <v>21</v>
      </c>
      <c r="I1790" s="10" t="s">
        <v>224</v>
      </c>
      <c r="J1790" s="10" t="str">
        <f>""</f>
        <v/>
      </c>
      <c r="K1790" s="10" t="str">
        <f>"PFES1162562705_0001"</f>
        <v>PFES1162562705_0001</v>
      </c>
      <c r="L1790" s="10">
        <v>1</v>
      </c>
      <c r="M1790" s="10">
        <v>1</v>
      </c>
    </row>
    <row r="1791" spans="1:13">
      <c r="A1791" s="8">
        <v>42933</v>
      </c>
      <c r="B1791" s="9">
        <v>0.44444444444444442</v>
      </c>
      <c r="C1791" s="10" t="str">
        <f>"FES1162562735"</f>
        <v>FES1162562735</v>
      </c>
      <c r="D1791" s="10" t="s">
        <v>19</v>
      </c>
      <c r="E1791" s="10" t="s">
        <v>709</v>
      </c>
      <c r="F1791" s="10" t="str">
        <f>"2170579331 "</f>
        <v xml:space="preserve">2170579331 </v>
      </c>
      <c r="G1791" s="10" t="str">
        <f t="shared" si="75"/>
        <v>ON1</v>
      </c>
      <c r="H1791" s="10" t="s">
        <v>21</v>
      </c>
      <c r="I1791" s="10" t="s">
        <v>224</v>
      </c>
      <c r="J1791" s="10" t="str">
        <f>""</f>
        <v/>
      </c>
      <c r="K1791" s="10" t="str">
        <f>"PFES1162562735_0001"</f>
        <v>PFES1162562735_0001</v>
      </c>
      <c r="L1791" s="10">
        <v>1</v>
      </c>
      <c r="M1791" s="10">
        <v>1</v>
      </c>
    </row>
    <row r="1792" spans="1:13">
      <c r="A1792" s="8">
        <v>42933</v>
      </c>
      <c r="B1792" s="9">
        <v>0.44305555555555554</v>
      </c>
      <c r="C1792" s="10" t="str">
        <f>"FES1162562752"</f>
        <v>FES1162562752</v>
      </c>
      <c r="D1792" s="10" t="s">
        <v>19</v>
      </c>
      <c r="E1792" s="10" t="s">
        <v>535</v>
      </c>
      <c r="F1792" s="10" t="str">
        <f>"2170579349 "</f>
        <v xml:space="preserve">2170579349 </v>
      </c>
      <c r="G1792" s="10" t="str">
        <f t="shared" si="75"/>
        <v>ON1</v>
      </c>
      <c r="H1792" s="10" t="s">
        <v>21</v>
      </c>
      <c r="I1792" s="10" t="s">
        <v>240</v>
      </c>
      <c r="J1792" s="10" t="str">
        <f>""</f>
        <v/>
      </c>
      <c r="K1792" s="10" t="str">
        <f>"PFES1162562752_0001"</f>
        <v>PFES1162562752_0001</v>
      </c>
      <c r="L1792" s="10">
        <v>1</v>
      </c>
      <c r="M1792" s="10">
        <v>1</v>
      </c>
    </row>
    <row r="1793" spans="1:13">
      <c r="A1793" s="8">
        <v>42933</v>
      </c>
      <c r="B1793" s="9">
        <v>0.44236111111111115</v>
      </c>
      <c r="C1793" s="10" t="str">
        <f>"FES1162562715"</f>
        <v>FES1162562715</v>
      </c>
      <c r="D1793" s="10" t="s">
        <v>19</v>
      </c>
      <c r="E1793" s="10" t="s">
        <v>549</v>
      </c>
      <c r="F1793" s="10" t="str">
        <f>"2170577504 "</f>
        <v xml:space="preserve">2170577504 </v>
      </c>
      <c r="G1793" s="10" t="str">
        <f t="shared" si="75"/>
        <v>ON1</v>
      </c>
      <c r="H1793" s="10" t="s">
        <v>21</v>
      </c>
      <c r="I1793" s="10" t="s">
        <v>224</v>
      </c>
      <c r="J1793" s="10" t="str">
        <f>""</f>
        <v/>
      </c>
      <c r="K1793" s="10" t="str">
        <f>"PFES1162562715_0001"</f>
        <v>PFES1162562715_0001</v>
      </c>
      <c r="L1793" s="10">
        <v>1</v>
      </c>
      <c r="M1793" s="10">
        <v>1</v>
      </c>
    </row>
    <row r="1794" spans="1:13">
      <c r="A1794" s="8">
        <v>42933</v>
      </c>
      <c r="B1794" s="9">
        <v>0.44236111111111115</v>
      </c>
      <c r="C1794" s="10" t="str">
        <f>"FES1162562742"</f>
        <v>FES1162562742</v>
      </c>
      <c r="D1794" s="10" t="s">
        <v>19</v>
      </c>
      <c r="E1794" s="10" t="s">
        <v>384</v>
      </c>
      <c r="F1794" s="10" t="str">
        <f>"2170579336 "</f>
        <v xml:space="preserve">2170579336 </v>
      </c>
      <c r="G1794" s="10" t="str">
        <f t="shared" si="75"/>
        <v>ON1</v>
      </c>
      <c r="H1794" s="10" t="s">
        <v>21</v>
      </c>
      <c r="I1794" s="10" t="s">
        <v>228</v>
      </c>
      <c r="J1794" s="10" t="str">
        <f>""</f>
        <v/>
      </c>
      <c r="K1794" s="10" t="str">
        <f>"PFES1162562742_0001"</f>
        <v>PFES1162562742_0001</v>
      </c>
      <c r="L1794" s="10">
        <v>1</v>
      </c>
      <c r="M1794" s="10">
        <v>1</v>
      </c>
    </row>
    <row r="1795" spans="1:13">
      <c r="A1795" s="8">
        <v>42933</v>
      </c>
      <c r="B1795" s="9">
        <v>0.44166666666666665</v>
      </c>
      <c r="C1795" s="10" t="str">
        <f>"FES1162562753"</f>
        <v>FES1162562753</v>
      </c>
      <c r="D1795" s="10" t="s">
        <v>19</v>
      </c>
      <c r="E1795" s="10" t="s">
        <v>99</v>
      </c>
      <c r="F1795" s="10" t="str">
        <f>"2170579350 "</f>
        <v xml:space="preserve">2170579350 </v>
      </c>
      <c r="G1795" s="10" t="str">
        <f t="shared" si="75"/>
        <v>ON1</v>
      </c>
      <c r="H1795" s="10" t="s">
        <v>21</v>
      </c>
      <c r="I1795" s="10" t="s">
        <v>100</v>
      </c>
      <c r="J1795" s="10" t="str">
        <f>""</f>
        <v/>
      </c>
      <c r="K1795" s="10" t="str">
        <f>"PFES1162562753_0001"</f>
        <v>PFES1162562753_0001</v>
      </c>
      <c r="L1795" s="10">
        <v>1</v>
      </c>
      <c r="M1795" s="10">
        <v>1</v>
      </c>
    </row>
    <row r="1796" spans="1:13">
      <c r="A1796" s="8">
        <v>42933</v>
      </c>
      <c r="B1796" s="9">
        <v>0.44166666666666665</v>
      </c>
      <c r="C1796" s="10" t="str">
        <f>"FES1162562758"</f>
        <v>FES1162562758</v>
      </c>
      <c r="D1796" s="10" t="s">
        <v>19</v>
      </c>
      <c r="E1796" s="10" t="s">
        <v>320</v>
      </c>
      <c r="F1796" s="10" t="str">
        <f>"2170579360 "</f>
        <v xml:space="preserve">2170579360 </v>
      </c>
      <c r="G1796" s="10" t="str">
        <f t="shared" si="75"/>
        <v>ON1</v>
      </c>
      <c r="H1796" s="10" t="s">
        <v>21</v>
      </c>
      <c r="I1796" s="10" t="s">
        <v>32</v>
      </c>
      <c r="J1796" s="10" t="str">
        <f>""</f>
        <v/>
      </c>
      <c r="K1796" s="10" t="str">
        <f>"PFES1162562758_0001"</f>
        <v>PFES1162562758_0001</v>
      </c>
      <c r="L1796" s="10">
        <v>1</v>
      </c>
      <c r="M1796" s="10">
        <v>1</v>
      </c>
    </row>
    <row r="1797" spans="1:13">
      <c r="A1797" s="8">
        <v>42933</v>
      </c>
      <c r="B1797" s="9">
        <v>0.69166666666666676</v>
      </c>
      <c r="C1797" s="10" t="str">
        <f>"FES1162562977"</f>
        <v>FES1162562977</v>
      </c>
      <c r="D1797" s="10" t="s">
        <v>19</v>
      </c>
      <c r="E1797" s="10" t="s">
        <v>869</v>
      </c>
      <c r="F1797" s="10" t="str">
        <f>"2170579623 "</f>
        <v xml:space="preserve">2170579623 </v>
      </c>
      <c r="G1797" s="10" t="str">
        <f t="shared" si="75"/>
        <v>ON1</v>
      </c>
      <c r="H1797" s="10" t="s">
        <v>21</v>
      </c>
      <c r="I1797" s="10" t="s">
        <v>870</v>
      </c>
      <c r="J1797" s="10" t="str">
        <f>""</f>
        <v/>
      </c>
      <c r="K1797" s="10" t="str">
        <f>"PFES1162562977_0001"</f>
        <v>PFES1162562977_0001</v>
      </c>
      <c r="L1797" s="10">
        <v>1</v>
      </c>
      <c r="M1797" s="10">
        <v>1</v>
      </c>
    </row>
    <row r="1798" spans="1:13">
      <c r="A1798" s="8">
        <v>42933</v>
      </c>
      <c r="B1798" s="9">
        <v>0.69027777777777777</v>
      </c>
      <c r="C1798" s="10" t="str">
        <f>"FES1162562983"</f>
        <v>FES1162562983</v>
      </c>
      <c r="D1798" s="10" t="s">
        <v>19</v>
      </c>
      <c r="E1798" s="10" t="s">
        <v>871</v>
      </c>
      <c r="F1798" s="10" t="str">
        <f>"2170579631 "</f>
        <v xml:space="preserve">2170579631 </v>
      </c>
      <c r="G1798" s="10" t="str">
        <f t="shared" si="75"/>
        <v>ON1</v>
      </c>
      <c r="H1798" s="10" t="s">
        <v>21</v>
      </c>
      <c r="I1798" s="10" t="s">
        <v>183</v>
      </c>
      <c r="J1798" s="10" t="str">
        <f>""</f>
        <v/>
      </c>
      <c r="K1798" s="10" t="str">
        <f>"PFES1162562983_0001"</f>
        <v>PFES1162562983_0001</v>
      </c>
      <c r="L1798" s="10">
        <v>1</v>
      </c>
      <c r="M1798" s="10">
        <v>1</v>
      </c>
    </row>
    <row r="1799" spans="1:13">
      <c r="A1799" s="8">
        <v>42933</v>
      </c>
      <c r="B1799" s="9">
        <v>0.68819444444444444</v>
      </c>
      <c r="C1799" s="10" t="str">
        <f>"FES1162562975"</f>
        <v>FES1162562975</v>
      </c>
      <c r="D1799" s="10" t="s">
        <v>19</v>
      </c>
      <c r="E1799" s="10" t="s">
        <v>118</v>
      </c>
      <c r="F1799" s="10" t="str">
        <f>"2170579619 "</f>
        <v xml:space="preserve">2170579619 </v>
      </c>
      <c r="G1799" s="10" t="str">
        <f t="shared" si="75"/>
        <v>ON1</v>
      </c>
      <c r="H1799" s="10" t="s">
        <v>21</v>
      </c>
      <c r="I1799" s="10" t="s">
        <v>119</v>
      </c>
      <c r="J1799" s="10" t="str">
        <f>""</f>
        <v/>
      </c>
      <c r="K1799" s="10" t="str">
        <f>"PFES1162562975_0001"</f>
        <v>PFES1162562975_0001</v>
      </c>
      <c r="L1799" s="10">
        <v>1</v>
      </c>
      <c r="M1799" s="10">
        <v>1</v>
      </c>
    </row>
    <row r="1800" spans="1:13">
      <c r="A1800" s="8">
        <v>42933</v>
      </c>
      <c r="B1800" s="9">
        <v>0.68541666666666667</v>
      </c>
      <c r="C1800" s="10" t="str">
        <f>"FES1162562952"</f>
        <v>FES1162562952</v>
      </c>
      <c r="D1800" s="10" t="s">
        <v>19</v>
      </c>
      <c r="E1800" s="10" t="s">
        <v>872</v>
      </c>
      <c r="F1800" s="10" t="str">
        <f>"2170579333 "</f>
        <v xml:space="preserve">2170579333 </v>
      </c>
      <c r="G1800" s="10" t="str">
        <f t="shared" si="75"/>
        <v>ON1</v>
      </c>
      <c r="H1800" s="10" t="s">
        <v>21</v>
      </c>
      <c r="I1800" s="10" t="s">
        <v>809</v>
      </c>
      <c r="J1800" s="10" t="str">
        <f>""</f>
        <v/>
      </c>
      <c r="K1800" s="10" t="str">
        <f>"PFES1162562952_0001"</f>
        <v>PFES1162562952_0001</v>
      </c>
      <c r="L1800" s="10">
        <v>1</v>
      </c>
      <c r="M1800" s="10">
        <v>3</v>
      </c>
    </row>
    <row r="1801" spans="1:13">
      <c r="A1801" s="8">
        <v>42933</v>
      </c>
      <c r="B1801" s="9">
        <v>0.68472222222222223</v>
      </c>
      <c r="C1801" s="10" t="str">
        <f>"FES1162562978"</f>
        <v>FES1162562978</v>
      </c>
      <c r="D1801" s="10" t="s">
        <v>19</v>
      </c>
      <c r="E1801" s="10" t="s">
        <v>288</v>
      </c>
      <c r="F1801" s="10" t="str">
        <f>"2170579625 "</f>
        <v xml:space="preserve">2170579625 </v>
      </c>
      <c r="G1801" s="10" t="str">
        <f t="shared" si="75"/>
        <v>ON1</v>
      </c>
      <c r="H1801" s="10" t="s">
        <v>21</v>
      </c>
      <c r="I1801" s="10" t="s">
        <v>177</v>
      </c>
      <c r="J1801" s="10" t="str">
        <f>""</f>
        <v/>
      </c>
      <c r="K1801" s="10" t="str">
        <f>"PFES1162562978_0001"</f>
        <v>PFES1162562978_0001</v>
      </c>
      <c r="L1801" s="10">
        <v>1</v>
      </c>
      <c r="M1801" s="10">
        <v>1</v>
      </c>
    </row>
    <row r="1802" spans="1:13">
      <c r="A1802" s="8">
        <v>42933</v>
      </c>
      <c r="B1802" s="9">
        <v>0.68333333333333324</v>
      </c>
      <c r="C1802" s="10" t="str">
        <f>"FES1162562966"</f>
        <v>FES1162562966</v>
      </c>
      <c r="D1802" s="10" t="s">
        <v>19</v>
      </c>
      <c r="E1802" s="10" t="s">
        <v>129</v>
      </c>
      <c r="F1802" s="10" t="str">
        <f>"2170579617 "</f>
        <v xml:space="preserve">2170579617 </v>
      </c>
      <c r="G1802" s="10" t="str">
        <f t="shared" si="75"/>
        <v>ON1</v>
      </c>
      <c r="H1802" s="10" t="s">
        <v>21</v>
      </c>
      <c r="I1802" s="10" t="s">
        <v>130</v>
      </c>
      <c r="J1802" s="10" t="str">
        <f>""</f>
        <v/>
      </c>
      <c r="K1802" s="10" t="str">
        <f>"PFES1162562966_0001"</f>
        <v>PFES1162562966_0001</v>
      </c>
      <c r="L1802" s="10">
        <v>1</v>
      </c>
      <c r="M1802" s="10">
        <v>7</v>
      </c>
    </row>
    <row r="1803" spans="1:13">
      <c r="A1803" s="8">
        <v>42933</v>
      </c>
      <c r="B1803" s="9">
        <v>0.68263888888888891</v>
      </c>
      <c r="C1803" s="10" t="str">
        <f>"FES1162562949"</f>
        <v>FES1162562949</v>
      </c>
      <c r="D1803" s="10" t="s">
        <v>19</v>
      </c>
      <c r="E1803" s="10" t="s">
        <v>729</v>
      </c>
      <c r="F1803" s="10" t="str">
        <f>"2170579188 "</f>
        <v xml:space="preserve">2170579188 </v>
      </c>
      <c r="G1803" s="10" t="str">
        <f>"DBC"</f>
        <v>DBC</v>
      </c>
      <c r="H1803" s="10" t="s">
        <v>21</v>
      </c>
      <c r="I1803" s="10" t="s">
        <v>730</v>
      </c>
      <c r="J1803" s="10" t="str">
        <f>""</f>
        <v/>
      </c>
      <c r="K1803" s="10" t="str">
        <f>"PFES1162562949_0001"</f>
        <v>PFES1162562949_0001</v>
      </c>
      <c r="L1803" s="10">
        <v>3</v>
      </c>
      <c r="M1803" s="10">
        <v>47</v>
      </c>
    </row>
    <row r="1804" spans="1:13">
      <c r="A1804" s="8">
        <v>42933</v>
      </c>
      <c r="B1804" s="9">
        <v>0.68263888888888891</v>
      </c>
      <c r="C1804" s="10" t="str">
        <f>"FES1162562949"</f>
        <v>FES1162562949</v>
      </c>
      <c r="D1804" s="10" t="s">
        <v>19</v>
      </c>
      <c r="E1804" s="10" t="s">
        <v>729</v>
      </c>
      <c r="F1804" s="10" t="str">
        <f t="shared" ref="F1804:F1805" si="76">"2170579188 "</f>
        <v xml:space="preserve">2170579188 </v>
      </c>
      <c r="G1804" s="10" t="str">
        <f t="shared" ref="G1804:G1805" si="77">"DBC"</f>
        <v>DBC</v>
      </c>
      <c r="H1804" s="10" t="s">
        <v>21</v>
      </c>
      <c r="I1804" s="10" t="s">
        <v>730</v>
      </c>
      <c r="J1804" s="10"/>
      <c r="K1804" s="10" t="str">
        <f>"PFES1162562949_0002"</f>
        <v>PFES1162562949_0002</v>
      </c>
      <c r="L1804" s="10">
        <v>3</v>
      </c>
      <c r="M1804" s="10">
        <v>47</v>
      </c>
    </row>
    <row r="1805" spans="1:13">
      <c r="A1805" s="8">
        <v>42933</v>
      </c>
      <c r="B1805" s="9">
        <v>0.68263888888888891</v>
      </c>
      <c r="C1805" s="10" t="str">
        <f>"FES1162562949"</f>
        <v>FES1162562949</v>
      </c>
      <c r="D1805" s="10" t="s">
        <v>19</v>
      </c>
      <c r="E1805" s="10" t="s">
        <v>729</v>
      </c>
      <c r="F1805" s="10" t="str">
        <f t="shared" si="76"/>
        <v xml:space="preserve">2170579188 </v>
      </c>
      <c r="G1805" s="10" t="str">
        <f t="shared" si="77"/>
        <v>DBC</v>
      </c>
      <c r="H1805" s="10" t="s">
        <v>21</v>
      </c>
      <c r="I1805" s="10" t="s">
        <v>730</v>
      </c>
      <c r="J1805" s="10"/>
      <c r="K1805" s="10" t="str">
        <f>"PFES1162562949_0003"</f>
        <v>PFES1162562949_0003</v>
      </c>
      <c r="L1805" s="10">
        <v>3</v>
      </c>
      <c r="M1805" s="10">
        <v>47</v>
      </c>
    </row>
    <row r="1806" spans="1:13">
      <c r="A1806" s="8">
        <v>42933</v>
      </c>
      <c r="B1806" s="9">
        <v>0.68263888888888891</v>
      </c>
      <c r="C1806" s="10" t="str">
        <f>"FES1162562941"</f>
        <v>FES1162562941</v>
      </c>
      <c r="D1806" s="10" t="s">
        <v>19</v>
      </c>
      <c r="E1806" s="10" t="s">
        <v>844</v>
      </c>
      <c r="F1806" s="10" t="str">
        <f>"2170579590 "</f>
        <v xml:space="preserve">2170579590 </v>
      </c>
      <c r="G1806" s="10" t="str">
        <f t="shared" ref="G1806:G1820" si="78">"ON1"</f>
        <v>ON1</v>
      </c>
      <c r="H1806" s="10" t="s">
        <v>21</v>
      </c>
      <c r="I1806" s="10" t="s">
        <v>32</v>
      </c>
      <c r="J1806" s="10" t="str">
        <f>""</f>
        <v/>
      </c>
      <c r="K1806" s="10" t="str">
        <f>"PFES1162562941_0001"</f>
        <v>PFES1162562941_0001</v>
      </c>
      <c r="L1806" s="10">
        <v>1</v>
      </c>
      <c r="M1806" s="10">
        <v>2</v>
      </c>
    </row>
    <row r="1807" spans="1:13">
      <c r="A1807" s="8">
        <v>42933</v>
      </c>
      <c r="B1807" s="9">
        <v>0.67986111111111114</v>
      </c>
      <c r="C1807" s="10" t="str">
        <f>"FES1162562923"</f>
        <v>FES1162562923</v>
      </c>
      <c r="D1807" s="10" t="s">
        <v>19</v>
      </c>
      <c r="E1807" s="10" t="s">
        <v>190</v>
      </c>
      <c r="F1807" s="10" t="str">
        <f>"21705792172 "</f>
        <v xml:space="preserve">21705792172 </v>
      </c>
      <c r="G1807" s="10" t="str">
        <f t="shared" si="78"/>
        <v>ON1</v>
      </c>
      <c r="H1807" s="10" t="s">
        <v>21</v>
      </c>
      <c r="I1807" s="10" t="s">
        <v>52</v>
      </c>
      <c r="J1807" s="10" t="str">
        <f>""</f>
        <v/>
      </c>
      <c r="K1807" s="10" t="str">
        <f>"PFES1162562923_0001"</f>
        <v>PFES1162562923_0001</v>
      </c>
      <c r="L1807" s="10">
        <v>1</v>
      </c>
      <c r="M1807" s="10">
        <v>8</v>
      </c>
    </row>
    <row r="1808" spans="1:13">
      <c r="A1808" s="8">
        <v>42933</v>
      </c>
      <c r="B1808" s="9">
        <v>0.67986111111111114</v>
      </c>
      <c r="C1808" s="10" t="str">
        <f>"FES1162562980"</f>
        <v>FES1162562980</v>
      </c>
      <c r="D1808" s="10" t="s">
        <v>19</v>
      </c>
      <c r="E1808" s="10" t="s">
        <v>873</v>
      </c>
      <c r="F1808" s="10" t="str">
        <f>"2170579531 "</f>
        <v xml:space="preserve">2170579531 </v>
      </c>
      <c r="G1808" s="10" t="str">
        <f t="shared" si="78"/>
        <v>ON1</v>
      </c>
      <c r="H1808" s="10" t="s">
        <v>21</v>
      </c>
      <c r="I1808" s="10" t="s">
        <v>874</v>
      </c>
      <c r="J1808" s="10" t="str">
        <f>""</f>
        <v/>
      </c>
      <c r="K1808" s="10" t="str">
        <f>"PFES1162562980_0001"</f>
        <v>PFES1162562980_0001</v>
      </c>
      <c r="L1808" s="10">
        <v>1</v>
      </c>
      <c r="M1808" s="10">
        <v>1</v>
      </c>
    </row>
    <row r="1809" spans="1:13">
      <c r="A1809" s="8">
        <v>42933</v>
      </c>
      <c r="B1809" s="9">
        <v>0.6791666666666667</v>
      </c>
      <c r="C1809" s="10" t="str">
        <f>"FES1162562974"</f>
        <v>FES1162562974</v>
      </c>
      <c r="D1809" s="10" t="s">
        <v>19</v>
      </c>
      <c r="E1809" s="10" t="s">
        <v>266</v>
      </c>
      <c r="F1809" s="10" t="str">
        <f>"2170579607 "</f>
        <v xml:space="preserve">2170579607 </v>
      </c>
      <c r="G1809" s="10" t="str">
        <f t="shared" si="78"/>
        <v>ON1</v>
      </c>
      <c r="H1809" s="10" t="s">
        <v>21</v>
      </c>
      <c r="I1809" s="10" t="s">
        <v>290</v>
      </c>
      <c r="J1809" s="10" t="str">
        <f>""</f>
        <v/>
      </c>
      <c r="K1809" s="10" t="str">
        <f>"PFES1162562974_0001"</f>
        <v>PFES1162562974_0001</v>
      </c>
      <c r="L1809" s="10">
        <v>1</v>
      </c>
      <c r="M1809" s="10">
        <v>1</v>
      </c>
    </row>
    <row r="1810" spans="1:13">
      <c r="A1810" s="8">
        <v>42933</v>
      </c>
      <c r="B1810" s="9">
        <v>0.6791666666666667</v>
      </c>
      <c r="C1810" s="10" t="str">
        <f>"FES1162562962"</f>
        <v>FES1162562962</v>
      </c>
      <c r="D1810" s="10" t="s">
        <v>19</v>
      </c>
      <c r="E1810" s="10" t="s">
        <v>326</v>
      </c>
      <c r="F1810" s="10" t="str">
        <f>"217057612 "</f>
        <v xml:space="preserve">217057612 </v>
      </c>
      <c r="G1810" s="10" t="str">
        <f t="shared" si="78"/>
        <v>ON1</v>
      </c>
      <c r="H1810" s="10" t="s">
        <v>21</v>
      </c>
      <c r="I1810" s="10" t="s">
        <v>327</v>
      </c>
      <c r="J1810" s="10" t="str">
        <f>""</f>
        <v/>
      </c>
      <c r="K1810" s="10" t="str">
        <f>"PFES1162562962_0001"</f>
        <v>PFES1162562962_0001</v>
      </c>
      <c r="L1810" s="10">
        <v>1</v>
      </c>
      <c r="M1810" s="10">
        <v>6</v>
      </c>
    </row>
    <row r="1811" spans="1:13">
      <c r="A1811" s="8">
        <v>42933</v>
      </c>
      <c r="B1811" s="9">
        <v>0.67847222222222225</v>
      </c>
      <c r="C1811" s="10" t="str">
        <f>"FES1162562894"</f>
        <v>FES1162562894</v>
      </c>
      <c r="D1811" s="10" t="s">
        <v>19</v>
      </c>
      <c r="E1811" s="10" t="s">
        <v>672</v>
      </c>
      <c r="F1811" s="10" t="str">
        <f>"2170578305 "</f>
        <v xml:space="preserve">2170578305 </v>
      </c>
      <c r="G1811" s="10" t="str">
        <f t="shared" si="78"/>
        <v>ON1</v>
      </c>
      <c r="H1811" s="10" t="s">
        <v>21</v>
      </c>
      <c r="I1811" s="10" t="s">
        <v>673</v>
      </c>
      <c r="J1811" s="10" t="str">
        <f>""</f>
        <v/>
      </c>
      <c r="K1811" s="10" t="str">
        <f>"PFES1162562894_0001"</f>
        <v>PFES1162562894_0001</v>
      </c>
      <c r="L1811" s="10">
        <v>1</v>
      </c>
      <c r="M1811" s="10">
        <v>10</v>
      </c>
    </row>
    <row r="1812" spans="1:13">
      <c r="A1812" s="8">
        <v>42933</v>
      </c>
      <c r="B1812" s="9">
        <v>0.65833333333333333</v>
      </c>
      <c r="C1812" s="10" t="str">
        <f>"FES1162562959"</f>
        <v>FES1162562959</v>
      </c>
      <c r="D1812" s="10" t="s">
        <v>19</v>
      </c>
      <c r="E1812" s="10" t="s">
        <v>875</v>
      </c>
      <c r="F1812" s="10" t="str">
        <f>"2170579604 "</f>
        <v xml:space="preserve">2170579604 </v>
      </c>
      <c r="G1812" s="10" t="str">
        <f t="shared" si="78"/>
        <v>ON1</v>
      </c>
      <c r="H1812" s="10" t="s">
        <v>21</v>
      </c>
      <c r="I1812" s="10" t="s">
        <v>876</v>
      </c>
      <c r="J1812" s="10" t="str">
        <f>""</f>
        <v/>
      </c>
      <c r="K1812" s="10" t="str">
        <f>"PFES1162562959_0001"</f>
        <v>PFES1162562959_0001</v>
      </c>
      <c r="L1812" s="10">
        <v>1</v>
      </c>
      <c r="M1812" s="10">
        <v>1</v>
      </c>
    </row>
    <row r="1813" spans="1:13">
      <c r="A1813" s="8">
        <v>42933</v>
      </c>
      <c r="B1813" s="9">
        <v>0.65763888888888888</v>
      </c>
      <c r="C1813" s="10" t="str">
        <f>"FES1162562957"</f>
        <v>FES1162562957</v>
      </c>
      <c r="D1813" s="10" t="s">
        <v>19</v>
      </c>
      <c r="E1813" s="10" t="s">
        <v>707</v>
      </c>
      <c r="F1813" s="10" t="str">
        <f>"2170579599 "</f>
        <v xml:space="preserve">2170579599 </v>
      </c>
      <c r="G1813" s="10" t="str">
        <f t="shared" si="78"/>
        <v>ON1</v>
      </c>
      <c r="H1813" s="10" t="s">
        <v>21</v>
      </c>
      <c r="I1813" s="10" t="s">
        <v>402</v>
      </c>
      <c r="J1813" s="10" t="str">
        <f>""</f>
        <v/>
      </c>
      <c r="K1813" s="10" t="str">
        <f>"PFES1162562957_0001"</f>
        <v>PFES1162562957_0001</v>
      </c>
      <c r="L1813" s="10">
        <v>1</v>
      </c>
      <c r="M1813" s="10">
        <v>1</v>
      </c>
    </row>
    <row r="1814" spans="1:13">
      <c r="A1814" s="8">
        <v>42933</v>
      </c>
      <c r="B1814" s="9">
        <v>0.65625</v>
      </c>
      <c r="C1814" s="10" t="str">
        <f>"FES1162562920"</f>
        <v>FES1162562920</v>
      </c>
      <c r="D1814" s="10" t="s">
        <v>19</v>
      </c>
      <c r="E1814" s="10" t="s">
        <v>118</v>
      </c>
      <c r="F1814" s="10" t="str">
        <f>"2170579579 "</f>
        <v xml:space="preserve">2170579579 </v>
      </c>
      <c r="G1814" s="10" t="str">
        <f t="shared" si="78"/>
        <v>ON1</v>
      </c>
      <c r="H1814" s="10" t="s">
        <v>21</v>
      </c>
      <c r="I1814" s="10" t="s">
        <v>119</v>
      </c>
      <c r="J1814" s="10" t="str">
        <f>""</f>
        <v/>
      </c>
      <c r="K1814" s="10" t="str">
        <f>"PFES1162562920_0001"</f>
        <v>PFES1162562920_0001</v>
      </c>
      <c r="L1814" s="10">
        <v>1</v>
      </c>
      <c r="M1814" s="10">
        <v>7</v>
      </c>
    </row>
    <row r="1815" spans="1:13">
      <c r="A1815" s="8">
        <v>42933</v>
      </c>
      <c r="B1815" s="9">
        <v>0.65486111111111112</v>
      </c>
      <c r="C1815" s="10" t="str">
        <f>"FES1162562876"</f>
        <v>FES1162562876</v>
      </c>
      <c r="D1815" s="10" t="s">
        <v>19</v>
      </c>
      <c r="E1815" s="10" t="s">
        <v>877</v>
      </c>
      <c r="F1815" s="10" t="str">
        <f>"2170579515 "</f>
        <v xml:space="preserve">2170579515 </v>
      </c>
      <c r="G1815" s="10" t="str">
        <f t="shared" si="78"/>
        <v>ON1</v>
      </c>
      <c r="H1815" s="10" t="s">
        <v>21</v>
      </c>
      <c r="I1815" s="10" t="s">
        <v>377</v>
      </c>
      <c r="J1815" s="10" t="str">
        <f>""</f>
        <v/>
      </c>
      <c r="K1815" s="10" t="str">
        <f>"PFES1162562876_0001"</f>
        <v>PFES1162562876_0001</v>
      </c>
      <c r="L1815" s="10">
        <v>1</v>
      </c>
      <c r="M1815" s="10">
        <v>3</v>
      </c>
    </row>
    <row r="1816" spans="1:13">
      <c r="A1816" s="8">
        <v>42933</v>
      </c>
      <c r="B1816" s="9">
        <v>0.65277777777777779</v>
      </c>
      <c r="C1816" s="10" t="str">
        <f>"FES1162562889"</f>
        <v>FES1162562889</v>
      </c>
      <c r="D1816" s="10" t="s">
        <v>19</v>
      </c>
      <c r="E1816" s="10" t="s">
        <v>873</v>
      </c>
      <c r="F1816" s="10" t="str">
        <f>"2170579531 "</f>
        <v xml:space="preserve">2170579531 </v>
      </c>
      <c r="G1816" s="10" t="str">
        <f t="shared" si="78"/>
        <v>ON1</v>
      </c>
      <c r="H1816" s="10" t="s">
        <v>21</v>
      </c>
      <c r="I1816" s="10" t="s">
        <v>874</v>
      </c>
      <c r="J1816" s="10" t="str">
        <f>""</f>
        <v/>
      </c>
      <c r="K1816" s="10" t="str">
        <f>"PFES1162562889_0001"</f>
        <v>PFES1162562889_0001</v>
      </c>
      <c r="L1816" s="10">
        <v>1</v>
      </c>
      <c r="M1816" s="10">
        <v>1</v>
      </c>
    </row>
    <row r="1817" spans="1:13">
      <c r="A1817" s="8">
        <v>42933</v>
      </c>
      <c r="B1817" s="9">
        <v>0.65138888888888891</v>
      </c>
      <c r="C1817" s="10" t="str">
        <f>"FES1162562945"</f>
        <v>FES1162562945</v>
      </c>
      <c r="D1817" s="10" t="s">
        <v>19</v>
      </c>
      <c r="E1817" s="10" t="s">
        <v>51</v>
      </c>
      <c r="F1817" s="10" t="str">
        <f>"2170579423 "</f>
        <v xml:space="preserve">2170579423 </v>
      </c>
      <c r="G1817" s="10" t="str">
        <f t="shared" si="78"/>
        <v>ON1</v>
      </c>
      <c r="H1817" s="10" t="s">
        <v>21</v>
      </c>
      <c r="I1817" s="10" t="s">
        <v>52</v>
      </c>
      <c r="J1817" s="10" t="str">
        <f>""</f>
        <v/>
      </c>
      <c r="K1817" s="10" t="str">
        <f>"PFES1162562945_0001"</f>
        <v>PFES1162562945_0001</v>
      </c>
      <c r="L1817" s="10">
        <v>1</v>
      </c>
      <c r="M1817" s="10">
        <v>1</v>
      </c>
    </row>
    <row r="1818" spans="1:13">
      <c r="A1818" s="8">
        <v>42933</v>
      </c>
      <c r="B1818" s="9">
        <v>0.65069444444444446</v>
      </c>
      <c r="C1818" s="10" t="str">
        <f>"FES1162562886"</f>
        <v>FES1162562886</v>
      </c>
      <c r="D1818" s="10" t="s">
        <v>19</v>
      </c>
      <c r="E1818" s="10" t="s">
        <v>379</v>
      </c>
      <c r="F1818" s="10" t="str">
        <f>"2170579525 "</f>
        <v xml:space="preserve">2170579525 </v>
      </c>
      <c r="G1818" s="10" t="str">
        <f t="shared" si="78"/>
        <v>ON1</v>
      </c>
      <c r="H1818" s="10" t="s">
        <v>21</v>
      </c>
      <c r="I1818" s="10" t="s">
        <v>380</v>
      </c>
      <c r="J1818" s="10" t="str">
        <f>""</f>
        <v/>
      </c>
      <c r="K1818" s="10" t="str">
        <f>"PFES1162562886_0001"</f>
        <v>PFES1162562886_0001</v>
      </c>
      <c r="L1818" s="10">
        <v>1</v>
      </c>
      <c r="M1818" s="10">
        <v>1</v>
      </c>
    </row>
    <row r="1819" spans="1:13">
      <c r="A1819" s="8">
        <v>42933</v>
      </c>
      <c r="B1819" s="9">
        <v>0.64930555555555558</v>
      </c>
      <c r="C1819" s="10" t="str">
        <f>"FES1162562890"</f>
        <v>FES1162562890</v>
      </c>
      <c r="D1819" s="10" t="s">
        <v>19</v>
      </c>
      <c r="E1819" s="10" t="s">
        <v>87</v>
      </c>
      <c r="F1819" s="10" t="str">
        <f>"2170579534 "</f>
        <v xml:space="preserve">2170579534 </v>
      </c>
      <c r="G1819" s="10" t="str">
        <f t="shared" si="78"/>
        <v>ON1</v>
      </c>
      <c r="H1819" s="10" t="s">
        <v>21</v>
      </c>
      <c r="I1819" s="10" t="s">
        <v>88</v>
      </c>
      <c r="J1819" s="10" t="str">
        <f>""</f>
        <v/>
      </c>
      <c r="K1819" s="10" t="str">
        <f>"PFES1162562890_0001"</f>
        <v>PFES1162562890_0001</v>
      </c>
      <c r="L1819" s="10">
        <v>1</v>
      </c>
      <c r="M1819" s="10">
        <v>7</v>
      </c>
    </row>
    <row r="1820" spans="1:13">
      <c r="A1820" s="8">
        <v>42933</v>
      </c>
      <c r="B1820" s="9">
        <v>0.64861111111111114</v>
      </c>
      <c r="C1820" s="10" t="str">
        <f>"FES1162562913"</f>
        <v>FES1162562913</v>
      </c>
      <c r="D1820" s="10" t="s">
        <v>19</v>
      </c>
      <c r="E1820" s="10" t="s">
        <v>361</v>
      </c>
      <c r="F1820" s="10" t="str">
        <f>"2170579569 "</f>
        <v xml:space="preserve">2170579569 </v>
      </c>
      <c r="G1820" s="10" t="str">
        <f t="shared" si="78"/>
        <v>ON1</v>
      </c>
      <c r="H1820" s="10" t="s">
        <v>21</v>
      </c>
      <c r="I1820" s="10" t="s">
        <v>106</v>
      </c>
      <c r="J1820" s="10" t="str">
        <f>""</f>
        <v/>
      </c>
      <c r="K1820" s="10" t="str">
        <f>"PFES1162562913_0001"</f>
        <v>PFES1162562913_0001</v>
      </c>
      <c r="L1820" s="10">
        <v>1</v>
      </c>
      <c r="M1820" s="10">
        <v>6</v>
      </c>
    </row>
    <row r="1821" spans="1:13">
      <c r="A1821" s="8">
        <v>42933</v>
      </c>
      <c r="B1821" s="9">
        <v>0.64722222222222225</v>
      </c>
      <c r="C1821" s="10" t="str">
        <f>"FES1162562936"</f>
        <v>FES1162562936</v>
      </c>
      <c r="D1821" s="10" t="s">
        <v>19</v>
      </c>
      <c r="E1821" s="10" t="s">
        <v>112</v>
      </c>
      <c r="F1821" s="10" t="str">
        <f>"2170577029 "</f>
        <v xml:space="preserve">2170577029 </v>
      </c>
      <c r="G1821" s="10" t="str">
        <f>"DBC"</f>
        <v>DBC</v>
      </c>
      <c r="H1821" s="10" t="s">
        <v>21</v>
      </c>
      <c r="I1821" s="10" t="s">
        <v>113</v>
      </c>
      <c r="J1821" s="10" t="str">
        <f>""</f>
        <v/>
      </c>
      <c r="K1821" s="10" t="str">
        <f>"PFES1162562936_0001"</f>
        <v>PFES1162562936_0001</v>
      </c>
      <c r="L1821" s="10">
        <v>1</v>
      </c>
      <c r="M1821" s="10">
        <v>26</v>
      </c>
    </row>
    <row r="1822" spans="1:13">
      <c r="A1822" s="8">
        <v>42933</v>
      </c>
      <c r="B1822" s="9">
        <v>0.64513888888888882</v>
      </c>
      <c r="C1822" s="10" t="str">
        <f>"FES1162562937"</f>
        <v>FES1162562937</v>
      </c>
      <c r="D1822" s="10" t="s">
        <v>19</v>
      </c>
      <c r="E1822" s="10" t="s">
        <v>33</v>
      </c>
      <c r="F1822" s="10" t="str">
        <f>"2170579309 "</f>
        <v xml:space="preserve">2170579309 </v>
      </c>
      <c r="G1822" s="10" t="str">
        <f>"DBC"</f>
        <v>DBC</v>
      </c>
      <c r="H1822" s="10" t="s">
        <v>21</v>
      </c>
      <c r="I1822" s="10" t="s">
        <v>34</v>
      </c>
      <c r="J1822" s="10" t="str">
        <f>""</f>
        <v/>
      </c>
      <c r="K1822" s="10" t="str">
        <f>"PFES1162562937_0001"</f>
        <v>PFES1162562937_0001</v>
      </c>
      <c r="L1822" s="10">
        <v>2</v>
      </c>
      <c r="M1822" s="10">
        <v>46</v>
      </c>
    </row>
    <row r="1823" spans="1:13">
      <c r="A1823" s="8">
        <v>42933</v>
      </c>
      <c r="B1823" s="9">
        <v>0.64513888888888882</v>
      </c>
      <c r="C1823" s="10" t="str">
        <f>"FES1162562937"</f>
        <v>FES1162562937</v>
      </c>
      <c r="D1823" s="10" t="s">
        <v>19</v>
      </c>
      <c r="E1823" s="10" t="s">
        <v>33</v>
      </c>
      <c r="F1823" s="10" t="str">
        <f>"2170579309 "</f>
        <v xml:space="preserve">2170579309 </v>
      </c>
      <c r="G1823" s="10" t="str">
        <f>"DBC"</f>
        <v>DBC</v>
      </c>
      <c r="H1823" s="10" t="s">
        <v>21</v>
      </c>
      <c r="I1823" s="10" t="s">
        <v>34</v>
      </c>
      <c r="J1823" s="10"/>
      <c r="K1823" s="10" t="str">
        <f>"PFES1162562937_0002"</f>
        <v>PFES1162562937_0002</v>
      </c>
      <c r="L1823" s="10">
        <v>2</v>
      </c>
      <c r="M1823" s="10">
        <v>46</v>
      </c>
    </row>
    <row r="1824" spans="1:13">
      <c r="A1824" s="8">
        <v>42933</v>
      </c>
      <c r="B1824" s="9">
        <v>0.63263888888888886</v>
      </c>
      <c r="C1824" s="10" t="str">
        <f>"FES1162562934"</f>
        <v>FES1162562934</v>
      </c>
      <c r="D1824" s="10" t="s">
        <v>19</v>
      </c>
      <c r="E1824" s="10" t="s">
        <v>184</v>
      </c>
      <c r="F1824" s="10" t="str">
        <f>"2170579589 "</f>
        <v xml:space="preserve">2170579589 </v>
      </c>
      <c r="G1824" s="10" t="str">
        <f>"ON1"</f>
        <v>ON1</v>
      </c>
      <c r="H1824" s="10" t="s">
        <v>21</v>
      </c>
      <c r="I1824" s="10" t="s">
        <v>185</v>
      </c>
      <c r="J1824" s="10" t="str">
        <f>""</f>
        <v/>
      </c>
      <c r="K1824" s="10" t="str">
        <f>"PFES1162562934_0001"</f>
        <v>PFES1162562934_0001</v>
      </c>
      <c r="L1824" s="10">
        <v>1</v>
      </c>
      <c r="M1824" s="10">
        <v>1</v>
      </c>
    </row>
    <row r="1825" spans="1:13">
      <c r="A1825" s="8">
        <v>42933</v>
      </c>
      <c r="B1825" s="9">
        <v>0.63055555555555554</v>
      </c>
      <c r="C1825" s="10" t="str">
        <f>"FES1162562908"</f>
        <v>FES1162562908</v>
      </c>
      <c r="D1825" s="10" t="s">
        <v>19</v>
      </c>
      <c r="E1825" s="10" t="s">
        <v>87</v>
      </c>
      <c r="F1825" s="10" t="str">
        <f>"217057955 "</f>
        <v xml:space="preserve">217057955 </v>
      </c>
      <c r="G1825" s="10" t="str">
        <f>"ON1"</f>
        <v>ON1</v>
      </c>
      <c r="H1825" s="10" t="s">
        <v>21</v>
      </c>
      <c r="I1825" s="10" t="s">
        <v>88</v>
      </c>
      <c r="J1825" s="10" t="str">
        <f>""</f>
        <v/>
      </c>
      <c r="K1825" s="10" t="str">
        <f>"PFES1162562908_0001"</f>
        <v>PFES1162562908_0001</v>
      </c>
      <c r="L1825" s="10">
        <v>1</v>
      </c>
      <c r="M1825" s="10">
        <v>1</v>
      </c>
    </row>
    <row r="1826" spans="1:13">
      <c r="A1826" s="8">
        <v>42933</v>
      </c>
      <c r="B1826" s="9">
        <v>0.62847222222222221</v>
      </c>
      <c r="C1826" s="10" t="str">
        <f>"FES1162562902"</f>
        <v>FES1162562902</v>
      </c>
      <c r="D1826" s="10" t="s">
        <v>19</v>
      </c>
      <c r="E1826" s="10" t="s">
        <v>329</v>
      </c>
      <c r="F1826" s="10" t="str">
        <f>"2170579551 "</f>
        <v xml:space="preserve">2170579551 </v>
      </c>
      <c r="G1826" s="10" t="str">
        <f>"ON1"</f>
        <v>ON1</v>
      </c>
      <c r="H1826" s="10" t="s">
        <v>21</v>
      </c>
      <c r="I1826" s="10" t="s">
        <v>330</v>
      </c>
      <c r="J1826" s="10" t="str">
        <f>""</f>
        <v/>
      </c>
      <c r="K1826" s="10" t="str">
        <f>"PFES1162562902_0001"</f>
        <v>PFES1162562902_0001</v>
      </c>
      <c r="L1826" s="10">
        <v>1</v>
      </c>
      <c r="M1826" s="10">
        <v>1</v>
      </c>
    </row>
    <row r="1827" spans="1:13">
      <c r="A1827" s="8">
        <v>42933</v>
      </c>
      <c r="B1827" s="9">
        <v>0.62777777777777777</v>
      </c>
      <c r="C1827" s="10" t="str">
        <f>"FES1162562620"</f>
        <v>FES1162562620</v>
      </c>
      <c r="D1827" s="10" t="s">
        <v>19</v>
      </c>
      <c r="E1827" s="10" t="s">
        <v>878</v>
      </c>
      <c r="F1827" s="10" t="str">
        <f>"2170574311 "</f>
        <v xml:space="preserve">2170574311 </v>
      </c>
      <c r="G1827" s="10" t="str">
        <f>"DBC"</f>
        <v>DBC</v>
      </c>
      <c r="H1827" s="10" t="s">
        <v>21</v>
      </c>
      <c r="I1827" s="10" t="s">
        <v>443</v>
      </c>
      <c r="J1827" s="10" t="str">
        <f>""</f>
        <v/>
      </c>
      <c r="K1827" s="10" t="str">
        <f>"PFES1162562620_0001"</f>
        <v>PFES1162562620_0001</v>
      </c>
      <c r="L1827" s="10">
        <v>1</v>
      </c>
      <c r="M1827" s="10">
        <v>19</v>
      </c>
    </row>
    <row r="1828" spans="1:13">
      <c r="A1828" s="8">
        <v>42933</v>
      </c>
      <c r="B1828" s="9">
        <v>0.62777777777777777</v>
      </c>
      <c r="C1828" s="10" t="str">
        <f>"FES1162562874"</f>
        <v>FES1162562874</v>
      </c>
      <c r="D1828" s="10" t="s">
        <v>19</v>
      </c>
      <c r="E1828" s="10" t="s">
        <v>879</v>
      </c>
      <c r="F1828" s="10" t="str">
        <f>"2170579509 "</f>
        <v xml:space="preserve">2170579509 </v>
      </c>
      <c r="G1828" s="10" t="str">
        <f t="shared" ref="G1828:G1839" si="79">"ON1"</f>
        <v>ON1</v>
      </c>
      <c r="H1828" s="10" t="s">
        <v>21</v>
      </c>
      <c r="I1828" s="10" t="s">
        <v>412</v>
      </c>
      <c r="J1828" s="10" t="str">
        <f>""</f>
        <v/>
      </c>
      <c r="K1828" s="10" t="str">
        <f>"PFES1162562874_0001"</f>
        <v>PFES1162562874_0001</v>
      </c>
      <c r="L1828" s="10">
        <v>1</v>
      </c>
      <c r="M1828" s="10">
        <v>1</v>
      </c>
    </row>
    <row r="1829" spans="1:13">
      <c r="A1829" s="8">
        <v>42933</v>
      </c>
      <c r="B1829" s="9">
        <v>0.62638888888888888</v>
      </c>
      <c r="C1829" s="10" t="str">
        <f>"FES1162562907"</f>
        <v>FES1162562907</v>
      </c>
      <c r="D1829" s="10" t="s">
        <v>19</v>
      </c>
      <c r="E1829" s="10" t="s">
        <v>87</v>
      </c>
      <c r="F1829" s="10" t="str">
        <f>"2170579556 "</f>
        <v xml:space="preserve">2170579556 </v>
      </c>
      <c r="G1829" s="10" t="str">
        <f t="shared" si="79"/>
        <v>ON1</v>
      </c>
      <c r="H1829" s="10" t="s">
        <v>21</v>
      </c>
      <c r="I1829" s="10" t="s">
        <v>88</v>
      </c>
      <c r="J1829" s="10" t="str">
        <f>""</f>
        <v/>
      </c>
      <c r="K1829" s="10" t="str">
        <f>"PFES1162562907_0001"</f>
        <v>PFES1162562907_0001</v>
      </c>
      <c r="L1829" s="10">
        <v>1</v>
      </c>
      <c r="M1829" s="10">
        <v>1</v>
      </c>
    </row>
    <row r="1830" spans="1:13">
      <c r="A1830" s="8">
        <v>42933</v>
      </c>
      <c r="B1830" s="9">
        <v>0.625</v>
      </c>
      <c r="C1830" s="10" t="str">
        <f>"FES1162562901"</f>
        <v>FES1162562901</v>
      </c>
      <c r="D1830" s="10" t="s">
        <v>19</v>
      </c>
      <c r="E1830" s="10" t="s">
        <v>880</v>
      </c>
      <c r="F1830" s="10" t="str">
        <f>"2170579550 "</f>
        <v xml:space="preserve">2170579550 </v>
      </c>
      <c r="G1830" s="10" t="str">
        <f t="shared" si="79"/>
        <v>ON1</v>
      </c>
      <c r="H1830" s="10" t="s">
        <v>21</v>
      </c>
      <c r="I1830" s="10" t="s">
        <v>32</v>
      </c>
      <c r="J1830" s="10" t="str">
        <f>""</f>
        <v/>
      </c>
      <c r="K1830" s="10" t="str">
        <f>"PFES1162562901_0001"</f>
        <v>PFES1162562901_0001</v>
      </c>
      <c r="L1830" s="10">
        <v>1</v>
      </c>
      <c r="M1830" s="10">
        <v>1</v>
      </c>
    </row>
    <row r="1831" spans="1:13">
      <c r="A1831" s="8">
        <v>42933</v>
      </c>
      <c r="B1831" s="9">
        <v>0.62361111111111112</v>
      </c>
      <c r="C1831" s="10" t="str">
        <f>"FES1162562919"</f>
        <v>FES1162562919</v>
      </c>
      <c r="D1831" s="10" t="s">
        <v>19</v>
      </c>
      <c r="E1831" s="10" t="s">
        <v>881</v>
      </c>
      <c r="F1831" s="10" t="str">
        <f>"2170579577 "</f>
        <v xml:space="preserve">2170579577 </v>
      </c>
      <c r="G1831" s="10" t="str">
        <f t="shared" si="79"/>
        <v>ON1</v>
      </c>
      <c r="H1831" s="10" t="s">
        <v>21</v>
      </c>
      <c r="I1831" s="10" t="s">
        <v>882</v>
      </c>
      <c r="J1831" s="10" t="str">
        <f>""</f>
        <v/>
      </c>
      <c r="K1831" s="10" t="str">
        <f>"PFES1162562919_0001"</f>
        <v>PFES1162562919_0001</v>
      </c>
      <c r="L1831" s="10">
        <v>1</v>
      </c>
      <c r="M1831" s="10">
        <v>1</v>
      </c>
    </row>
    <row r="1832" spans="1:13">
      <c r="A1832" s="8">
        <v>42933</v>
      </c>
      <c r="B1832" s="9">
        <v>0.62291666666666667</v>
      </c>
      <c r="C1832" s="10" t="str">
        <f>"FES1162562882"</f>
        <v>FES1162562882</v>
      </c>
      <c r="D1832" s="10" t="s">
        <v>19</v>
      </c>
      <c r="E1832" s="10" t="s">
        <v>87</v>
      </c>
      <c r="F1832" s="10" t="str">
        <f>"2170579523 "</f>
        <v xml:space="preserve">2170579523 </v>
      </c>
      <c r="G1832" s="10" t="str">
        <f t="shared" si="79"/>
        <v>ON1</v>
      </c>
      <c r="H1832" s="10" t="s">
        <v>21</v>
      </c>
      <c r="I1832" s="10" t="s">
        <v>88</v>
      </c>
      <c r="J1832" s="10" t="str">
        <f>""</f>
        <v/>
      </c>
      <c r="K1832" s="10" t="str">
        <f>"PFES1162562882_0001"</f>
        <v>PFES1162562882_0001</v>
      </c>
      <c r="L1832" s="10">
        <v>1</v>
      </c>
      <c r="M1832" s="10">
        <v>1</v>
      </c>
    </row>
    <row r="1833" spans="1:13">
      <c r="A1833" s="8">
        <v>42933</v>
      </c>
      <c r="B1833" s="9">
        <v>0.62222222222222223</v>
      </c>
      <c r="C1833" s="10" t="str">
        <f>"FES1162562906"</f>
        <v>FES1162562906</v>
      </c>
      <c r="D1833" s="10" t="s">
        <v>19</v>
      </c>
      <c r="E1833" s="10" t="s">
        <v>87</v>
      </c>
      <c r="F1833" s="10" t="str">
        <f>"2170579553 "</f>
        <v xml:space="preserve">2170579553 </v>
      </c>
      <c r="G1833" s="10" t="str">
        <f t="shared" si="79"/>
        <v>ON1</v>
      </c>
      <c r="H1833" s="10" t="s">
        <v>21</v>
      </c>
      <c r="I1833" s="10" t="s">
        <v>88</v>
      </c>
      <c r="J1833" s="10" t="str">
        <f>""</f>
        <v/>
      </c>
      <c r="K1833" s="10" t="str">
        <f>"PFES1162562906_0001"</f>
        <v>PFES1162562906_0001</v>
      </c>
      <c r="L1833" s="10">
        <v>1</v>
      </c>
      <c r="M1833" s="10">
        <v>1</v>
      </c>
    </row>
    <row r="1834" spans="1:13">
      <c r="A1834" s="8">
        <v>42933</v>
      </c>
      <c r="B1834" s="9">
        <v>0.62152777777777779</v>
      </c>
      <c r="C1834" s="10" t="str">
        <f>"FES1162562887"</f>
        <v>FES1162562887</v>
      </c>
      <c r="D1834" s="10" t="s">
        <v>19</v>
      </c>
      <c r="E1834" s="10" t="s">
        <v>883</v>
      </c>
      <c r="F1834" s="10" t="str">
        <f>"2170579527 "</f>
        <v xml:space="preserve">2170579527 </v>
      </c>
      <c r="G1834" s="10" t="str">
        <f t="shared" si="79"/>
        <v>ON1</v>
      </c>
      <c r="H1834" s="10" t="s">
        <v>21</v>
      </c>
      <c r="I1834" s="10" t="s">
        <v>90</v>
      </c>
      <c r="J1834" s="10" t="str">
        <f>""</f>
        <v/>
      </c>
      <c r="K1834" s="10" t="str">
        <f>"PFES1162562887_0001"</f>
        <v>PFES1162562887_0001</v>
      </c>
      <c r="L1834" s="10">
        <v>1</v>
      </c>
      <c r="M1834" s="10">
        <v>3</v>
      </c>
    </row>
    <row r="1835" spans="1:13">
      <c r="A1835" s="8">
        <v>42933</v>
      </c>
      <c r="B1835" s="9">
        <v>0.62013888888888891</v>
      </c>
      <c r="C1835" s="10" t="str">
        <f>"FES1162562870"</f>
        <v>FES1162562870</v>
      </c>
      <c r="D1835" s="10" t="s">
        <v>19</v>
      </c>
      <c r="E1835" s="10" t="s">
        <v>33</v>
      </c>
      <c r="F1835" s="10" t="str">
        <f>"2170579505 "</f>
        <v xml:space="preserve">2170579505 </v>
      </c>
      <c r="G1835" s="10" t="str">
        <f t="shared" si="79"/>
        <v>ON1</v>
      </c>
      <c r="H1835" s="10" t="s">
        <v>21</v>
      </c>
      <c r="I1835" s="10" t="s">
        <v>34</v>
      </c>
      <c r="J1835" s="10" t="str">
        <f>""</f>
        <v/>
      </c>
      <c r="K1835" s="10" t="str">
        <f>"PFES1162562870_0001"</f>
        <v>PFES1162562870_0001</v>
      </c>
      <c r="L1835" s="10">
        <v>1</v>
      </c>
      <c r="M1835" s="10">
        <v>2</v>
      </c>
    </row>
    <row r="1836" spans="1:13">
      <c r="A1836" s="8">
        <v>42933</v>
      </c>
      <c r="B1836" s="9">
        <v>0.61944444444444446</v>
      </c>
      <c r="C1836" s="10" t="str">
        <f>"FES1162562881"</f>
        <v>FES1162562881</v>
      </c>
      <c r="D1836" s="10" t="s">
        <v>19</v>
      </c>
      <c r="E1836" s="10" t="s">
        <v>87</v>
      </c>
      <c r="F1836" s="10" t="str">
        <f>"2170579522 "</f>
        <v xml:space="preserve">2170579522 </v>
      </c>
      <c r="G1836" s="10" t="str">
        <f t="shared" si="79"/>
        <v>ON1</v>
      </c>
      <c r="H1836" s="10" t="s">
        <v>21</v>
      </c>
      <c r="I1836" s="10" t="s">
        <v>88</v>
      </c>
      <c r="J1836" s="10" t="str">
        <f>""</f>
        <v/>
      </c>
      <c r="K1836" s="10" t="str">
        <f>"PFES1162562881_0001"</f>
        <v>PFES1162562881_0001</v>
      </c>
      <c r="L1836" s="10">
        <v>1</v>
      </c>
      <c r="M1836" s="10">
        <v>4</v>
      </c>
    </row>
    <row r="1837" spans="1:13">
      <c r="A1837" s="8">
        <v>42933</v>
      </c>
      <c r="B1837" s="9">
        <v>0.61041666666666672</v>
      </c>
      <c r="C1837" s="10" t="str">
        <f>"FES1162562914"</f>
        <v>FES1162562914</v>
      </c>
      <c r="D1837" s="10" t="s">
        <v>19</v>
      </c>
      <c r="E1837" s="10" t="s">
        <v>62</v>
      </c>
      <c r="F1837" s="10" t="str">
        <f>"2170579571 "</f>
        <v xml:space="preserve">2170579571 </v>
      </c>
      <c r="G1837" s="10" t="str">
        <f t="shared" si="79"/>
        <v>ON1</v>
      </c>
      <c r="H1837" s="10" t="s">
        <v>21</v>
      </c>
      <c r="I1837" s="10" t="s">
        <v>40</v>
      </c>
      <c r="J1837" s="10" t="str">
        <f>""</f>
        <v/>
      </c>
      <c r="K1837" s="10" t="str">
        <f>"PFES1162562914_0001"</f>
        <v>PFES1162562914_0001</v>
      </c>
      <c r="L1837" s="10">
        <v>1</v>
      </c>
      <c r="M1837" s="10">
        <v>1</v>
      </c>
    </row>
    <row r="1838" spans="1:13">
      <c r="A1838" s="8">
        <v>42933</v>
      </c>
      <c r="B1838" s="9">
        <v>0.60902777777777783</v>
      </c>
      <c r="C1838" s="10" t="str">
        <f>"FES1162562604"</f>
        <v>FES1162562604</v>
      </c>
      <c r="D1838" s="10" t="s">
        <v>19</v>
      </c>
      <c r="E1838" s="10" t="s">
        <v>853</v>
      </c>
      <c r="F1838" s="10" t="str">
        <f>"2170579207 "</f>
        <v xml:space="preserve">2170579207 </v>
      </c>
      <c r="G1838" s="10" t="str">
        <f t="shared" si="79"/>
        <v>ON1</v>
      </c>
      <c r="H1838" s="10" t="s">
        <v>21</v>
      </c>
      <c r="I1838" s="10" t="s">
        <v>179</v>
      </c>
      <c r="J1838" s="10" t="str">
        <f>""</f>
        <v/>
      </c>
      <c r="K1838" s="10" t="str">
        <f>"PFES1162562604_0001"</f>
        <v>PFES1162562604_0001</v>
      </c>
      <c r="L1838" s="10">
        <v>1</v>
      </c>
      <c r="M1838" s="10">
        <v>3</v>
      </c>
    </row>
    <row r="1839" spans="1:13">
      <c r="A1839" s="8">
        <v>42933</v>
      </c>
      <c r="B1839" s="9">
        <v>0.60486111111111118</v>
      </c>
      <c r="C1839" s="10" t="str">
        <f>"FES1162562896"</f>
        <v>FES1162562896</v>
      </c>
      <c r="D1839" s="10" t="s">
        <v>19</v>
      </c>
      <c r="E1839" s="10" t="s">
        <v>854</v>
      </c>
      <c r="F1839" s="10" t="str">
        <f>"2170579181 "</f>
        <v xml:space="preserve">2170579181 </v>
      </c>
      <c r="G1839" s="10" t="str">
        <f t="shared" si="79"/>
        <v>ON1</v>
      </c>
      <c r="H1839" s="10" t="s">
        <v>21</v>
      </c>
      <c r="I1839" s="10" t="s">
        <v>224</v>
      </c>
      <c r="J1839" s="10" t="str">
        <f>""</f>
        <v/>
      </c>
      <c r="K1839" s="10" t="str">
        <f>"PFES1162562896_0001"</f>
        <v>PFES1162562896_0001</v>
      </c>
      <c r="L1839" s="10">
        <v>1</v>
      </c>
      <c r="M1839" s="10">
        <v>10</v>
      </c>
    </row>
    <row r="1840" spans="1:13">
      <c r="A1840" s="8">
        <v>42933</v>
      </c>
      <c r="B1840" s="9">
        <v>0.60277777777777775</v>
      </c>
      <c r="C1840" s="10" t="str">
        <f>"FES1162562851"</f>
        <v>FES1162562851</v>
      </c>
      <c r="D1840" s="10" t="s">
        <v>19</v>
      </c>
      <c r="E1840" s="10" t="s">
        <v>210</v>
      </c>
      <c r="F1840" s="10" t="str">
        <f>"2170575659 "</f>
        <v xml:space="preserve">2170575659 </v>
      </c>
      <c r="G1840" s="10" t="str">
        <f>"ON2"</f>
        <v>ON2</v>
      </c>
      <c r="H1840" s="10" t="s">
        <v>21</v>
      </c>
      <c r="I1840" s="10" t="s">
        <v>32</v>
      </c>
      <c r="J1840" s="10" t="str">
        <f>""</f>
        <v/>
      </c>
      <c r="K1840" s="10" t="str">
        <f>"PFES1162562851_0001"</f>
        <v>PFES1162562851_0001</v>
      </c>
      <c r="L1840" s="10">
        <v>2</v>
      </c>
      <c r="M1840" s="10">
        <v>6</v>
      </c>
    </row>
    <row r="1841" spans="1:13">
      <c r="A1841" s="8">
        <v>42933</v>
      </c>
      <c r="B1841" s="9">
        <v>0.60277777777777775</v>
      </c>
      <c r="C1841" s="10" t="str">
        <f>"FES1162562851"</f>
        <v>FES1162562851</v>
      </c>
      <c r="D1841" s="10" t="s">
        <v>19</v>
      </c>
      <c r="E1841" s="10" t="s">
        <v>210</v>
      </c>
      <c r="F1841" s="10" t="str">
        <f>"2170575659 "</f>
        <v xml:space="preserve">2170575659 </v>
      </c>
      <c r="G1841" s="10" t="str">
        <f>"ON2"</f>
        <v>ON2</v>
      </c>
      <c r="H1841" s="10" t="s">
        <v>21</v>
      </c>
      <c r="I1841" s="10" t="s">
        <v>32</v>
      </c>
      <c r="J1841" s="10"/>
      <c r="K1841" s="10" t="str">
        <f>"PFES1162562851_0002"</f>
        <v>PFES1162562851_0002</v>
      </c>
      <c r="L1841" s="10">
        <v>2</v>
      </c>
      <c r="M1841" s="10">
        <v>6</v>
      </c>
    </row>
    <row r="1842" spans="1:13">
      <c r="A1842" s="8">
        <v>42933</v>
      </c>
      <c r="B1842" s="9">
        <v>0.60138888888888886</v>
      </c>
      <c r="C1842" s="10" t="str">
        <f>"FES1162562904"</f>
        <v>FES1162562904</v>
      </c>
      <c r="D1842" s="10" t="s">
        <v>19</v>
      </c>
      <c r="E1842" s="10" t="s">
        <v>855</v>
      </c>
      <c r="F1842" s="10" t="str">
        <f>"2170572701 "</f>
        <v xml:space="preserve">2170572701 </v>
      </c>
      <c r="G1842" s="10" t="str">
        <f>"ON1"</f>
        <v>ON1</v>
      </c>
      <c r="H1842" s="10" t="s">
        <v>21</v>
      </c>
      <c r="I1842" s="10" t="s">
        <v>240</v>
      </c>
      <c r="J1842" s="10" t="str">
        <f>""</f>
        <v/>
      </c>
      <c r="K1842" s="10" t="str">
        <f>"PFES1162562904_0001"</f>
        <v>PFES1162562904_0001</v>
      </c>
      <c r="L1842" s="10">
        <v>1</v>
      </c>
      <c r="M1842" s="10">
        <v>15</v>
      </c>
    </row>
    <row r="1843" spans="1:13">
      <c r="A1843" s="8">
        <v>42933</v>
      </c>
      <c r="B1843" s="9">
        <v>0.60069444444444442</v>
      </c>
      <c r="C1843" s="10" t="str">
        <f>"FES1162562871"</f>
        <v>FES1162562871</v>
      </c>
      <c r="D1843" s="10" t="s">
        <v>19</v>
      </c>
      <c r="E1843" s="10" t="s">
        <v>33</v>
      </c>
      <c r="F1843" s="10" t="str">
        <f>"2170579506 "</f>
        <v xml:space="preserve">2170579506 </v>
      </c>
      <c r="G1843" s="10" t="str">
        <f>"ON1"</f>
        <v>ON1</v>
      </c>
      <c r="H1843" s="10" t="s">
        <v>21</v>
      </c>
      <c r="I1843" s="10" t="s">
        <v>34</v>
      </c>
      <c r="J1843" s="10" t="str">
        <f>""</f>
        <v/>
      </c>
      <c r="K1843" s="10" t="str">
        <f>"PFES1162562871_0001"</f>
        <v>PFES1162562871_0001</v>
      </c>
      <c r="L1843" s="10">
        <v>1</v>
      </c>
      <c r="M1843" s="10">
        <v>1</v>
      </c>
    </row>
    <row r="1844" spans="1:13">
      <c r="A1844" s="8">
        <v>42933</v>
      </c>
      <c r="B1844" s="9">
        <v>0.59930555555555554</v>
      </c>
      <c r="C1844" s="10" t="str">
        <f>"FES1162562856"</f>
        <v>FES1162562856</v>
      </c>
      <c r="D1844" s="10" t="s">
        <v>19</v>
      </c>
      <c r="E1844" s="10" t="s">
        <v>47</v>
      </c>
      <c r="F1844" s="10" t="str">
        <f>"2170579487 "</f>
        <v xml:space="preserve">2170579487 </v>
      </c>
      <c r="G1844" s="10" t="str">
        <f>"ON1"</f>
        <v>ON1</v>
      </c>
      <c r="H1844" s="10" t="s">
        <v>21</v>
      </c>
      <c r="I1844" s="10" t="s">
        <v>48</v>
      </c>
      <c r="J1844" s="10" t="str">
        <f>""</f>
        <v/>
      </c>
      <c r="K1844" s="10" t="str">
        <f>"PFES1162562856_0001"</f>
        <v>PFES1162562856_0001</v>
      </c>
      <c r="L1844" s="10">
        <v>1</v>
      </c>
      <c r="M1844" s="10">
        <v>1</v>
      </c>
    </row>
    <row r="1845" spans="1:13">
      <c r="A1845" s="8">
        <v>42933</v>
      </c>
      <c r="B1845" s="9">
        <v>0.59861111111111109</v>
      </c>
      <c r="C1845" s="10" t="str">
        <f>"FES1162562905"</f>
        <v>FES1162562905</v>
      </c>
      <c r="D1845" s="10" t="s">
        <v>19</v>
      </c>
      <c r="E1845" s="10" t="s">
        <v>855</v>
      </c>
      <c r="F1845" s="10" t="str">
        <f>"2170574026 "</f>
        <v xml:space="preserve">2170574026 </v>
      </c>
      <c r="G1845" s="10" t="str">
        <f>"ON1"</f>
        <v>ON1</v>
      </c>
      <c r="H1845" s="10" t="s">
        <v>21</v>
      </c>
      <c r="I1845" s="10" t="s">
        <v>240</v>
      </c>
      <c r="J1845" s="10" t="str">
        <f>""</f>
        <v/>
      </c>
      <c r="K1845" s="10" t="str">
        <f>"PFES1162562905_0001"</f>
        <v>PFES1162562905_0001</v>
      </c>
      <c r="L1845" s="10">
        <v>1</v>
      </c>
      <c r="M1845" s="10">
        <v>1</v>
      </c>
    </row>
    <row r="1846" spans="1:13">
      <c r="A1846" s="8">
        <v>42930</v>
      </c>
      <c r="B1846" s="9">
        <v>0.62777777777777777</v>
      </c>
      <c r="C1846" s="10" t="str">
        <f>"FES1162562685"</f>
        <v>FES1162562685</v>
      </c>
      <c r="D1846" s="10" t="s">
        <v>19</v>
      </c>
      <c r="E1846" s="10" t="s">
        <v>884</v>
      </c>
      <c r="F1846" s="10" t="str">
        <f>"2170579291 "</f>
        <v xml:space="preserve">2170579291 </v>
      </c>
      <c r="G1846" s="10" t="str">
        <f t="shared" ref="G1846:G1859" si="80">"ON1"</f>
        <v>ON1</v>
      </c>
      <c r="H1846" s="10" t="s">
        <v>21</v>
      </c>
      <c r="I1846" s="10" t="s">
        <v>885</v>
      </c>
      <c r="J1846" s="10" t="str">
        <f>""</f>
        <v/>
      </c>
      <c r="K1846" s="10" t="str">
        <f>"PFES1162562685_0001"</f>
        <v>PFES1162562685_0001</v>
      </c>
      <c r="L1846" s="10">
        <v>1</v>
      </c>
      <c r="M1846" s="10">
        <v>3</v>
      </c>
    </row>
    <row r="1847" spans="1:13">
      <c r="A1847" s="8">
        <v>42930</v>
      </c>
      <c r="B1847" s="9">
        <v>0.62638888888888888</v>
      </c>
      <c r="C1847" s="10" t="str">
        <f>"FES1162562683"</f>
        <v>FES1162562683</v>
      </c>
      <c r="D1847" s="10" t="s">
        <v>19</v>
      </c>
      <c r="E1847" s="10" t="s">
        <v>669</v>
      </c>
      <c r="F1847" s="10" t="str">
        <f>"2170579289 "</f>
        <v xml:space="preserve">2170579289 </v>
      </c>
      <c r="G1847" s="10" t="str">
        <f t="shared" si="80"/>
        <v>ON1</v>
      </c>
      <c r="H1847" s="10" t="s">
        <v>21</v>
      </c>
      <c r="I1847" s="10" t="s">
        <v>670</v>
      </c>
      <c r="J1847" s="10" t="str">
        <f>""</f>
        <v/>
      </c>
      <c r="K1847" s="10" t="str">
        <f>"PFES1162562683_0001"</f>
        <v>PFES1162562683_0001</v>
      </c>
      <c r="L1847" s="10">
        <v>1</v>
      </c>
      <c r="M1847" s="10">
        <v>1</v>
      </c>
    </row>
    <row r="1848" spans="1:13">
      <c r="A1848" s="8">
        <v>42930</v>
      </c>
      <c r="B1848" s="9">
        <v>0.62569444444444444</v>
      </c>
      <c r="C1848" s="10" t="str">
        <f>"FES1162562688"</f>
        <v>FES1162562688</v>
      </c>
      <c r="D1848" s="10" t="s">
        <v>19</v>
      </c>
      <c r="E1848" s="10" t="s">
        <v>129</v>
      </c>
      <c r="F1848" s="10" t="str">
        <f>"2170579294 "</f>
        <v xml:space="preserve">2170579294 </v>
      </c>
      <c r="G1848" s="10" t="str">
        <f t="shared" si="80"/>
        <v>ON1</v>
      </c>
      <c r="H1848" s="10" t="s">
        <v>21</v>
      </c>
      <c r="I1848" s="10" t="s">
        <v>130</v>
      </c>
      <c r="J1848" s="10" t="str">
        <f>""</f>
        <v/>
      </c>
      <c r="K1848" s="10" t="str">
        <f>"PFES1162562688_0001"</f>
        <v>PFES1162562688_0001</v>
      </c>
      <c r="L1848" s="10">
        <v>1</v>
      </c>
      <c r="M1848" s="10">
        <v>4</v>
      </c>
    </row>
    <row r="1849" spans="1:13">
      <c r="A1849" s="8">
        <v>42930</v>
      </c>
      <c r="B1849" s="9">
        <v>0.62291666666666667</v>
      </c>
      <c r="C1849" s="10" t="str">
        <f>"FES1162562693"</f>
        <v>FES1162562693</v>
      </c>
      <c r="D1849" s="10" t="s">
        <v>19</v>
      </c>
      <c r="E1849" s="10" t="s">
        <v>886</v>
      </c>
      <c r="F1849" s="10" t="str">
        <f>"2170579300 "</f>
        <v xml:space="preserve">2170579300 </v>
      </c>
      <c r="G1849" s="10" t="str">
        <f t="shared" si="80"/>
        <v>ON1</v>
      </c>
      <c r="H1849" s="10" t="s">
        <v>21</v>
      </c>
      <c r="I1849" s="10" t="s">
        <v>887</v>
      </c>
      <c r="J1849" s="10" t="str">
        <f>""</f>
        <v/>
      </c>
      <c r="K1849" s="10" t="str">
        <f>"PFES1162562693_0001"</f>
        <v>PFES1162562693_0001</v>
      </c>
      <c r="L1849" s="10">
        <v>1</v>
      </c>
      <c r="M1849" s="10">
        <v>1</v>
      </c>
    </row>
    <row r="1850" spans="1:13">
      <c r="A1850" s="8">
        <v>42930</v>
      </c>
      <c r="B1850" s="9">
        <v>0.62222222222222223</v>
      </c>
      <c r="C1850" s="10" t="str">
        <f>"FES1162562691"</f>
        <v>FES1162562691</v>
      </c>
      <c r="D1850" s="10" t="s">
        <v>19</v>
      </c>
      <c r="E1850" s="10" t="s">
        <v>690</v>
      </c>
      <c r="F1850" s="10" t="str">
        <f>"2170577205 "</f>
        <v xml:space="preserve">2170577205 </v>
      </c>
      <c r="G1850" s="10" t="str">
        <f t="shared" si="80"/>
        <v>ON1</v>
      </c>
      <c r="H1850" s="10" t="s">
        <v>21</v>
      </c>
      <c r="I1850" s="10" t="s">
        <v>691</v>
      </c>
      <c r="J1850" s="10" t="str">
        <f>""</f>
        <v/>
      </c>
      <c r="K1850" s="10" t="str">
        <f>"PFES1162562691_0001"</f>
        <v>PFES1162562691_0001</v>
      </c>
      <c r="L1850" s="10">
        <v>1</v>
      </c>
      <c r="M1850" s="10">
        <v>2</v>
      </c>
    </row>
    <row r="1851" spans="1:13">
      <c r="A1851" s="8">
        <v>42930</v>
      </c>
      <c r="B1851" s="9">
        <v>0.62152777777777779</v>
      </c>
      <c r="C1851" s="10" t="str">
        <f>"FES1162562689"</f>
        <v>FES1162562689</v>
      </c>
      <c r="D1851" s="10" t="s">
        <v>19</v>
      </c>
      <c r="E1851" s="10" t="s">
        <v>888</v>
      </c>
      <c r="F1851" s="10" t="str">
        <f>"217057926 "</f>
        <v xml:space="preserve">217057926 </v>
      </c>
      <c r="G1851" s="10" t="str">
        <f t="shared" si="80"/>
        <v>ON1</v>
      </c>
      <c r="H1851" s="10" t="s">
        <v>21</v>
      </c>
      <c r="I1851" s="10" t="s">
        <v>889</v>
      </c>
      <c r="J1851" s="10" t="str">
        <f>""</f>
        <v/>
      </c>
      <c r="K1851" s="10" t="str">
        <f>"PFES1162562689_0001"</f>
        <v>PFES1162562689_0001</v>
      </c>
      <c r="L1851" s="10">
        <v>1</v>
      </c>
      <c r="M1851" s="10">
        <v>1</v>
      </c>
    </row>
    <row r="1852" spans="1:13">
      <c r="A1852" s="8">
        <v>42930</v>
      </c>
      <c r="B1852" s="9">
        <v>0.62152777777777779</v>
      </c>
      <c r="C1852" s="10" t="str">
        <f>"FES1162562690"</f>
        <v>FES1162562690</v>
      </c>
      <c r="D1852" s="10" t="s">
        <v>19</v>
      </c>
      <c r="E1852" s="10" t="s">
        <v>690</v>
      </c>
      <c r="F1852" s="10" t="str">
        <f>"2170577215 "</f>
        <v xml:space="preserve">2170577215 </v>
      </c>
      <c r="G1852" s="10" t="str">
        <f t="shared" si="80"/>
        <v>ON1</v>
      </c>
      <c r="H1852" s="10" t="s">
        <v>21</v>
      </c>
      <c r="I1852" s="10" t="s">
        <v>691</v>
      </c>
      <c r="J1852" s="10" t="str">
        <f>""</f>
        <v/>
      </c>
      <c r="K1852" s="10" t="str">
        <f>"PFES1162562690_0001"</f>
        <v>PFES1162562690_0001</v>
      </c>
      <c r="L1852" s="10">
        <v>1</v>
      </c>
      <c r="M1852" s="10">
        <v>2</v>
      </c>
    </row>
    <row r="1853" spans="1:13">
      <c r="A1853" s="8">
        <v>42930</v>
      </c>
      <c r="B1853" s="9">
        <v>0.62152777777777779</v>
      </c>
      <c r="C1853" s="10" t="str">
        <f>"FES1162562682"</f>
        <v>FES1162562682</v>
      </c>
      <c r="D1853" s="10" t="s">
        <v>19</v>
      </c>
      <c r="E1853" s="10" t="s">
        <v>888</v>
      </c>
      <c r="F1853" s="10" t="str">
        <f>"217057288 "</f>
        <v xml:space="preserve">217057288 </v>
      </c>
      <c r="G1853" s="10" t="str">
        <f t="shared" si="80"/>
        <v>ON1</v>
      </c>
      <c r="H1853" s="10" t="s">
        <v>21</v>
      </c>
      <c r="I1853" s="10" t="s">
        <v>889</v>
      </c>
      <c r="J1853" s="10" t="str">
        <f>""</f>
        <v/>
      </c>
      <c r="K1853" s="10" t="str">
        <f>"PFES1162562682_0001"</f>
        <v>PFES1162562682_0001</v>
      </c>
      <c r="L1853" s="10">
        <v>1</v>
      </c>
      <c r="M1853" s="10">
        <v>1</v>
      </c>
    </row>
    <row r="1854" spans="1:13">
      <c r="A1854" s="8">
        <v>42930</v>
      </c>
      <c r="B1854" s="9">
        <v>0.62083333333333335</v>
      </c>
      <c r="C1854" s="10" t="str">
        <f>"FES1162562673"</f>
        <v>FES1162562673</v>
      </c>
      <c r="D1854" s="10" t="s">
        <v>19</v>
      </c>
      <c r="E1854" s="10" t="s">
        <v>251</v>
      </c>
      <c r="F1854" s="10" t="str">
        <f>"2170579286 "</f>
        <v xml:space="preserve">2170579286 </v>
      </c>
      <c r="G1854" s="10" t="str">
        <f t="shared" si="80"/>
        <v>ON1</v>
      </c>
      <c r="H1854" s="10" t="s">
        <v>21</v>
      </c>
      <c r="I1854" s="10" t="s">
        <v>252</v>
      </c>
      <c r="J1854" s="10" t="str">
        <f>""</f>
        <v/>
      </c>
      <c r="K1854" s="10" t="str">
        <f>"PFES1162562673_0001"</f>
        <v>PFES1162562673_0001</v>
      </c>
      <c r="L1854" s="10">
        <v>1</v>
      </c>
      <c r="M1854" s="10">
        <v>4</v>
      </c>
    </row>
    <row r="1855" spans="1:13">
      <c r="A1855" s="8">
        <v>42930</v>
      </c>
      <c r="B1855" s="9">
        <v>0.62013888888888891</v>
      </c>
      <c r="C1855" s="10" t="str">
        <f>"FES1162562679"</f>
        <v>FES1162562679</v>
      </c>
      <c r="D1855" s="10" t="s">
        <v>19</v>
      </c>
      <c r="E1855" s="10" t="s">
        <v>272</v>
      </c>
      <c r="F1855" s="10" t="str">
        <f>"2170579123 "</f>
        <v xml:space="preserve">2170579123 </v>
      </c>
      <c r="G1855" s="10" t="str">
        <f t="shared" si="80"/>
        <v>ON1</v>
      </c>
      <c r="H1855" s="10" t="s">
        <v>21</v>
      </c>
      <c r="I1855" s="10" t="s">
        <v>166</v>
      </c>
      <c r="J1855" s="10" t="str">
        <f>""</f>
        <v/>
      </c>
      <c r="K1855" s="10" t="str">
        <f>"PFES1162562679_0001"</f>
        <v>PFES1162562679_0001</v>
      </c>
      <c r="L1855" s="10">
        <v>1</v>
      </c>
      <c r="M1855" s="10">
        <v>1</v>
      </c>
    </row>
    <row r="1856" spans="1:13">
      <c r="A1856" s="8">
        <v>42930</v>
      </c>
      <c r="B1856" s="9">
        <v>0.61944444444444446</v>
      </c>
      <c r="C1856" s="10" t="str">
        <f>"FES1162562678"</f>
        <v>FES1162562678</v>
      </c>
      <c r="D1856" s="10" t="s">
        <v>19</v>
      </c>
      <c r="E1856" s="10" t="s">
        <v>323</v>
      </c>
      <c r="F1856" s="10" t="str">
        <f>"2170579021 "</f>
        <v xml:space="preserve">2170579021 </v>
      </c>
      <c r="G1856" s="10" t="str">
        <f t="shared" si="80"/>
        <v>ON1</v>
      </c>
      <c r="H1856" s="10" t="s">
        <v>21</v>
      </c>
      <c r="I1856" s="10" t="s">
        <v>75</v>
      </c>
      <c r="J1856" s="10" t="str">
        <f>""</f>
        <v/>
      </c>
      <c r="K1856" s="10" t="str">
        <f>"PFES1162562678_0001"</f>
        <v>PFES1162562678_0001</v>
      </c>
      <c r="L1856" s="10">
        <v>1</v>
      </c>
      <c r="M1856" s="10">
        <v>2</v>
      </c>
    </row>
    <row r="1857" spans="1:13">
      <c r="A1857" s="8">
        <v>42930</v>
      </c>
      <c r="B1857" s="9">
        <v>0.61875000000000002</v>
      </c>
      <c r="C1857" s="10" t="str">
        <f>"FES1162562680"</f>
        <v>FES1162562680</v>
      </c>
      <c r="D1857" s="10" t="s">
        <v>19</v>
      </c>
      <c r="E1857" s="10" t="s">
        <v>301</v>
      </c>
      <c r="F1857" s="10" t="str">
        <f>"2170579283 "</f>
        <v xml:space="preserve">2170579283 </v>
      </c>
      <c r="G1857" s="10" t="str">
        <f t="shared" si="80"/>
        <v>ON1</v>
      </c>
      <c r="H1857" s="10" t="s">
        <v>21</v>
      </c>
      <c r="I1857" s="10" t="s">
        <v>302</v>
      </c>
      <c r="J1857" s="10" t="str">
        <f>""</f>
        <v/>
      </c>
      <c r="K1857" s="10" t="str">
        <f>"PFES1162562680_0001"</f>
        <v>PFES1162562680_0001</v>
      </c>
      <c r="L1857" s="10">
        <v>1</v>
      </c>
      <c r="M1857" s="10">
        <v>1</v>
      </c>
    </row>
    <row r="1858" spans="1:13">
      <c r="A1858" s="8">
        <v>42930</v>
      </c>
      <c r="B1858" s="9">
        <v>0.61805555555555558</v>
      </c>
      <c r="C1858" s="10" t="str">
        <f>"FES1162562674"</f>
        <v>FES1162562674</v>
      </c>
      <c r="D1858" s="10" t="s">
        <v>19</v>
      </c>
      <c r="E1858" s="10" t="s">
        <v>382</v>
      </c>
      <c r="F1858" s="10" t="str">
        <f>"2170577886 "</f>
        <v xml:space="preserve">2170577886 </v>
      </c>
      <c r="G1858" s="10" t="str">
        <f t="shared" si="80"/>
        <v>ON1</v>
      </c>
      <c r="H1858" s="10" t="s">
        <v>21</v>
      </c>
      <c r="I1858" s="10" t="s">
        <v>383</v>
      </c>
      <c r="J1858" s="10" t="str">
        <f>""</f>
        <v/>
      </c>
      <c r="K1858" s="10" t="str">
        <f>"PFES1162562674_0001"</f>
        <v>PFES1162562674_0001</v>
      </c>
      <c r="L1858" s="10">
        <v>2</v>
      </c>
      <c r="M1858" s="10">
        <v>4</v>
      </c>
    </row>
    <row r="1859" spans="1:13">
      <c r="A1859" s="8">
        <v>42930</v>
      </c>
      <c r="B1859" s="9">
        <v>0.61805555555555558</v>
      </c>
      <c r="C1859" s="10" t="str">
        <f>"FES1162562674"</f>
        <v>FES1162562674</v>
      </c>
      <c r="D1859" s="10" t="s">
        <v>19</v>
      </c>
      <c r="E1859" s="10" t="s">
        <v>382</v>
      </c>
      <c r="F1859" s="10" t="str">
        <f>"2170577886 "</f>
        <v xml:space="preserve">2170577886 </v>
      </c>
      <c r="G1859" s="10" t="str">
        <f t="shared" si="80"/>
        <v>ON1</v>
      </c>
      <c r="H1859" s="10" t="s">
        <v>21</v>
      </c>
      <c r="I1859" s="10" t="s">
        <v>383</v>
      </c>
      <c r="J1859" s="10"/>
      <c r="K1859" s="10" t="str">
        <f>"PFES1162562674_0002"</f>
        <v>PFES1162562674_0002</v>
      </c>
      <c r="L1859" s="10">
        <v>2</v>
      </c>
      <c r="M1859" s="10">
        <v>4</v>
      </c>
    </row>
    <row r="1860" spans="1:13">
      <c r="A1860" s="8">
        <v>42930</v>
      </c>
      <c r="B1860" s="9">
        <v>0.61736111111111114</v>
      </c>
      <c r="C1860" s="10" t="str">
        <f>"FES1162562654"</f>
        <v>FES1162562654</v>
      </c>
      <c r="D1860" s="10" t="s">
        <v>19</v>
      </c>
      <c r="E1860" s="10" t="s">
        <v>245</v>
      </c>
      <c r="F1860" s="10" t="str">
        <f>"2170573522 "</f>
        <v xml:space="preserve">2170573522 </v>
      </c>
      <c r="G1860" s="10" t="str">
        <f t="shared" ref="G1860:G1876" si="81">"ON1"</f>
        <v>ON1</v>
      </c>
      <c r="H1860" s="10" t="s">
        <v>21</v>
      </c>
      <c r="I1860" s="10" t="s">
        <v>246</v>
      </c>
      <c r="J1860" s="10" t="str">
        <f>""</f>
        <v/>
      </c>
      <c r="K1860" s="10" t="str">
        <f>"PFES1162562654_0001"</f>
        <v>PFES1162562654_0001</v>
      </c>
      <c r="L1860" s="10">
        <v>1</v>
      </c>
      <c r="M1860" s="10">
        <v>2</v>
      </c>
    </row>
    <row r="1861" spans="1:13">
      <c r="A1861" s="8">
        <v>42930</v>
      </c>
      <c r="B1861" s="9">
        <v>0.6166666666666667</v>
      </c>
      <c r="C1861" s="10" t="str">
        <f>"FES1162562667"</f>
        <v>FES1162562667</v>
      </c>
      <c r="D1861" s="10" t="s">
        <v>19</v>
      </c>
      <c r="E1861" s="10" t="s">
        <v>394</v>
      </c>
      <c r="F1861" s="10" t="str">
        <f>"2170578777 "</f>
        <v xml:space="preserve">2170578777 </v>
      </c>
      <c r="G1861" s="10" t="str">
        <f t="shared" si="81"/>
        <v>ON1</v>
      </c>
      <c r="H1861" s="10" t="s">
        <v>21</v>
      </c>
      <c r="I1861" s="10" t="s">
        <v>98</v>
      </c>
      <c r="J1861" s="10" t="str">
        <f>""</f>
        <v/>
      </c>
      <c r="K1861" s="10" t="str">
        <f>"PFES1162562667_0001"</f>
        <v>PFES1162562667_0001</v>
      </c>
      <c r="L1861" s="10">
        <v>1</v>
      </c>
      <c r="M1861" s="10">
        <v>4</v>
      </c>
    </row>
    <row r="1862" spans="1:13">
      <c r="A1862" s="8">
        <v>42930</v>
      </c>
      <c r="B1862" s="9">
        <v>0.61597222222222225</v>
      </c>
      <c r="C1862" s="10" t="str">
        <f>"FES1162562659"</f>
        <v>FES1162562659</v>
      </c>
      <c r="D1862" s="10" t="s">
        <v>19</v>
      </c>
      <c r="E1862" s="10" t="s">
        <v>245</v>
      </c>
      <c r="F1862" s="10" t="str">
        <f>"2170573526 "</f>
        <v xml:space="preserve">2170573526 </v>
      </c>
      <c r="G1862" s="10" t="str">
        <f t="shared" si="81"/>
        <v>ON1</v>
      </c>
      <c r="H1862" s="10" t="s">
        <v>21</v>
      </c>
      <c r="I1862" s="10" t="s">
        <v>246</v>
      </c>
      <c r="J1862" s="10" t="str">
        <f>""</f>
        <v/>
      </c>
      <c r="K1862" s="10" t="str">
        <f>"PFES1162562659_0001"</f>
        <v>PFES1162562659_0001</v>
      </c>
      <c r="L1862" s="10">
        <v>1</v>
      </c>
      <c r="M1862" s="10">
        <v>3</v>
      </c>
    </row>
    <row r="1863" spans="1:13">
      <c r="A1863" s="8">
        <v>42930</v>
      </c>
      <c r="B1863" s="9">
        <v>0.61527777777777781</v>
      </c>
      <c r="C1863" s="10" t="str">
        <f>"FES1162562644"</f>
        <v>FES1162562644</v>
      </c>
      <c r="D1863" s="10" t="s">
        <v>19</v>
      </c>
      <c r="E1863" s="10" t="s">
        <v>470</v>
      </c>
      <c r="F1863" s="10" t="str">
        <f>"2170571770 "</f>
        <v xml:space="preserve">2170571770 </v>
      </c>
      <c r="G1863" s="10" t="str">
        <f t="shared" si="81"/>
        <v>ON1</v>
      </c>
      <c r="H1863" s="10" t="s">
        <v>21</v>
      </c>
      <c r="I1863" s="10" t="s">
        <v>228</v>
      </c>
      <c r="J1863" s="10" t="str">
        <f>""</f>
        <v/>
      </c>
      <c r="K1863" s="10" t="str">
        <f>"PFES1162562644_0001"</f>
        <v>PFES1162562644_0001</v>
      </c>
      <c r="L1863" s="10">
        <v>1</v>
      </c>
      <c r="M1863" s="10">
        <v>1</v>
      </c>
    </row>
    <row r="1864" spans="1:13">
      <c r="A1864" s="8">
        <v>42930</v>
      </c>
      <c r="B1864" s="9">
        <v>0.61458333333333337</v>
      </c>
      <c r="C1864" s="10" t="str">
        <f>"FES1162562664"</f>
        <v>FES1162562664</v>
      </c>
      <c r="D1864" s="10" t="s">
        <v>19</v>
      </c>
      <c r="E1864" s="10" t="s">
        <v>846</v>
      </c>
      <c r="F1864" s="10" t="str">
        <f>"2170579271 "</f>
        <v xml:space="preserve">2170579271 </v>
      </c>
      <c r="G1864" s="10" t="str">
        <f t="shared" si="81"/>
        <v>ON1</v>
      </c>
      <c r="H1864" s="10" t="s">
        <v>21</v>
      </c>
      <c r="I1864" s="10" t="s">
        <v>847</v>
      </c>
      <c r="J1864" s="10" t="str">
        <f>""</f>
        <v/>
      </c>
      <c r="K1864" s="10" t="str">
        <f>"PFES1162562664_0001"</f>
        <v>PFES1162562664_0001</v>
      </c>
      <c r="L1864" s="10">
        <v>1</v>
      </c>
      <c r="M1864" s="10">
        <v>1</v>
      </c>
    </row>
    <row r="1865" spans="1:13">
      <c r="A1865" s="8">
        <v>42930</v>
      </c>
      <c r="B1865" s="9">
        <v>0.61388888888888882</v>
      </c>
      <c r="C1865" s="10" t="str">
        <f>"FES1162562621"</f>
        <v>FES1162562621</v>
      </c>
      <c r="D1865" s="10" t="s">
        <v>19</v>
      </c>
      <c r="E1865" s="10" t="s">
        <v>336</v>
      </c>
      <c r="F1865" s="10" t="str">
        <f>"2170574676 "</f>
        <v xml:space="preserve">2170574676 </v>
      </c>
      <c r="G1865" s="10" t="str">
        <f t="shared" si="81"/>
        <v>ON1</v>
      </c>
      <c r="H1865" s="10" t="s">
        <v>21</v>
      </c>
      <c r="I1865" s="10" t="s">
        <v>337</v>
      </c>
      <c r="J1865" s="10" t="str">
        <f>""</f>
        <v/>
      </c>
      <c r="K1865" s="10" t="str">
        <f>"PFES1162562621_0001"</f>
        <v>PFES1162562621_0001</v>
      </c>
      <c r="L1865" s="10">
        <v>1</v>
      </c>
      <c r="M1865" s="10">
        <v>2</v>
      </c>
    </row>
    <row r="1866" spans="1:13">
      <c r="A1866" s="8">
        <v>42930</v>
      </c>
      <c r="B1866" s="9">
        <v>0.6118055555555556</v>
      </c>
      <c r="C1866" s="10" t="str">
        <f>"FES1162562681"</f>
        <v>FES1162562681</v>
      </c>
      <c r="D1866" s="10" t="s">
        <v>19</v>
      </c>
      <c r="E1866" s="10" t="s">
        <v>301</v>
      </c>
      <c r="F1866" s="10" t="str">
        <f>"2170570579284 "</f>
        <v xml:space="preserve">2170570579284 </v>
      </c>
      <c r="G1866" s="10" t="str">
        <f t="shared" si="81"/>
        <v>ON1</v>
      </c>
      <c r="H1866" s="10" t="s">
        <v>21</v>
      </c>
      <c r="I1866" s="10" t="s">
        <v>302</v>
      </c>
      <c r="J1866" s="10" t="str">
        <f>""</f>
        <v/>
      </c>
      <c r="K1866" s="10" t="str">
        <f>"PFES1162562681_0001"</f>
        <v>PFES1162562681_0001</v>
      </c>
      <c r="L1866" s="10">
        <v>1</v>
      </c>
      <c r="M1866" s="10">
        <v>1</v>
      </c>
    </row>
    <row r="1867" spans="1:13">
      <c r="A1867" s="8">
        <v>42930</v>
      </c>
      <c r="B1867" s="9">
        <v>0.60416666666666663</v>
      </c>
      <c r="C1867" s="10" t="str">
        <f>"FES1162562668"</f>
        <v>FES1162562668</v>
      </c>
      <c r="D1867" s="10" t="s">
        <v>19</v>
      </c>
      <c r="E1867" s="10" t="s">
        <v>391</v>
      </c>
      <c r="F1867" s="10" t="str">
        <f>"2170579273 "</f>
        <v xml:space="preserve">2170579273 </v>
      </c>
      <c r="G1867" s="10" t="str">
        <f t="shared" si="81"/>
        <v>ON1</v>
      </c>
      <c r="H1867" s="10" t="s">
        <v>21</v>
      </c>
      <c r="I1867" s="10" t="s">
        <v>183</v>
      </c>
      <c r="J1867" s="10" t="str">
        <f>""</f>
        <v/>
      </c>
      <c r="K1867" s="10" t="str">
        <f>"PFES1162562668_0001"</f>
        <v>PFES1162562668_0001</v>
      </c>
      <c r="L1867" s="10">
        <v>1</v>
      </c>
      <c r="M1867" s="10">
        <v>9</v>
      </c>
    </row>
    <row r="1868" spans="1:13">
      <c r="A1868" s="8">
        <v>42930</v>
      </c>
      <c r="B1868" s="9">
        <v>0.60347222222222219</v>
      </c>
      <c r="C1868" s="10" t="str">
        <f>"FES1162562666"</f>
        <v>FES1162562666</v>
      </c>
      <c r="D1868" s="10" t="s">
        <v>19</v>
      </c>
      <c r="E1868" s="10" t="s">
        <v>191</v>
      </c>
      <c r="F1868" s="10" t="str">
        <f>"2170578685 "</f>
        <v xml:space="preserve">2170578685 </v>
      </c>
      <c r="G1868" s="10" t="str">
        <f t="shared" si="81"/>
        <v>ON1</v>
      </c>
      <c r="H1868" s="10" t="s">
        <v>21</v>
      </c>
      <c r="I1868" s="10" t="s">
        <v>192</v>
      </c>
      <c r="J1868" s="10" t="str">
        <f>""</f>
        <v/>
      </c>
      <c r="K1868" s="10" t="str">
        <f>"PFES1162562666_0001"</f>
        <v>PFES1162562666_0001</v>
      </c>
      <c r="L1868" s="10">
        <v>1</v>
      </c>
      <c r="M1868" s="10">
        <v>1</v>
      </c>
    </row>
    <row r="1869" spans="1:13">
      <c r="A1869" s="8">
        <v>42930</v>
      </c>
      <c r="B1869" s="9">
        <v>0.60277777777777775</v>
      </c>
      <c r="C1869" s="10" t="str">
        <f>"FES1162562661"</f>
        <v>FES1162562661</v>
      </c>
      <c r="D1869" s="10" t="s">
        <v>19</v>
      </c>
      <c r="E1869" s="10" t="s">
        <v>581</v>
      </c>
      <c r="F1869" s="10" t="str">
        <f>"2170579268 "</f>
        <v xml:space="preserve">2170579268 </v>
      </c>
      <c r="G1869" s="10" t="str">
        <f t="shared" si="81"/>
        <v>ON1</v>
      </c>
      <c r="H1869" s="10" t="s">
        <v>21</v>
      </c>
      <c r="I1869" s="10" t="s">
        <v>22</v>
      </c>
      <c r="J1869" s="10" t="str">
        <f>""</f>
        <v/>
      </c>
      <c r="K1869" s="10" t="str">
        <f>"PFES1162562661_0001"</f>
        <v>PFES1162562661_0001</v>
      </c>
      <c r="L1869" s="10">
        <v>1</v>
      </c>
      <c r="M1869" s="10">
        <v>5</v>
      </c>
    </row>
    <row r="1870" spans="1:13">
      <c r="A1870" s="8">
        <v>42930</v>
      </c>
      <c r="B1870" s="9">
        <v>0.6020833333333333</v>
      </c>
      <c r="C1870" s="10" t="str">
        <f>"FES1162562660"</f>
        <v>FES1162562660</v>
      </c>
      <c r="D1870" s="10" t="s">
        <v>19</v>
      </c>
      <c r="E1870" s="10" t="s">
        <v>301</v>
      </c>
      <c r="F1870" s="10" t="str">
        <f>"2170579266 "</f>
        <v xml:space="preserve">2170579266 </v>
      </c>
      <c r="G1870" s="10" t="str">
        <f t="shared" si="81"/>
        <v>ON1</v>
      </c>
      <c r="H1870" s="10" t="s">
        <v>21</v>
      </c>
      <c r="I1870" s="10" t="s">
        <v>302</v>
      </c>
      <c r="J1870" s="10" t="str">
        <f>""</f>
        <v/>
      </c>
      <c r="K1870" s="10" t="str">
        <f>"PFES1162562660_0001"</f>
        <v>PFES1162562660_0001</v>
      </c>
      <c r="L1870" s="10">
        <v>1</v>
      </c>
      <c r="M1870" s="10">
        <v>1</v>
      </c>
    </row>
    <row r="1871" spans="1:13">
      <c r="A1871" s="8">
        <v>42930</v>
      </c>
      <c r="B1871" s="9">
        <v>0.60138888888888886</v>
      </c>
      <c r="C1871" s="10" t="str">
        <f>"FES1162562662"</f>
        <v>FES1162562662</v>
      </c>
      <c r="D1871" s="10" t="s">
        <v>19</v>
      </c>
      <c r="E1871" s="10" t="s">
        <v>688</v>
      </c>
      <c r="F1871" s="10" t="str">
        <f>"2170579269 "</f>
        <v xml:space="preserve">2170579269 </v>
      </c>
      <c r="G1871" s="10" t="str">
        <f t="shared" si="81"/>
        <v>ON1</v>
      </c>
      <c r="H1871" s="10" t="s">
        <v>21</v>
      </c>
      <c r="I1871" s="10" t="s">
        <v>689</v>
      </c>
      <c r="J1871" s="10" t="str">
        <f>""</f>
        <v/>
      </c>
      <c r="K1871" s="10" t="str">
        <f>"PFES1162562662_0001"</f>
        <v>PFES1162562662_0001</v>
      </c>
      <c r="L1871" s="10">
        <v>1</v>
      </c>
      <c r="M1871" s="10">
        <v>1</v>
      </c>
    </row>
    <row r="1872" spans="1:13">
      <c r="A1872" s="8">
        <v>42930</v>
      </c>
      <c r="B1872" s="9">
        <v>0.60069444444444442</v>
      </c>
      <c r="C1872" s="10" t="str">
        <f>"FES1162562665"</f>
        <v>FES1162562665</v>
      </c>
      <c r="D1872" s="10" t="s">
        <v>19</v>
      </c>
      <c r="E1872" s="10" t="s">
        <v>890</v>
      </c>
      <c r="F1872" s="10" t="str">
        <f>"2170579272 "</f>
        <v xml:space="preserve">2170579272 </v>
      </c>
      <c r="G1872" s="10" t="str">
        <f t="shared" si="81"/>
        <v>ON1</v>
      </c>
      <c r="H1872" s="10" t="s">
        <v>21</v>
      </c>
      <c r="I1872" s="10" t="s">
        <v>183</v>
      </c>
      <c r="J1872" s="10" t="str">
        <f>""</f>
        <v/>
      </c>
      <c r="K1872" s="10" t="str">
        <f>"PFES1162562665_0001"</f>
        <v>PFES1162562665_0001</v>
      </c>
      <c r="L1872" s="10">
        <v>1</v>
      </c>
      <c r="M1872" s="10">
        <v>3</v>
      </c>
    </row>
    <row r="1873" spans="1:13">
      <c r="A1873" s="8">
        <v>42930</v>
      </c>
      <c r="B1873" s="9">
        <v>0.59236111111111112</v>
      </c>
      <c r="C1873" s="10" t="str">
        <f>"FES1162562651"</f>
        <v>FES1162562651</v>
      </c>
      <c r="D1873" s="10" t="s">
        <v>19</v>
      </c>
      <c r="E1873" s="10" t="s">
        <v>891</v>
      </c>
      <c r="F1873" s="10" t="str">
        <f>"2170579257 "</f>
        <v xml:space="preserve">2170579257 </v>
      </c>
      <c r="G1873" s="10" t="str">
        <f t="shared" si="81"/>
        <v>ON1</v>
      </c>
      <c r="H1873" s="10" t="s">
        <v>21</v>
      </c>
      <c r="I1873" s="10" t="s">
        <v>318</v>
      </c>
      <c r="J1873" s="10" t="str">
        <f>""</f>
        <v/>
      </c>
      <c r="K1873" s="10" t="str">
        <f>"PFES1162562651_0001"</f>
        <v>PFES1162562651_0001</v>
      </c>
      <c r="L1873" s="10">
        <v>1</v>
      </c>
      <c r="M1873" s="10">
        <v>1</v>
      </c>
    </row>
    <row r="1874" spans="1:13">
      <c r="A1874" s="8">
        <v>42930</v>
      </c>
      <c r="B1874" s="9">
        <v>0.59166666666666667</v>
      </c>
      <c r="C1874" s="10" t="str">
        <f>"FES1162562633"</f>
        <v>FES1162562633</v>
      </c>
      <c r="D1874" s="10" t="s">
        <v>19</v>
      </c>
      <c r="E1874" s="10" t="s">
        <v>892</v>
      </c>
      <c r="F1874" s="10" t="str">
        <f>"2170579238 "</f>
        <v xml:space="preserve">2170579238 </v>
      </c>
      <c r="G1874" s="10" t="str">
        <f t="shared" si="81"/>
        <v>ON1</v>
      </c>
      <c r="H1874" s="10" t="s">
        <v>21</v>
      </c>
      <c r="I1874" s="10" t="s">
        <v>24</v>
      </c>
      <c r="J1874" s="10" t="str">
        <f>""</f>
        <v/>
      </c>
      <c r="K1874" s="10" t="str">
        <f>"PFES1162562633_0001"</f>
        <v>PFES1162562633_0001</v>
      </c>
      <c r="L1874" s="10">
        <v>1</v>
      </c>
      <c r="M1874" s="10">
        <v>1</v>
      </c>
    </row>
    <row r="1875" spans="1:13">
      <c r="A1875" s="8">
        <v>42930</v>
      </c>
      <c r="B1875" s="9">
        <v>0.59027777777777779</v>
      </c>
      <c r="C1875" s="10" t="str">
        <f>"FES1162562635"</f>
        <v>FES1162562635</v>
      </c>
      <c r="D1875" s="10" t="s">
        <v>19</v>
      </c>
      <c r="E1875" s="10" t="s">
        <v>394</v>
      </c>
      <c r="F1875" s="10" t="str">
        <f>"2170578763 "</f>
        <v xml:space="preserve">2170578763 </v>
      </c>
      <c r="G1875" s="10" t="str">
        <f t="shared" si="81"/>
        <v>ON1</v>
      </c>
      <c r="H1875" s="10" t="s">
        <v>21</v>
      </c>
      <c r="I1875" s="10" t="s">
        <v>98</v>
      </c>
      <c r="J1875" s="10" t="str">
        <f>""</f>
        <v/>
      </c>
      <c r="K1875" s="10" t="str">
        <f>"PFES1162562635_0001"</f>
        <v>PFES1162562635_0001</v>
      </c>
      <c r="L1875" s="10">
        <v>1</v>
      </c>
      <c r="M1875" s="10">
        <v>1</v>
      </c>
    </row>
    <row r="1876" spans="1:13">
      <c r="A1876" s="8">
        <v>42930</v>
      </c>
      <c r="B1876" s="9">
        <v>0.58958333333333335</v>
      </c>
      <c r="C1876" s="10" t="str">
        <f>"FES1162562640"</f>
        <v>FES1162562640</v>
      </c>
      <c r="D1876" s="10" t="s">
        <v>19</v>
      </c>
      <c r="E1876" s="10" t="s">
        <v>893</v>
      </c>
      <c r="F1876" s="10" t="str">
        <f>"2170579242 "</f>
        <v xml:space="preserve">2170579242 </v>
      </c>
      <c r="G1876" s="10" t="str">
        <f t="shared" si="81"/>
        <v>ON1</v>
      </c>
      <c r="H1876" s="10" t="s">
        <v>21</v>
      </c>
      <c r="I1876" s="10" t="s">
        <v>28</v>
      </c>
      <c r="J1876" s="10" t="str">
        <f>""</f>
        <v/>
      </c>
      <c r="K1876" s="10" t="str">
        <f>"PFES1162562640_0001"</f>
        <v>PFES1162562640_0001</v>
      </c>
      <c r="L1876" s="10">
        <v>1</v>
      </c>
      <c r="M1876" s="10">
        <v>2</v>
      </c>
    </row>
    <row r="1877" spans="1:13">
      <c r="A1877" s="8">
        <v>42930</v>
      </c>
      <c r="B1877" s="9">
        <v>0.58819444444444446</v>
      </c>
      <c r="C1877" s="10" t="str">
        <f>"FES1162562624"</f>
        <v>FES1162562624</v>
      </c>
      <c r="D1877" s="10" t="s">
        <v>19</v>
      </c>
      <c r="E1877" s="10" t="s">
        <v>894</v>
      </c>
      <c r="F1877" s="10" t="str">
        <f>"2170579229 "</f>
        <v xml:space="preserve">2170579229 </v>
      </c>
      <c r="G1877" s="10" t="str">
        <f>"ON2"</f>
        <v>ON2</v>
      </c>
      <c r="H1877" s="10" t="s">
        <v>21</v>
      </c>
      <c r="I1877" s="10" t="s">
        <v>90</v>
      </c>
      <c r="J1877" s="10" t="str">
        <f>""</f>
        <v/>
      </c>
      <c r="K1877" s="10" t="str">
        <f>"PFES1162562624_0001"</f>
        <v>PFES1162562624_0001</v>
      </c>
      <c r="L1877" s="10">
        <v>1</v>
      </c>
      <c r="M1877" s="10">
        <v>5</v>
      </c>
    </row>
    <row r="1878" spans="1:13">
      <c r="A1878" s="8">
        <v>42930</v>
      </c>
      <c r="B1878" s="9">
        <v>0.58680555555555558</v>
      </c>
      <c r="C1878" s="10" t="str">
        <f>"FES1162562642"</f>
        <v>FES1162562642</v>
      </c>
      <c r="D1878" s="10" t="s">
        <v>19</v>
      </c>
      <c r="E1878" s="10" t="s">
        <v>89</v>
      </c>
      <c r="F1878" s="10" t="str">
        <f>"2170579244 "</f>
        <v xml:space="preserve">2170579244 </v>
      </c>
      <c r="G1878" s="10" t="str">
        <f t="shared" ref="G1878:G1941" si="82">"ON1"</f>
        <v>ON1</v>
      </c>
      <c r="H1878" s="10" t="s">
        <v>21</v>
      </c>
      <c r="I1878" s="10" t="s">
        <v>90</v>
      </c>
      <c r="J1878" s="10" t="str">
        <f>""</f>
        <v/>
      </c>
      <c r="K1878" s="10" t="str">
        <f>"PFES1162562642_0001"</f>
        <v>PFES1162562642_0001</v>
      </c>
      <c r="L1878" s="10">
        <v>1</v>
      </c>
      <c r="M1878" s="10">
        <v>2</v>
      </c>
    </row>
    <row r="1879" spans="1:13">
      <c r="A1879" s="8">
        <v>42930</v>
      </c>
      <c r="B1879" s="9">
        <v>0.58611111111111114</v>
      </c>
      <c r="C1879" s="10" t="str">
        <f>"FES1162562663"</f>
        <v>FES1162562663</v>
      </c>
      <c r="D1879" s="10" t="s">
        <v>19</v>
      </c>
      <c r="E1879" s="10" t="s">
        <v>146</v>
      </c>
      <c r="F1879" s="10" t="str">
        <f>"2170579270 "</f>
        <v xml:space="preserve">2170579270 </v>
      </c>
      <c r="G1879" s="10" t="str">
        <f t="shared" si="82"/>
        <v>ON1</v>
      </c>
      <c r="H1879" s="10" t="s">
        <v>21</v>
      </c>
      <c r="I1879" s="10" t="s">
        <v>147</v>
      </c>
      <c r="J1879" s="10" t="str">
        <f>""</f>
        <v/>
      </c>
      <c r="K1879" s="10" t="str">
        <f>"PFES1162562663_0001"</f>
        <v>PFES1162562663_0001</v>
      </c>
      <c r="L1879" s="10">
        <v>1</v>
      </c>
      <c r="M1879" s="10">
        <v>2</v>
      </c>
    </row>
    <row r="1880" spans="1:13">
      <c r="A1880" s="8">
        <v>42930</v>
      </c>
      <c r="B1880" s="9">
        <v>0.5854166666666667</v>
      </c>
      <c r="C1880" s="10" t="str">
        <f>"FES1162562626"</f>
        <v>FES1162562626</v>
      </c>
      <c r="D1880" s="10" t="s">
        <v>19</v>
      </c>
      <c r="E1880" s="10" t="s">
        <v>178</v>
      </c>
      <c r="F1880" s="10" t="str">
        <f>"2170579232 "</f>
        <v xml:space="preserve">2170579232 </v>
      </c>
      <c r="G1880" s="10" t="str">
        <f t="shared" si="82"/>
        <v>ON1</v>
      </c>
      <c r="H1880" s="10" t="s">
        <v>21</v>
      </c>
      <c r="I1880" s="10" t="s">
        <v>179</v>
      </c>
      <c r="J1880" s="10" t="str">
        <f>""</f>
        <v/>
      </c>
      <c r="K1880" s="10" t="str">
        <f>"PFES1162562626_0001"</f>
        <v>PFES1162562626_0001</v>
      </c>
      <c r="L1880" s="10">
        <v>1</v>
      </c>
      <c r="M1880" s="10">
        <v>3</v>
      </c>
    </row>
    <row r="1881" spans="1:13">
      <c r="A1881" s="8">
        <v>42930</v>
      </c>
      <c r="B1881" s="9">
        <v>0.58402777777777781</v>
      </c>
      <c r="C1881" s="10" t="str">
        <f>"FES1162562647"</f>
        <v>FES1162562647</v>
      </c>
      <c r="D1881" s="10" t="s">
        <v>19</v>
      </c>
      <c r="E1881" s="10" t="s">
        <v>301</v>
      </c>
      <c r="F1881" s="10" t="str">
        <f>"2170579251 "</f>
        <v xml:space="preserve">2170579251 </v>
      </c>
      <c r="G1881" s="10" t="str">
        <f t="shared" si="82"/>
        <v>ON1</v>
      </c>
      <c r="H1881" s="10" t="s">
        <v>21</v>
      </c>
      <c r="I1881" s="10" t="s">
        <v>302</v>
      </c>
      <c r="J1881" s="10" t="str">
        <f>""</f>
        <v/>
      </c>
      <c r="K1881" s="10" t="str">
        <f>"PFES1162562647_0001"</f>
        <v>PFES1162562647_0001</v>
      </c>
      <c r="L1881" s="10">
        <v>1</v>
      </c>
      <c r="M1881" s="10">
        <v>1</v>
      </c>
    </row>
    <row r="1882" spans="1:13">
      <c r="A1882" s="8">
        <v>42930</v>
      </c>
      <c r="B1882" s="9">
        <v>0.58333333333333337</v>
      </c>
      <c r="C1882" s="10" t="str">
        <f>"FES1162562627"</f>
        <v>FES1162562627</v>
      </c>
      <c r="D1882" s="10" t="s">
        <v>19</v>
      </c>
      <c r="E1882" s="10" t="s">
        <v>386</v>
      </c>
      <c r="F1882" s="10" t="str">
        <f>"2170579235 "</f>
        <v xml:space="preserve">2170579235 </v>
      </c>
      <c r="G1882" s="10" t="str">
        <f t="shared" si="82"/>
        <v>ON1</v>
      </c>
      <c r="H1882" s="10" t="s">
        <v>21</v>
      </c>
      <c r="I1882" s="10" t="s">
        <v>387</v>
      </c>
      <c r="J1882" s="10" t="str">
        <f>""</f>
        <v/>
      </c>
      <c r="K1882" s="10" t="str">
        <f>"PFES1162562627_0001"</f>
        <v>PFES1162562627_0001</v>
      </c>
      <c r="L1882" s="10">
        <v>1</v>
      </c>
      <c r="M1882" s="10">
        <v>1</v>
      </c>
    </row>
    <row r="1883" spans="1:13">
      <c r="A1883" s="8">
        <v>42930</v>
      </c>
      <c r="B1883" s="9">
        <v>0.58194444444444449</v>
      </c>
      <c r="C1883" s="10" t="str">
        <f>"FES1162562636"</f>
        <v>FES1162562636</v>
      </c>
      <c r="D1883" s="10" t="s">
        <v>19</v>
      </c>
      <c r="E1883" s="10" t="s">
        <v>41</v>
      </c>
      <c r="F1883" s="10" t="str">
        <f>"2170578915 "</f>
        <v xml:space="preserve">2170578915 </v>
      </c>
      <c r="G1883" s="10" t="str">
        <f t="shared" si="82"/>
        <v>ON1</v>
      </c>
      <c r="H1883" s="10" t="s">
        <v>21</v>
      </c>
      <c r="I1883" s="10" t="s">
        <v>42</v>
      </c>
      <c r="J1883" s="10" t="str">
        <f>""</f>
        <v/>
      </c>
      <c r="K1883" s="10" t="str">
        <f>"PFES1162562636_0001"</f>
        <v>PFES1162562636_0001</v>
      </c>
      <c r="L1883" s="10">
        <v>1</v>
      </c>
      <c r="M1883" s="10">
        <v>1</v>
      </c>
    </row>
    <row r="1884" spans="1:13">
      <c r="A1884" s="8">
        <v>42930</v>
      </c>
      <c r="B1884" s="9">
        <v>0.58124999999999993</v>
      </c>
      <c r="C1884" s="10" t="str">
        <f>"FES1162562649"</f>
        <v>FES1162562649</v>
      </c>
      <c r="D1884" s="10" t="s">
        <v>19</v>
      </c>
      <c r="E1884" s="10" t="s">
        <v>895</v>
      </c>
      <c r="F1884" s="10" t="str">
        <f>"2170579254 "</f>
        <v xml:space="preserve">2170579254 </v>
      </c>
      <c r="G1884" s="10" t="str">
        <f t="shared" si="82"/>
        <v>ON1</v>
      </c>
      <c r="H1884" s="10" t="s">
        <v>21</v>
      </c>
      <c r="I1884" s="10" t="s">
        <v>896</v>
      </c>
      <c r="J1884" s="10" t="str">
        <f>""</f>
        <v/>
      </c>
      <c r="K1884" s="10" t="str">
        <f>"PFES1162562649_0001"</f>
        <v>PFES1162562649_0001</v>
      </c>
      <c r="L1884" s="10">
        <v>1</v>
      </c>
      <c r="M1884" s="10">
        <v>1</v>
      </c>
    </row>
    <row r="1885" spans="1:13">
      <c r="A1885" s="8">
        <v>42930</v>
      </c>
      <c r="B1885" s="9">
        <v>0.5805555555555556</v>
      </c>
      <c r="C1885" s="10" t="str">
        <f>"FES1162562652"</f>
        <v>FES1162562652</v>
      </c>
      <c r="D1885" s="10" t="s">
        <v>19</v>
      </c>
      <c r="E1885" s="10" t="s">
        <v>895</v>
      </c>
      <c r="F1885" s="10" t="str">
        <f>"2170579258 "</f>
        <v xml:space="preserve">2170579258 </v>
      </c>
      <c r="G1885" s="10" t="str">
        <f t="shared" si="82"/>
        <v>ON1</v>
      </c>
      <c r="H1885" s="10" t="s">
        <v>21</v>
      </c>
      <c r="I1885" s="10" t="s">
        <v>896</v>
      </c>
      <c r="J1885" s="10" t="str">
        <f>""</f>
        <v/>
      </c>
      <c r="K1885" s="10" t="str">
        <f>"PFES1162562652_0001"</f>
        <v>PFES1162562652_0001</v>
      </c>
      <c r="L1885" s="10">
        <v>1</v>
      </c>
      <c r="M1885" s="10">
        <v>1</v>
      </c>
    </row>
    <row r="1886" spans="1:13">
      <c r="A1886" s="8">
        <v>42930</v>
      </c>
      <c r="B1886" s="9">
        <v>0.57986111111111105</v>
      </c>
      <c r="C1886" s="10" t="str">
        <f>"FES1162562657"</f>
        <v>FES1162562657</v>
      </c>
      <c r="D1886" s="10" t="s">
        <v>19</v>
      </c>
      <c r="E1886" s="10" t="s">
        <v>436</v>
      </c>
      <c r="F1886" s="10" t="str">
        <f>"2170579259 "</f>
        <v xml:space="preserve">2170579259 </v>
      </c>
      <c r="G1886" s="10" t="str">
        <f t="shared" si="82"/>
        <v>ON1</v>
      </c>
      <c r="H1886" s="10" t="s">
        <v>21</v>
      </c>
      <c r="I1886" s="10" t="s">
        <v>252</v>
      </c>
      <c r="J1886" s="10" t="str">
        <f>""</f>
        <v/>
      </c>
      <c r="K1886" s="10" t="str">
        <f>"PFES1162562657_0001"</f>
        <v>PFES1162562657_0001</v>
      </c>
      <c r="L1886" s="10">
        <v>1</v>
      </c>
      <c r="M1886" s="10">
        <v>1</v>
      </c>
    </row>
    <row r="1887" spans="1:13">
      <c r="A1887" s="8">
        <v>42930</v>
      </c>
      <c r="B1887" s="9">
        <v>0.57916666666666672</v>
      </c>
      <c r="C1887" s="10" t="str">
        <f>"FES1162562629"</f>
        <v>FES1162562629</v>
      </c>
      <c r="D1887" s="10" t="s">
        <v>19</v>
      </c>
      <c r="E1887" s="10" t="s">
        <v>62</v>
      </c>
      <c r="F1887" s="10" t="str">
        <f>"2170579233 "</f>
        <v xml:space="preserve">2170579233 </v>
      </c>
      <c r="G1887" s="10" t="str">
        <f t="shared" si="82"/>
        <v>ON1</v>
      </c>
      <c r="H1887" s="10" t="s">
        <v>21</v>
      </c>
      <c r="I1887" s="10" t="s">
        <v>40</v>
      </c>
      <c r="J1887" s="10" t="str">
        <f>""</f>
        <v/>
      </c>
      <c r="K1887" s="10" t="str">
        <f>"PFES1162562629_0001"</f>
        <v>PFES1162562629_0001</v>
      </c>
      <c r="L1887" s="10">
        <v>1</v>
      </c>
      <c r="M1887" s="10">
        <v>1</v>
      </c>
    </row>
    <row r="1888" spans="1:13">
      <c r="A1888" s="8">
        <v>42930</v>
      </c>
      <c r="B1888" s="9">
        <v>0.57847222222222217</v>
      </c>
      <c r="C1888" s="10" t="str">
        <f>"FES1162562646"</f>
        <v>FES1162562646</v>
      </c>
      <c r="D1888" s="10" t="s">
        <v>19</v>
      </c>
      <c r="E1888" s="10" t="s">
        <v>361</v>
      </c>
      <c r="F1888" s="10" t="str">
        <f>"2170579249 "</f>
        <v xml:space="preserve">2170579249 </v>
      </c>
      <c r="G1888" s="10" t="str">
        <f t="shared" si="82"/>
        <v>ON1</v>
      </c>
      <c r="H1888" s="10" t="s">
        <v>21</v>
      </c>
      <c r="I1888" s="10" t="s">
        <v>106</v>
      </c>
      <c r="J1888" s="10" t="str">
        <f>""</f>
        <v/>
      </c>
      <c r="K1888" s="10" t="str">
        <f>"PFES1162562646_0001"</f>
        <v>PFES1162562646_0001</v>
      </c>
      <c r="L1888" s="10">
        <v>1</v>
      </c>
      <c r="M1888" s="10">
        <v>1</v>
      </c>
    </row>
    <row r="1889" spans="1:13">
      <c r="A1889" s="8">
        <v>42930</v>
      </c>
      <c r="B1889" s="9">
        <v>0.57777777777777783</v>
      </c>
      <c r="C1889" s="10" t="str">
        <f>"FES1162562631"</f>
        <v>FES1162562631</v>
      </c>
      <c r="D1889" s="10" t="s">
        <v>19</v>
      </c>
      <c r="E1889" s="10" t="s">
        <v>146</v>
      </c>
      <c r="F1889" s="10" t="str">
        <f>"2170579236 "</f>
        <v xml:space="preserve">2170579236 </v>
      </c>
      <c r="G1889" s="10" t="str">
        <f t="shared" si="82"/>
        <v>ON1</v>
      </c>
      <c r="H1889" s="10" t="s">
        <v>21</v>
      </c>
      <c r="I1889" s="10" t="s">
        <v>147</v>
      </c>
      <c r="J1889" s="10" t="str">
        <f>""</f>
        <v/>
      </c>
      <c r="K1889" s="10" t="str">
        <f>"PFES1162562631_0001"</f>
        <v>PFES1162562631_0001</v>
      </c>
      <c r="L1889" s="10">
        <v>1</v>
      </c>
      <c r="M1889" s="10">
        <v>1</v>
      </c>
    </row>
    <row r="1890" spans="1:13">
      <c r="A1890" s="8">
        <v>42930</v>
      </c>
      <c r="B1890" s="9">
        <v>0.57222222222222219</v>
      </c>
      <c r="C1890" s="10" t="str">
        <f>"FES1162562656"</f>
        <v>FES1162562656</v>
      </c>
      <c r="D1890" s="10" t="s">
        <v>19</v>
      </c>
      <c r="E1890" s="10" t="s">
        <v>164</v>
      </c>
      <c r="F1890" s="10" t="str">
        <f>"2170579245 "</f>
        <v xml:space="preserve">2170579245 </v>
      </c>
      <c r="G1890" s="10" t="str">
        <f t="shared" si="82"/>
        <v>ON1</v>
      </c>
      <c r="H1890" s="10" t="s">
        <v>21</v>
      </c>
      <c r="I1890" s="10" t="s">
        <v>147</v>
      </c>
      <c r="J1890" s="10" t="str">
        <f>""</f>
        <v/>
      </c>
      <c r="K1890" s="10" t="str">
        <f>"PFES1162562656_0001"</f>
        <v>PFES1162562656_0001</v>
      </c>
      <c r="L1890" s="10">
        <v>1</v>
      </c>
      <c r="M1890" s="10">
        <v>1</v>
      </c>
    </row>
    <row r="1891" spans="1:13">
      <c r="A1891" s="8">
        <v>42930</v>
      </c>
      <c r="B1891" s="9">
        <v>0.57152777777777775</v>
      </c>
      <c r="C1891" s="10" t="str">
        <f>"FES1162562648"</f>
        <v>FES1162562648</v>
      </c>
      <c r="D1891" s="10" t="s">
        <v>19</v>
      </c>
      <c r="E1891" s="10" t="s">
        <v>323</v>
      </c>
      <c r="F1891" s="10" t="str">
        <f>"2170579252 "</f>
        <v xml:space="preserve">2170579252 </v>
      </c>
      <c r="G1891" s="10" t="str">
        <f t="shared" si="82"/>
        <v>ON1</v>
      </c>
      <c r="H1891" s="10" t="s">
        <v>21</v>
      </c>
      <c r="I1891" s="10" t="s">
        <v>75</v>
      </c>
      <c r="J1891" s="10" t="str">
        <f>""</f>
        <v/>
      </c>
      <c r="K1891" s="10" t="str">
        <f>"PFES1162562648_0001"</f>
        <v>PFES1162562648_0001</v>
      </c>
      <c r="L1891" s="10">
        <v>1</v>
      </c>
      <c r="M1891" s="10">
        <v>1</v>
      </c>
    </row>
    <row r="1892" spans="1:13">
      <c r="A1892" s="8">
        <v>42930</v>
      </c>
      <c r="B1892" s="9">
        <v>0.57013888888888886</v>
      </c>
      <c r="C1892" s="10" t="str">
        <f>"FES1162562641"</f>
        <v>FES1162562641</v>
      </c>
      <c r="D1892" s="10" t="s">
        <v>19</v>
      </c>
      <c r="E1892" s="10" t="s">
        <v>888</v>
      </c>
      <c r="F1892" s="10" t="str">
        <f>"2170579243 "</f>
        <v xml:space="preserve">2170579243 </v>
      </c>
      <c r="G1892" s="10" t="str">
        <f t="shared" si="82"/>
        <v>ON1</v>
      </c>
      <c r="H1892" s="10" t="s">
        <v>21</v>
      </c>
      <c r="I1892" s="10" t="s">
        <v>889</v>
      </c>
      <c r="J1892" s="10" t="str">
        <f>""</f>
        <v/>
      </c>
      <c r="K1892" s="10" t="str">
        <f>"PFES1162562641_0001"</f>
        <v>PFES1162562641_0001</v>
      </c>
      <c r="L1892" s="10">
        <v>1</v>
      </c>
      <c r="M1892" s="10">
        <v>1</v>
      </c>
    </row>
    <row r="1893" spans="1:13">
      <c r="A1893" s="8">
        <v>42930</v>
      </c>
      <c r="B1893" s="9">
        <v>0.56944444444444442</v>
      </c>
      <c r="C1893" s="10" t="str">
        <f>"FES1162562637"</f>
        <v>FES1162562637</v>
      </c>
      <c r="D1893" s="10" t="s">
        <v>19</v>
      </c>
      <c r="E1893" s="10" t="s">
        <v>535</v>
      </c>
      <c r="F1893" s="10" t="str">
        <f>"2170579056 "</f>
        <v xml:space="preserve">2170579056 </v>
      </c>
      <c r="G1893" s="10" t="str">
        <f t="shared" si="82"/>
        <v>ON1</v>
      </c>
      <c r="H1893" s="10" t="s">
        <v>21</v>
      </c>
      <c r="I1893" s="10" t="s">
        <v>240</v>
      </c>
      <c r="J1893" s="10" t="str">
        <f>""</f>
        <v/>
      </c>
      <c r="K1893" s="10" t="str">
        <f>"PFES1162562637_0001"</f>
        <v>PFES1162562637_0001</v>
      </c>
      <c r="L1893" s="10">
        <v>1</v>
      </c>
      <c r="M1893" s="10">
        <v>1</v>
      </c>
    </row>
    <row r="1894" spans="1:13">
      <c r="A1894" s="8">
        <v>42930</v>
      </c>
      <c r="B1894" s="9">
        <v>0.55069444444444449</v>
      </c>
      <c r="C1894" s="10" t="str">
        <f>"FES1162562610"</f>
        <v>FES1162562610</v>
      </c>
      <c r="D1894" s="10" t="s">
        <v>19</v>
      </c>
      <c r="E1894" s="10" t="s">
        <v>190</v>
      </c>
      <c r="F1894" s="10" t="str">
        <f>"2170579217 "</f>
        <v xml:space="preserve">2170579217 </v>
      </c>
      <c r="G1894" s="10" t="str">
        <f t="shared" si="82"/>
        <v>ON1</v>
      </c>
      <c r="H1894" s="10" t="s">
        <v>21</v>
      </c>
      <c r="I1894" s="10" t="s">
        <v>52</v>
      </c>
      <c r="J1894" s="10" t="str">
        <f>""</f>
        <v/>
      </c>
      <c r="K1894" s="10" t="str">
        <f>"PFES1162562610_0001"</f>
        <v>PFES1162562610_0001</v>
      </c>
      <c r="L1894" s="10">
        <v>1</v>
      </c>
      <c r="M1894" s="10">
        <v>5</v>
      </c>
    </row>
    <row r="1895" spans="1:13">
      <c r="A1895" s="8">
        <v>42930</v>
      </c>
      <c r="B1895" s="9">
        <v>0.5493055555555556</v>
      </c>
      <c r="C1895" s="10" t="str">
        <f>"FES1162562590"</f>
        <v>FES1162562590</v>
      </c>
      <c r="D1895" s="10" t="s">
        <v>19</v>
      </c>
      <c r="E1895" s="10" t="s">
        <v>339</v>
      </c>
      <c r="F1895" s="10" t="str">
        <f>"2170568519 "</f>
        <v xml:space="preserve">2170568519 </v>
      </c>
      <c r="G1895" s="10" t="str">
        <f t="shared" si="82"/>
        <v>ON1</v>
      </c>
      <c r="H1895" s="10" t="s">
        <v>21</v>
      </c>
      <c r="I1895" s="10" t="s">
        <v>340</v>
      </c>
      <c r="J1895" s="10" t="str">
        <f>""</f>
        <v/>
      </c>
      <c r="K1895" s="10" t="str">
        <f>"PFES1162562590_0001"</f>
        <v>PFES1162562590_0001</v>
      </c>
      <c r="L1895" s="10">
        <v>1</v>
      </c>
      <c r="M1895" s="10">
        <v>5</v>
      </c>
    </row>
    <row r="1896" spans="1:13">
      <c r="A1896" s="8">
        <v>42930</v>
      </c>
      <c r="B1896" s="9">
        <v>0.54861111111111105</v>
      </c>
      <c r="C1896" s="10" t="str">
        <f>"FES1162562602"</f>
        <v>FES1162562602</v>
      </c>
      <c r="D1896" s="10" t="s">
        <v>19</v>
      </c>
      <c r="E1896" s="10" t="s">
        <v>897</v>
      </c>
      <c r="F1896" s="10" t="str">
        <f>"2170579200 "</f>
        <v xml:space="preserve">2170579200 </v>
      </c>
      <c r="G1896" s="10" t="str">
        <f t="shared" si="82"/>
        <v>ON1</v>
      </c>
      <c r="H1896" s="10" t="s">
        <v>21</v>
      </c>
      <c r="I1896" s="10" t="s">
        <v>898</v>
      </c>
      <c r="J1896" s="10" t="str">
        <f>""</f>
        <v/>
      </c>
      <c r="K1896" s="10" t="str">
        <f>"PFES1162562602_0001"</f>
        <v>PFES1162562602_0001</v>
      </c>
      <c r="L1896" s="10">
        <v>1</v>
      </c>
      <c r="M1896" s="10">
        <v>2</v>
      </c>
    </row>
    <row r="1897" spans="1:13">
      <c r="A1897" s="8">
        <v>42930</v>
      </c>
      <c r="B1897" s="9">
        <v>0.53888888888888886</v>
      </c>
      <c r="C1897" s="10" t="str">
        <f>"FES1162562580"</f>
        <v>FES1162562580</v>
      </c>
      <c r="D1897" s="10" t="s">
        <v>19</v>
      </c>
      <c r="E1897" s="10" t="s">
        <v>899</v>
      </c>
      <c r="F1897" s="10" t="str">
        <f>"2170579180 "</f>
        <v xml:space="preserve">2170579180 </v>
      </c>
      <c r="G1897" s="10" t="str">
        <f t="shared" si="82"/>
        <v>ON1</v>
      </c>
      <c r="H1897" s="10" t="s">
        <v>21</v>
      </c>
      <c r="I1897" s="10" t="s">
        <v>106</v>
      </c>
      <c r="J1897" s="10" t="str">
        <f>""</f>
        <v/>
      </c>
      <c r="K1897" s="10" t="str">
        <f>"PFES1162562580_0001"</f>
        <v>PFES1162562580_0001</v>
      </c>
      <c r="L1897" s="10">
        <v>1</v>
      </c>
      <c r="M1897" s="10">
        <v>4</v>
      </c>
    </row>
    <row r="1898" spans="1:13">
      <c r="A1898" s="8">
        <v>42930</v>
      </c>
      <c r="B1898" s="9">
        <v>0.53611111111111109</v>
      </c>
      <c r="C1898" s="10" t="str">
        <f>"FES1162562595"</f>
        <v>FES1162562595</v>
      </c>
      <c r="D1898" s="10" t="s">
        <v>19</v>
      </c>
      <c r="E1898" s="10" t="s">
        <v>339</v>
      </c>
      <c r="F1898" s="10" t="str">
        <f>"2170572311 "</f>
        <v xml:space="preserve">2170572311 </v>
      </c>
      <c r="G1898" s="10" t="str">
        <f t="shared" si="82"/>
        <v>ON1</v>
      </c>
      <c r="H1898" s="10" t="s">
        <v>21</v>
      </c>
      <c r="I1898" s="10" t="s">
        <v>340</v>
      </c>
      <c r="J1898" s="10" t="str">
        <f>""</f>
        <v/>
      </c>
      <c r="K1898" s="10" t="str">
        <f>"PFES1162562595_0001"</f>
        <v>PFES1162562595_0001</v>
      </c>
      <c r="L1898" s="10">
        <v>1</v>
      </c>
      <c r="M1898" s="10">
        <v>3</v>
      </c>
    </row>
    <row r="1899" spans="1:13">
      <c r="A1899" s="8">
        <v>42930</v>
      </c>
      <c r="B1899" s="9">
        <v>0.53541666666666665</v>
      </c>
      <c r="C1899" s="10" t="str">
        <f>"FES1162562594"</f>
        <v>FES1162562594</v>
      </c>
      <c r="D1899" s="10" t="s">
        <v>19</v>
      </c>
      <c r="E1899" s="10" t="s">
        <v>339</v>
      </c>
      <c r="F1899" s="10" t="str">
        <f>"2170572261 "</f>
        <v xml:space="preserve">2170572261 </v>
      </c>
      <c r="G1899" s="10" t="str">
        <f t="shared" si="82"/>
        <v>ON1</v>
      </c>
      <c r="H1899" s="10" t="s">
        <v>21</v>
      </c>
      <c r="I1899" s="10" t="s">
        <v>340</v>
      </c>
      <c r="J1899" s="10" t="str">
        <f>""</f>
        <v/>
      </c>
      <c r="K1899" s="10" t="str">
        <f>"PFES1162562594_0001"</f>
        <v>PFES1162562594_0001</v>
      </c>
      <c r="L1899" s="10">
        <v>1</v>
      </c>
      <c r="M1899" s="10">
        <v>3</v>
      </c>
    </row>
    <row r="1900" spans="1:13">
      <c r="A1900" s="8">
        <v>42930</v>
      </c>
      <c r="B1900" s="9">
        <v>0.53472222222222221</v>
      </c>
      <c r="C1900" s="10" t="str">
        <f>"FES1162562499"</f>
        <v>FES1162562499</v>
      </c>
      <c r="D1900" s="10" t="s">
        <v>19</v>
      </c>
      <c r="E1900" s="10" t="s">
        <v>266</v>
      </c>
      <c r="F1900" s="10" t="str">
        <f>"2170579094 "</f>
        <v xml:space="preserve">2170579094 </v>
      </c>
      <c r="G1900" s="10" t="str">
        <f t="shared" si="82"/>
        <v>ON1</v>
      </c>
      <c r="H1900" s="10" t="s">
        <v>21</v>
      </c>
      <c r="I1900" s="10" t="s">
        <v>290</v>
      </c>
      <c r="J1900" s="10" t="str">
        <f>""</f>
        <v/>
      </c>
      <c r="K1900" s="10" t="str">
        <f>"PFES1162562499_0001"</f>
        <v>PFES1162562499_0001</v>
      </c>
      <c r="L1900" s="10">
        <v>1</v>
      </c>
      <c r="M1900" s="10">
        <v>8</v>
      </c>
    </row>
    <row r="1901" spans="1:13">
      <c r="A1901" s="8">
        <v>42930</v>
      </c>
      <c r="B1901" s="9">
        <v>0.53402777777777777</v>
      </c>
      <c r="C1901" s="10" t="str">
        <f>"FES1162562601"</f>
        <v>FES1162562601</v>
      </c>
      <c r="D1901" s="10" t="s">
        <v>19</v>
      </c>
      <c r="E1901" s="10" t="s">
        <v>592</v>
      </c>
      <c r="F1901" s="10" t="str">
        <f>"2170578495 "</f>
        <v xml:space="preserve">2170578495 </v>
      </c>
      <c r="G1901" s="10" t="str">
        <f t="shared" si="82"/>
        <v>ON1</v>
      </c>
      <c r="H1901" s="10" t="s">
        <v>21</v>
      </c>
      <c r="I1901" s="10" t="s">
        <v>593</v>
      </c>
      <c r="J1901" s="10" t="str">
        <f>""</f>
        <v/>
      </c>
      <c r="K1901" s="10" t="str">
        <f>"PFES1162562601_0001"</f>
        <v>PFES1162562601_0001</v>
      </c>
      <c r="L1901" s="10">
        <v>1</v>
      </c>
      <c r="M1901" s="10">
        <v>5</v>
      </c>
    </row>
    <row r="1902" spans="1:13">
      <c r="A1902" s="8">
        <v>42930</v>
      </c>
      <c r="B1902" s="9">
        <v>0.53333333333333333</v>
      </c>
      <c r="C1902" s="10" t="str">
        <f>"FES1162562564"</f>
        <v>FES1162562564</v>
      </c>
      <c r="D1902" s="10" t="s">
        <v>19</v>
      </c>
      <c r="E1902" s="10" t="s">
        <v>384</v>
      </c>
      <c r="F1902" s="10" t="str">
        <f>"2170579164 "</f>
        <v xml:space="preserve">2170579164 </v>
      </c>
      <c r="G1902" s="10" t="str">
        <f t="shared" si="82"/>
        <v>ON1</v>
      </c>
      <c r="H1902" s="10" t="s">
        <v>21</v>
      </c>
      <c r="I1902" s="10" t="s">
        <v>228</v>
      </c>
      <c r="J1902" s="10" t="str">
        <f>""</f>
        <v/>
      </c>
      <c r="K1902" s="10" t="str">
        <f>"PFES1162562564_0001"</f>
        <v>PFES1162562564_0001</v>
      </c>
      <c r="L1902" s="10">
        <v>1</v>
      </c>
      <c r="M1902" s="10">
        <v>2</v>
      </c>
    </row>
    <row r="1903" spans="1:13">
      <c r="A1903" s="8">
        <v>42930</v>
      </c>
      <c r="B1903" s="9">
        <v>0.53263888888888888</v>
      </c>
      <c r="C1903" s="10" t="str">
        <f>"FES1162562538"</f>
        <v>FES1162562538</v>
      </c>
      <c r="D1903" s="10" t="s">
        <v>19</v>
      </c>
      <c r="E1903" s="10" t="s">
        <v>900</v>
      </c>
      <c r="F1903" s="10" t="str">
        <f>"2170579133 "</f>
        <v xml:space="preserve">2170579133 </v>
      </c>
      <c r="G1903" s="10" t="str">
        <f t="shared" si="82"/>
        <v>ON1</v>
      </c>
      <c r="H1903" s="10" t="s">
        <v>21</v>
      </c>
      <c r="I1903" s="10" t="s">
        <v>70</v>
      </c>
      <c r="J1903" s="10" t="str">
        <f>""</f>
        <v/>
      </c>
      <c r="K1903" s="10" t="str">
        <f>"PFES1162562538_0001"</f>
        <v>PFES1162562538_0001</v>
      </c>
      <c r="L1903" s="10">
        <v>1</v>
      </c>
      <c r="M1903" s="10">
        <v>1</v>
      </c>
    </row>
    <row r="1904" spans="1:13">
      <c r="A1904" s="8">
        <v>42930</v>
      </c>
      <c r="B1904" s="9">
        <v>0.53194444444444444</v>
      </c>
      <c r="C1904" s="10" t="str">
        <f>"FES1162562515"</f>
        <v>FES1162562515</v>
      </c>
      <c r="D1904" s="10" t="s">
        <v>19</v>
      </c>
      <c r="E1904" s="10" t="s">
        <v>140</v>
      </c>
      <c r="F1904" s="10" t="str">
        <f>"2170578798 "</f>
        <v xml:space="preserve">2170578798 </v>
      </c>
      <c r="G1904" s="10" t="str">
        <f t="shared" si="82"/>
        <v>ON1</v>
      </c>
      <c r="H1904" s="10" t="s">
        <v>21</v>
      </c>
      <c r="I1904" s="10" t="s">
        <v>109</v>
      </c>
      <c r="J1904" s="10" t="str">
        <f>""</f>
        <v/>
      </c>
      <c r="K1904" s="10" t="str">
        <f>"PFES1162562515_0001"</f>
        <v>PFES1162562515_0001</v>
      </c>
      <c r="L1904" s="10">
        <v>1</v>
      </c>
      <c r="M1904" s="10">
        <v>1</v>
      </c>
    </row>
    <row r="1905" spans="1:13">
      <c r="A1905" s="8">
        <v>42930</v>
      </c>
      <c r="B1905" s="9">
        <v>0.53125</v>
      </c>
      <c r="C1905" s="10" t="str">
        <f>"FES1162562605"</f>
        <v>FES1162562605</v>
      </c>
      <c r="D1905" s="10" t="s">
        <v>19</v>
      </c>
      <c r="E1905" s="10" t="s">
        <v>89</v>
      </c>
      <c r="F1905" s="10" t="str">
        <f>"2170579208 "</f>
        <v xml:space="preserve">2170579208 </v>
      </c>
      <c r="G1905" s="10" t="str">
        <f t="shared" si="82"/>
        <v>ON1</v>
      </c>
      <c r="H1905" s="10" t="s">
        <v>21</v>
      </c>
      <c r="I1905" s="10" t="s">
        <v>90</v>
      </c>
      <c r="J1905" s="10" t="str">
        <f>""</f>
        <v/>
      </c>
      <c r="K1905" s="10" t="str">
        <f>"PFES1162562605_0001"</f>
        <v>PFES1162562605_0001</v>
      </c>
      <c r="L1905" s="10">
        <v>1</v>
      </c>
      <c r="M1905" s="10">
        <v>1</v>
      </c>
    </row>
    <row r="1906" spans="1:13">
      <c r="A1906" s="8">
        <v>42930</v>
      </c>
      <c r="B1906" s="9">
        <v>0.53055555555555556</v>
      </c>
      <c r="C1906" s="10" t="str">
        <f>"FES1162562568"</f>
        <v>FES1162562568</v>
      </c>
      <c r="D1906" s="10" t="s">
        <v>19</v>
      </c>
      <c r="E1906" s="10" t="s">
        <v>901</v>
      </c>
      <c r="F1906" s="10" t="str">
        <f>"2170579161 "</f>
        <v xml:space="preserve">2170579161 </v>
      </c>
      <c r="G1906" s="10" t="str">
        <f t="shared" si="82"/>
        <v>ON1</v>
      </c>
      <c r="H1906" s="10" t="s">
        <v>21</v>
      </c>
      <c r="I1906" s="10" t="s">
        <v>70</v>
      </c>
      <c r="J1906" s="10" t="str">
        <f>""</f>
        <v/>
      </c>
      <c r="K1906" s="10" t="str">
        <f>"PFES1162562568_0001"</f>
        <v>PFES1162562568_0001</v>
      </c>
      <c r="L1906" s="10">
        <v>1</v>
      </c>
      <c r="M1906" s="10">
        <v>1</v>
      </c>
    </row>
    <row r="1907" spans="1:13">
      <c r="A1907" s="8">
        <v>42930</v>
      </c>
      <c r="B1907" s="9">
        <v>0.52916666666666667</v>
      </c>
      <c r="C1907" s="10" t="str">
        <f>"FES1162562527"</f>
        <v>FES1162562527</v>
      </c>
      <c r="D1907" s="10" t="s">
        <v>19</v>
      </c>
      <c r="E1907" s="10" t="s">
        <v>139</v>
      </c>
      <c r="F1907" s="10" t="str">
        <f>"2170579119 "</f>
        <v xml:space="preserve">2170579119 </v>
      </c>
      <c r="G1907" s="10" t="str">
        <f t="shared" si="82"/>
        <v>ON1</v>
      </c>
      <c r="H1907" s="10" t="s">
        <v>21</v>
      </c>
      <c r="I1907" s="10" t="s">
        <v>61</v>
      </c>
      <c r="J1907" s="10" t="str">
        <f>""</f>
        <v/>
      </c>
      <c r="K1907" s="10" t="str">
        <f>"PFES1162562527_0001"</f>
        <v>PFES1162562527_0001</v>
      </c>
      <c r="L1907" s="10">
        <v>1</v>
      </c>
      <c r="M1907" s="10">
        <v>1</v>
      </c>
    </row>
    <row r="1908" spans="1:13">
      <c r="A1908" s="8">
        <v>42930</v>
      </c>
      <c r="B1908" s="9">
        <v>0.52847222222222223</v>
      </c>
      <c r="C1908" s="10" t="str">
        <f>"FES1162562561"</f>
        <v>FES1162562561</v>
      </c>
      <c r="D1908" s="10" t="s">
        <v>19</v>
      </c>
      <c r="E1908" s="10" t="s">
        <v>511</v>
      </c>
      <c r="F1908" s="10" t="str">
        <f>"2170579158 "</f>
        <v xml:space="preserve">2170579158 </v>
      </c>
      <c r="G1908" s="10" t="str">
        <f t="shared" si="82"/>
        <v>ON1</v>
      </c>
      <c r="H1908" s="10" t="s">
        <v>21</v>
      </c>
      <c r="I1908" s="10" t="s">
        <v>138</v>
      </c>
      <c r="J1908" s="10" t="str">
        <f>""</f>
        <v/>
      </c>
      <c r="K1908" s="10" t="str">
        <f>"PFES1162562561_0001"</f>
        <v>PFES1162562561_0001</v>
      </c>
      <c r="L1908" s="10">
        <v>1</v>
      </c>
      <c r="M1908" s="10">
        <v>1</v>
      </c>
    </row>
    <row r="1909" spans="1:13">
      <c r="A1909" s="8">
        <v>42930</v>
      </c>
      <c r="B1909" s="9">
        <v>0.52777777777777779</v>
      </c>
      <c r="C1909" s="10" t="str">
        <f>"FES1162562512"</f>
        <v>FES1162562512</v>
      </c>
      <c r="D1909" s="10" t="s">
        <v>19</v>
      </c>
      <c r="E1909" s="10" t="s">
        <v>647</v>
      </c>
      <c r="F1909" s="10" t="str">
        <f>"2170578376 "</f>
        <v xml:space="preserve">2170578376 </v>
      </c>
      <c r="G1909" s="10" t="str">
        <f t="shared" si="82"/>
        <v>ON1</v>
      </c>
      <c r="H1909" s="10" t="s">
        <v>21</v>
      </c>
      <c r="I1909" s="10" t="s">
        <v>410</v>
      </c>
      <c r="J1909" s="10" t="str">
        <f>""</f>
        <v/>
      </c>
      <c r="K1909" s="10" t="str">
        <f>"PFES1162562512_0001"</f>
        <v>PFES1162562512_0001</v>
      </c>
      <c r="L1909" s="10">
        <v>1</v>
      </c>
      <c r="M1909" s="10">
        <v>1</v>
      </c>
    </row>
    <row r="1910" spans="1:13">
      <c r="A1910" s="8">
        <v>42930</v>
      </c>
      <c r="B1910" s="9">
        <v>0.52708333333333335</v>
      </c>
      <c r="C1910" s="10" t="str">
        <f>"FES1162562514"</f>
        <v>FES1162562514</v>
      </c>
      <c r="D1910" s="10" t="s">
        <v>19</v>
      </c>
      <c r="E1910" s="10" t="s">
        <v>108</v>
      </c>
      <c r="F1910" s="10" t="str">
        <f>"2170578494 "</f>
        <v xml:space="preserve">2170578494 </v>
      </c>
      <c r="G1910" s="10" t="str">
        <f t="shared" si="82"/>
        <v>ON1</v>
      </c>
      <c r="H1910" s="10" t="s">
        <v>21</v>
      </c>
      <c r="I1910" s="10" t="s">
        <v>109</v>
      </c>
      <c r="J1910" s="10" t="str">
        <f>""</f>
        <v/>
      </c>
      <c r="K1910" s="10" t="str">
        <f>"PFES1162562514_0001"</f>
        <v>PFES1162562514_0001</v>
      </c>
      <c r="L1910" s="10">
        <v>1</v>
      </c>
      <c r="M1910" s="10">
        <v>1</v>
      </c>
    </row>
    <row r="1911" spans="1:13">
      <c r="A1911" s="8">
        <v>42930</v>
      </c>
      <c r="B1911" s="9">
        <v>0.52638888888888891</v>
      </c>
      <c r="C1911" s="10" t="str">
        <f>"FES1162562522"</f>
        <v>FES1162562522</v>
      </c>
      <c r="D1911" s="10" t="s">
        <v>19</v>
      </c>
      <c r="E1911" s="10" t="s">
        <v>825</v>
      </c>
      <c r="F1911" s="10" t="str">
        <f>"2170579110 "</f>
        <v xml:space="preserve">2170579110 </v>
      </c>
      <c r="G1911" s="10" t="str">
        <f t="shared" si="82"/>
        <v>ON1</v>
      </c>
      <c r="H1911" s="10" t="s">
        <v>21</v>
      </c>
      <c r="I1911" s="10" t="s">
        <v>724</v>
      </c>
      <c r="J1911" s="10" t="str">
        <f>""</f>
        <v/>
      </c>
      <c r="K1911" s="10" t="str">
        <f>"PFES1162562522_0001"</f>
        <v>PFES1162562522_0001</v>
      </c>
      <c r="L1911" s="10">
        <v>1</v>
      </c>
      <c r="M1911" s="10">
        <v>1</v>
      </c>
    </row>
    <row r="1912" spans="1:13">
      <c r="A1912" s="8">
        <v>42930</v>
      </c>
      <c r="B1912" s="9">
        <v>0.52638888888888891</v>
      </c>
      <c r="C1912" s="10" t="str">
        <f>"FES1162562598"</f>
        <v>FES1162562598</v>
      </c>
      <c r="D1912" s="10" t="s">
        <v>19</v>
      </c>
      <c r="E1912" s="10" t="s">
        <v>39</v>
      </c>
      <c r="F1912" s="10" t="str">
        <f>"2170579197 "</f>
        <v xml:space="preserve">2170579197 </v>
      </c>
      <c r="G1912" s="10" t="str">
        <f t="shared" si="82"/>
        <v>ON1</v>
      </c>
      <c r="H1912" s="10" t="s">
        <v>21</v>
      </c>
      <c r="I1912" s="10" t="s">
        <v>40</v>
      </c>
      <c r="J1912" s="10" t="str">
        <f>""</f>
        <v/>
      </c>
      <c r="K1912" s="10" t="str">
        <f>"PFES1162562598_0001"</f>
        <v>PFES1162562598_0001</v>
      </c>
      <c r="L1912" s="10">
        <v>1</v>
      </c>
      <c r="M1912" s="10">
        <v>1</v>
      </c>
    </row>
    <row r="1913" spans="1:13">
      <c r="A1913" s="8">
        <v>42930</v>
      </c>
      <c r="B1913" s="9">
        <v>0.52569444444444446</v>
      </c>
      <c r="C1913" s="10" t="str">
        <f>"FES1162562569"</f>
        <v>FES1162562569</v>
      </c>
      <c r="D1913" s="10" t="s">
        <v>19</v>
      </c>
      <c r="E1913" s="10" t="s">
        <v>243</v>
      </c>
      <c r="F1913" s="10" t="str">
        <f>"2170579166 "</f>
        <v xml:space="preserve">2170579166 </v>
      </c>
      <c r="G1913" s="10" t="str">
        <f t="shared" si="82"/>
        <v>ON1</v>
      </c>
      <c r="H1913" s="10" t="s">
        <v>21</v>
      </c>
      <c r="I1913" s="10" t="s">
        <v>244</v>
      </c>
      <c r="J1913" s="10" t="str">
        <f>""</f>
        <v/>
      </c>
      <c r="K1913" s="10" t="str">
        <f>"PFES1162562569_0001"</f>
        <v>PFES1162562569_0001</v>
      </c>
      <c r="L1913" s="10">
        <v>1</v>
      </c>
      <c r="M1913" s="10">
        <v>1</v>
      </c>
    </row>
    <row r="1914" spans="1:13">
      <c r="A1914" s="8">
        <v>42930</v>
      </c>
      <c r="B1914" s="9">
        <v>0.52500000000000002</v>
      </c>
      <c r="C1914" s="10" t="str">
        <f>"FES1162562577"</f>
        <v>FES1162562577</v>
      </c>
      <c r="D1914" s="10" t="s">
        <v>19</v>
      </c>
      <c r="E1914" s="10" t="s">
        <v>902</v>
      </c>
      <c r="F1914" s="10" t="str">
        <f>"2170579177 "</f>
        <v xml:space="preserve">2170579177 </v>
      </c>
      <c r="G1914" s="10" t="str">
        <f t="shared" si="82"/>
        <v>ON1</v>
      </c>
      <c r="H1914" s="10" t="s">
        <v>21</v>
      </c>
      <c r="I1914" s="10" t="s">
        <v>903</v>
      </c>
      <c r="J1914" s="10" t="str">
        <f>""</f>
        <v/>
      </c>
      <c r="K1914" s="10" t="str">
        <f>"PFES1162562577_0001"</f>
        <v>PFES1162562577_0001</v>
      </c>
      <c r="L1914" s="10">
        <v>1</v>
      </c>
      <c r="M1914" s="10">
        <v>1</v>
      </c>
    </row>
    <row r="1915" spans="1:13">
      <c r="A1915" s="8">
        <v>42930</v>
      </c>
      <c r="B1915" s="9">
        <v>0.52430555555555558</v>
      </c>
      <c r="C1915" s="10" t="str">
        <f>"FES1162562570"</f>
        <v>FES1162562570</v>
      </c>
      <c r="D1915" s="10" t="s">
        <v>19</v>
      </c>
      <c r="E1915" s="10" t="s">
        <v>712</v>
      </c>
      <c r="F1915" s="10" t="str">
        <f>"2170579167 "</f>
        <v xml:space="preserve">2170579167 </v>
      </c>
      <c r="G1915" s="10" t="str">
        <f t="shared" si="82"/>
        <v>ON1</v>
      </c>
      <c r="H1915" s="10" t="s">
        <v>21</v>
      </c>
      <c r="I1915" s="10" t="s">
        <v>228</v>
      </c>
      <c r="J1915" s="10" t="str">
        <f>""</f>
        <v/>
      </c>
      <c r="K1915" s="10" t="str">
        <f>"PFES1162562570_0001"</f>
        <v>PFES1162562570_0001</v>
      </c>
      <c r="L1915" s="10">
        <v>1</v>
      </c>
      <c r="M1915" s="10">
        <v>1</v>
      </c>
    </row>
    <row r="1916" spans="1:13">
      <c r="A1916" s="8">
        <v>42930</v>
      </c>
      <c r="B1916" s="9">
        <v>0.52430555555555558</v>
      </c>
      <c r="C1916" s="10" t="str">
        <f>"FES1162562593"</f>
        <v>FES1162562593</v>
      </c>
      <c r="D1916" s="10" t="s">
        <v>19</v>
      </c>
      <c r="E1916" s="10" t="s">
        <v>129</v>
      </c>
      <c r="F1916" s="10" t="str">
        <f>"2170570900 "</f>
        <v xml:space="preserve">2170570900 </v>
      </c>
      <c r="G1916" s="10" t="str">
        <f t="shared" si="82"/>
        <v>ON1</v>
      </c>
      <c r="H1916" s="10" t="s">
        <v>21</v>
      </c>
      <c r="I1916" s="10" t="s">
        <v>130</v>
      </c>
      <c r="J1916" s="10" t="str">
        <f>""</f>
        <v/>
      </c>
      <c r="K1916" s="10" t="str">
        <f>"PFES1162562593_0001"</f>
        <v>PFES1162562593_0001</v>
      </c>
      <c r="L1916" s="10">
        <v>1</v>
      </c>
      <c r="M1916" s="10">
        <v>1</v>
      </c>
    </row>
    <row r="1917" spans="1:13">
      <c r="A1917" s="8">
        <v>42930</v>
      </c>
      <c r="B1917" s="9">
        <v>0.52361111111111114</v>
      </c>
      <c r="C1917" s="10" t="str">
        <f>"FES1162562615"</f>
        <v>FES1162562615</v>
      </c>
      <c r="D1917" s="10" t="s">
        <v>19</v>
      </c>
      <c r="E1917" s="10" t="s">
        <v>164</v>
      </c>
      <c r="F1917" s="10" t="str">
        <f>"2170579220 "</f>
        <v xml:space="preserve">2170579220 </v>
      </c>
      <c r="G1917" s="10" t="str">
        <f t="shared" si="82"/>
        <v>ON1</v>
      </c>
      <c r="H1917" s="10" t="s">
        <v>21</v>
      </c>
      <c r="I1917" s="10" t="s">
        <v>147</v>
      </c>
      <c r="J1917" s="10" t="str">
        <f>""</f>
        <v/>
      </c>
      <c r="K1917" s="10" t="str">
        <f>"PFES1162562615_0001"</f>
        <v>PFES1162562615_0001</v>
      </c>
      <c r="L1917" s="10">
        <v>1</v>
      </c>
      <c r="M1917" s="10">
        <v>4</v>
      </c>
    </row>
    <row r="1918" spans="1:13">
      <c r="A1918" s="8">
        <v>42930</v>
      </c>
      <c r="B1918" s="9">
        <v>0.5229166666666667</v>
      </c>
      <c r="C1918" s="10" t="str">
        <f>"FES1162562622"</f>
        <v>FES1162562622</v>
      </c>
      <c r="D1918" s="10" t="s">
        <v>19</v>
      </c>
      <c r="E1918" s="10" t="s">
        <v>193</v>
      </c>
      <c r="F1918" s="10" t="str">
        <f>"2170579227 "</f>
        <v xml:space="preserve">2170579227 </v>
      </c>
      <c r="G1918" s="10" t="str">
        <f t="shared" si="82"/>
        <v>ON1</v>
      </c>
      <c r="H1918" s="10" t="s">
        <v>21</v>
      </c>
      <c r="I1918" s="10" t="s">
        <v>183</v>
      </c>
      <c r="J1918" s="10" t="str">
        <f>""</f>
        <v/>
      </c>
      <c r="K1918" s="10" t="str">
        <f>"PFES1162562622_0001"</f>
        <v>PFES1162562622_0001</v>
      </c>
      <c r="L1918" s="10">
        <v>1</v>
      </c>
      <c r="M1918" s="10">
        <v>1</v>
      </c>
    </row>
    <row r="1919" spans="1:13">
      <c r="A1919" s="8">
        <v>42930</v>
      </c>
      <c r="B1919" s="9">
        <v>0.52222222222222225</v>
      </c>
      <c r="C1919" s="10" t="str">
        <f>"FES1162562596"</f>
        <v>FES1162562596</v>
      </c>
      <c r="D1919" s="10" t="s">
        <v>19</v>
      </c>
      <c r="E1919" s="10" t="s">
        <v>904</v>
      </c>
      <c r="F1919" s="10" t="str">
        <f>"2170579192 "</f>
        <v xml:space="preserve">2170579192 </v>
      </c>
      <c r="G1919" s="10" t="str">
        <f t="shared" si="82"/>
        <v>ON1</v>
      </c>
      <c r="H1919" s="10" t="s">
        <v>21</v>
      </c>
      <c r="I1919" s="10" t="s">
        <v>138</v>
      </c>
      <c r="J1919" s="10" t="str">
        <f>""</f>
        <v/>
      </c>
      <c r="K1919" s="10" t="str">
        <f>"PFES1162562596_0001"</f>
        <v>PFES1162562596_0001</v>
      </c>
      <c r="L1919" s="10">
        <v>1</v>
      </c>
      <c r="M1919" s="10">
        <v>1</v>
      </c>
    </row>
    <row r="1920" spans="1:13">
      <c r="A1920" s="8">
        <v>42930</v>
      </c>
      <c r="B1920" s="9">
        <v>0.52152777777777781</v>
      </c>
      <c r="C1920" s="10" t="str">
        <f>"FES1162562618"</f>
        <v>FES1162562618</v>
      </c>
      <c r="D1920" s="10" t="s">
        <v>19</v>
      </c>
      <c r="E1920" s="10" t="s">
        <v>447</v>
      </c>
      <c r="F1920" s="10" t="str">
        <f>"2170579226 "</f>
        <v xml:space="preserve">2170579226 </v>
      </c>
      <c r="G1920" s="10" t="str">
        <f t="shared" si="82"/>
        <v>ON1</v>
      </c>
      <c r="H1920" s="10" t="s">
        <v>21</v>
      </c>
      <c r="I1920" s="10" t="s">
        <v>259</v>
      </c>
      <c r="J1920" s="10" t="str">
        <f>""</f>
        <v/>
      </c>
      <c r="K1920" s="10" t="str">
        <f>"PFES1162562618_0001"</f>
        <v>PFES1162562618_0001</v>
      </c>
      <c r="L1920" s="10">
        <v>1</v>
      </c>
      <c r="M1920" s="10">
        <v>1</v>
      </c>
    </row>
    <row r="1921" spans="1:13">
      <c r="A1921" s="8">
        <v>42930</v>
      </c>
      <c r="B1921" s="9">
        <v>0.52083333333333337</v>
      </c>
      <c r="C1921" s="10" t="str">
        <f>"FES1162562617"</f>
        <v>FES1162562617</v>
      </c>
      <c r="D1921" s="10" t="s">
        <v>19</v>
      </c>
      <c r="E1921" s="10" t="s">
        <v>89</v>
      </c>
      <c r="F1921" s="10" t="str">
        <f>"2170579225 "</f>
        <v xml:space="preserve">2170579225 </v>
      </c>
      <c r="G1921" s="10" t="str">
        <f t="shared" si="82"/>
        <v>ON1</v>
      </c>
      <c r="H1921" s="10" t="s">
        <v>21</v>
      </c>
      <c r="I1921" s="10" t="s">
        <v>90</v>
      </c>
      <c r="J1921" s="10" t="str">
        <f>""</f>
        <v/>
      </c>
      <c r="K1921" s="10" t="str">
        <f>"PFES1162562617_0001"</f>
        <v>PFES1162562617_0001</v>
      </c>
      <c r="L1921" s="10">
        <v>1</v>
      </c>
      <c r="M1921" s="10">
        <v>1</v>
      </c>
    </row>
    <row r="1922" spans="1:13">
      <c r="A1922" s="8">
        <v>42930</v>
      </c>
      <c r="B1922" s="9">
        <v>0.52013888888888882</v>
      </c>
      <c r="C1922" s="10" t="str">
        <f>"FES1162562586"</f>
        <v>FES1162562586</v>
      </c>
      <c r="D1922" s="10" t="s">
        <v>19</v>
      </c>
      <c r="E1922" s="10" t="s">
        <v>729</v>
      </c>
      <c r="F1922" s="10" t="str">
        <f>"2170579188 "</f>
        <v xml:space="preserve">2170579188 </v>
      </c>
      <c r="G1922" s="10" t="str">
        <f t="shared" si="82"/>
        <v>ON1</v>
      </c>
      <c r="H1922" s="10" t="s">
        <v>21</v>
      </c>
      <c r="I1922" s="10" t="s">
        <v>730</v>
      </c>
      <c r="J1922" s="10" t="str">
        <f>""</f>
        <v/>
      </c>
      <c r="K1922" s="10" t="str">
        <f>"PFES1162562586_0001"</f>
        <v>PFES1162562586_0001</v>
      </c>
      <c r="L1922" s="10">
        <v>1</v>
      </c>
      <c r="M1922" s="10">
        <v>13</v>
      </c>
    </row>
    <row r="1923" spans="1:13">
      <c r="A1923" s="8">
        <v>42930</v>
      </c>
      <c r="B1923" s="9">
        <v>0.49305555555555558</v>
      </c>
      <c r="C1923" s="10" t="str">
        <f>"FES1162562611"</f>
        <v>FES1162562611</v>
      </c>
      <c r="D1923" s="10" t="s">
        <v>19</v>
      </c>
      <c r="E1923" s="10" t="s">
        <v>905</v>
      </c>
      <c r="F1923" s="10" t="str">
        <f>"2170579221 "</f>
        <v xml:space="preserve">2170579221 </v>
      </c>
      <c r="G1923" s="10" t="str">
        <f t="shared" si="82"/>
        <v>ON1</v>
      </c>
      <c r="H1923" s="10" t="s">
        <v>21</v>
      </c>
      <c r="I1923" s="10" t="s">
        <v>161</v>
      </c>
      <c r="J1923" s="10" t="str">
        <f>""</f>
        <v/>
      </c>
      <c r="K1923" s="10" t="str">
        <f>"PFES1162562611_0001"</f>
        <v>PFES1162562611_0001</v>
      </c>
      <c r="L1923" s="10">
        <v>1</v>
      </c>
      <c r="M1923" s="10">
        <v>1</v>
      </c>
    </row>
    <row r="1924" spans="1:13">
      <c r="A1924" s="8">
        <v>42930</v>
      </c>
      <c r="B1924" s="9">
        <v>0.49305555555555558</v>
      </c>
      <c r="C1924" s="10" t="str">
        <f>"FES1162562609"</f>
        <v>FES1162562609</v>
      </c>
      <c r="D1924" s="10" t="s">
        <v>19</v>
      </c>
      <c r="E1924" s="10" t="s">
        <v>175</v>
      </c>
      <c r="F1924" s="10" t="str">
        <f>"2170579210 "</f>
        <v xml:space="preserve">2170579210 </v>
      </c>
      <c r="G1924" s="10" t="str">
        <f t="shared" si="82"/>
        <v>ON1</v>
      </c>
      <c r="H1924" s="10" t="s">
        <v>21</v>
      </c>
      <c r="I1924" s="10" t="s">
        <v>168</v>
      </c>
      <c r="J1924" s="10" t="str">
        <f>""</f>
        <v/>
      </c>
      <c r="K1924" s="10" t="str">
        <f>"PFES1162562609_0001"</f>
        <v>PFES1162562609_0001</v>
      </c>
      <c r="L1924" s="10">
        <v>1</v>
      </c>
      <c r="M1924" s="10">
        <v>1</v>
      </c>
    </row>
    <row r="1925" spans="1:13">
      <c r="A1925" s="8">
        <v>42930</v>
      </c>
      <c r="B1925" s="9">
        <v>0.49236111111111108</v>
      </c>
      <c r="C1925" s="10" t="str">
        <f>"FES1162562603"</f>
        <v>FES1162562603</v>
      </c>
      <c r="D1925" s="10" t="s">
        <v>19</v>
      </c>
      <c r="E1925" s="10" t="s">
        <v>146</v>
      </c>
      <c r="F1925" s="10" t="str">
        <f>"2170579203 "</f>
        <v xml:space="preserve">2170579203 </v>
      </c>
      <c r="G1925" s="10" t="str">
        <f t="shared" si="82"/>
        <v>ON1</v>
      </c>
      <c r="H1925" s="10" t="s">
        <v>21</v>
      </c>
      <c r="I1925" s="10" t="s">
        <v>147</v>
      </c>
      <c r="J1925" s="10" t="str">
        <f>""</f>
        <v/>
      </c>
      <c r="K1925" s="10" t="str">
        <f>"PFES1162562603_0001"</f>
        <v>PFES1162562603_0001</v>
      </c>
      <c r="L1925" s="10">
        <v>1</v>
      </c>
      <c r="M1925" s="10">
        <v>1</v>
      </c>
    </row>
    <row r="1926" spans="1:13">
      <c r="A1926" s="8">
        <v>42930</v>
      </c>
      <c r="B1926" s="9">
        <v>0.49236111111111108</v>
      </c>
      <c r="C1926" s="10" t="str">
        <f>"FES1162562606"</f>
        <v>FES1162562606</v>
      </c>
      <c r="D1926" s="10" t="s">
        <v>19</v>
      </c>
      <c r="E1926" s="10" t="s">
        <v>120</v>
      </c>
      <c r="F1926" s="10" t="str">
        <f>"2170579209 "</f>
        <v xml:space="preserve">2170579209 </v>
      </c>
      <c r="G1926" s="10" t="str">
        <f t="shared" si="82"/>
        <v>ON1</v>
      </c>
      <c r="H1926" s="10" t="s">
        <v>21</v>
      </c>
      <c r="I1926" s="10" t="s">
        <v>121</v>
      </c>
      <c r="J1926" s="10" t="str">
        <f>""</f>
        <v/>
      </c>
      <c r="K1926" s="10" t="str">
        <f>"PFES1162562606_0001"</f>
        <v>PFES1162562606_0001</v>
      </c>
      <c r="L1926" s="10">
        <v>1</v>
      </c>
      <c r="M1926" s="10">
        <v>1</v>
      </c>
    </row>
    <row r="1927" spans="1:13">
      <c r="A1927" s="8">
        <v>42930</v>
      </c>
      <c r="B1927" s="9">
        <v>0.49236111111111108</v>
      </c>
      <c r="C1927" s="10" t="str">
        <f>"FES1162562614"</f>
        <v>FES1162562614</v>
      </c>
      <c r="D1927" s="10" t="s">
        <v>19</v>
      </c>
      <c r="E1927" s="10" t="s">
        <v>45</v>
      </c>
      <c r="F1927" s="10" t="str">
        <f>"2170579223 "</f>
        <v xml:space="preserve">2170579223 </v>
      </c>
      <c r="G1927" s="10" t="str">
        <f t="shared" si="82"/>
        <v>ON1</v>
      </c>
      <c r="H1927" s="10" t="s">
        <v>21</v>
      </c>
      <c r="I1927" s="10" t="s">
        <v>46</v>
      </c>
      <c r="J1927" s="10" t="str">
        <f>""</f>
        <v/>
      </c>
      <c r="K1927" s="10" t="str">
        <f>"PFES1162562614_0001"</f>
        <v>PFES1162562614_0001</v>
      </c>
      <c r="L1927" s="10">
        <v>1</v>
      </c>
      <c r="M1927" s="10">
        <v>1</v>
      </c>
    </row>
    <row r="1928" spans="1:13">
      <c r="A1928" s="8">
        <v>42930</v>
      </c>
      <c r="B1928" s="9">
        <v>0.4916666666666667</v>
      </c>
      <c r="C1928" s="10" t="str">
        <f>"FES1162562579"</f>
        <v>FES1162562579</v>
      </c>
      <c r="D1928" s="10" t="s">
        <v>19</v>
      </c>
      <c r="E1928" s="10" t="s">
        <v>737</v>
      </c>
      <c r="F1928" s="10" t="str">
        <f>"2170579178 "</f>
        <v xml:space="preserve">2170579178 </v>
      </c>
      <c r="G1928" s="10" t="str">
        <f t="shared" si="82"/>
        <v>ON1</v>
      </c>
      <c r="H1928" s="10" t="s">
        <v>21</v>
      </c>
      <c r="I1928" s="10" t="s">
        <v>330</v>
      </c>
      <c r="J1928" s="10" t="str">
        <f>""</f>
        <v/>
      </c>
      <c r="K1928" s="10" t="str">
        <f>"PFES1162562579_0001"</f>
        <v>PFES1162562579_0001</v>
      </c>
      <c r="L1928" s="10">
        <v>1</v>
      </c>
      <c r="M1928" s="10">
        <v>1</v>
      </c>
    </row>
    <row r="1929" spans="1:13">
      <c r="A1929" s="8">
        <v>42930</v>
      </c>
      <c r="B1929" s="9">
        <v>0.48958333333333331</v>
      </c>
      <c r="C1929" s="10" t="str">
        <f>"FES1162562567"</f>
        <v>FES1162562567</v>
      </c>
      <c r="D1929" s="10" t="s">
        <v>19</v>
      </c>
      <c r="E1929" s="10" t="s">
        <v>301</v>
      </c>
      <c r="F1929" s="10" t="str">
        <f>"2170579160 "</f>
        <v xml:space="preserve">2170579160 </v>
      </c>
      <c r="G1929" s="10" t="str">
        <f t="shared" si="82"/>
        <v>ON1</v>
      </c>
      <c r="H1929" s="10" t="s">
        <v>21</v>
      </c>
      <c r="I1929" s="10" t="s">
        <v>302</v>
      </c>
      <c r="J1929" s="10" t="str">
        <f>""</f>
        <v/>
      </c>
      <c r="K1929" s="10" t="str">
        <f>"PFES1162562567_0001"</f>
        <v>PFES1162562567_0001</v>
      </c>
      <c r="L1929" s="10">
        <v>1</v>
      </c>
      <c r="M1929" s="10">
        <v>1</v>
      </c>
    </row>
    <row r="1930" spans="1:13">
      <c r="A1930" s="8">
        <v>42930</v>
      </c>
      <c r="B1930" s="9">
        <v>0.48472222222222222</v>
      </c>
      <c r="C1930" s="10" t="str">
        <f>"FES1162562587"</f>
        <v>FES1162562587</v>
      </c>
      <c r="D1930" s="10" t="s">
        <v>19</v>
      </c>
      <c r="E1930" s="10" t="s">
        <v>20</v>
      </c>
      <c r="F1930" s="10" t="str">
        <f>"2170579189 "</f>
        <v xml:space="preserve">2170579189 </v>
      </c>
      <c r="G1930" s="10" t="str">
        <f t="shared" si="82"/>
        <v>ON1</v>
      </c>
      <c r="H1930" s="10" t="s">
        <v>21</v>
      </c>
      <c r="I1930" s="10" t="s">
        <v>22</v>
      </c>
      <c r="J1930" s="10" t="str">
        <f>""</f>
        <v/>
      </c>
      <c r="K1930" s="10" t="str">
        <f>"PFES1162562587_0001"</f>
        <v>PFES1162562587_0001</v>
      </c>
      <c r="L1930" s="10">
        <v>1</v>
      </c>
      <c r="M1930" s="10">
        <v>1</v>
      </c>
    </row>
    <row r="1931" spans="1:13">
      <c r="A1931" s="8">
        <v>42930</v>
      </c>
      <c r="B1931" s="9">
        <v>0.48472222222222222</v>
      </c>
      <c r="C1931" s="10" t="str">
        <f>"FES1162562563"</f>
        <v>FES1162562563</v>
      </c>
      <c r="D1931" s="10" t="s">
        <v>19</v>
      </c>
      <c r="E1931" s="10" t="s">
        <v>326</v>
      </c>
      <c r="F1931" s="10" t="str">
        <f>"2170579163 "</f>
        <v xml:space="preserve">2170579163 </v>
      </c>
      <c r="G1931" s="10" t="str">
        <f t="shared" si="82"/>
        <v>ON1</v>
      </c>
      <c r="H1931" s="10" t="s">
        <v>21</v>
      </c>
      <c r="I1931" s="10" t="s">
        <v>327</v>
      </c>
      <c r="J1931" s="10" t="str">
        <f>""</f>
        <v/>
      </c>
      <c r="K1931" s="10" t="str">
        <f>"PFES1162562563_0001"</f>
        <v>PFES1162562563_0001</v>
      </c>
      <c r="L1931" s="10">
        <v>1</v>
      </c>
      <c r="M1931" s="10">
        <v>1</v>
      </c>
    </row>
    <row r="1932" spans="1:13">
      <c r="A1932" s="8">
        <v>42930</v>
      </c>
      <c r="B1932" s="9">
        <v>0.48402777777777778</v>
      </c>
      <c r="C1932" s="10" t="str">
        <f>"FES1162562534"</f>
        <v>FES1162562534</v>
      </c>
      <c r="D1932" s="10" t="s">
        <v>19</v>
      </c>
      <c r="E1932" s="10" t="s">
        <v>906</v>
      </c>
      <c r="F1932" s="10" t="str">
        <f>"2170579127 "</f>
        <v xml:space="preserve">2170579127 </v>
      </c>
      <c r="G1932" s="10" t="str">
        <f t="shared" si="82"/>
        <v>ON1</v>
      </c>
      <c r="H1932" s="10" t="s">
        <v>21</v>
      </c>
      <c r="I1932" s="10" t="s">
        <v>907</v>
      </c>
      <c r="J1932" s="10" t="str">
        <f>""</f>
        <v/>
      </c>
      <c r="K1932" s="10" t="str">
        <f>"PFES1162562534_0001"</f>
        <v>PFES1162562534_0001</v>
      </c>
      <c r="L1932" s="10">
        <v>1</v>
      </c>
      <c r="M1932" s="10">
        <v>1</v>
      </c>
    </row>
    <row r="1933" spans="1:13">
      <c r="A1933" s="8">
        <v>42930</v>
      </c>
      <c r="B1933" s="9">
        <v>0.48333333333333334</v>
      </c>
      <c r="C1933" s="10" t="str">
        <f>"FES1162562553"</f>
        <v>FES1162562553</v>
      </c>
      <c r="D1933" s="10" t="s">
        <v>19</v>
      </c>
      <c r="E1933" s="10" t="s">
        <v>802</v>
      </c>
      <c r="F1933" s="10" t="str">
        <f>"2170579151 "</f>
        <v xml:space="preserve">2170579151 </v>
      </c>
      <c r="G1933" s="10" t="str">
        <f t="shared" si="82"/>
        <v>ON1</v>
      </c>
      <c r="H1933" s="10" t="s">
        <v>21</v>
      </c>
      <c r="I1933" s="10" t="s">
        <v>224</v>
      </c>
      <c r="J1933" s="10" t="str">
        <f>""</f>
        <v/>
      </c>
      <c r="K1933" s="10" t="str">
        <f>"PFES1162562553_0001"</f>
        <v>PFES1162562553_0001</v>
      </c>
      <c r="L1933" s="10">
        <v>1</v>
      </c>
      <c r="M1933" s="10">
        <v>1</v>
      </c>
    </row>
    <row r="1934" spans="1:13">
      <c r="A1934" s="8">
        <v>42930</v>
      </c>
      <c r="B1934" s="9">
        <v>0.48333333333333334</v>
      </c>
      <c r="C1934" s="10" t="str">
        <f>"FES1162562560"</f>
        <v>FES1162562560</v>
      </c>
      <c r="D1934" s="10" t="s">
        <v>19</v>
      </c>
      <c r="E1934" s="10" t="s">
        <v>908</v>
      </c>
      <c r="F1934" s="10" t="str">
        <f>"2170579157 "</f>
        <v xml:space="preserve">2170579157 </v>
      </c>
      <c r="G1934" s="10" t="str">
        <f t="shared" si="82"/>
        <v>ON1</v>
      </c>
      <c r="H1934" s="10" t="s">
        <v>21</v>
      </c>
      <c r="I1934" s="10" t="s">
        <v>115</v>
      </c>
      <c r="J1934" s="10" t="str">
        <f>""</f>
        <v/>
      </c>
      <c r="K1934" s="10" t="str">
        <f>"PFES1162562560_0001"</f>
        <v>PFES1162562560_0001</v>
      </c>
      <c r="L1934" s="10">
        <v>1</v>
      </c>
      <c r="M1934" s="10">
        <v>1</v>
      </c>
    </row>
    <row r="1935" spans="1:13">
      <c r="A1935" s="8">
        <v>42930</v>
      </c>
      <c r="B1935" s="9">
        <v>0.4826388888888889</v>
      </c>
      <c r="C1935" s="10" t="str">
        <f>"FES1162562562"</f>
        <v>FES1162562562</v>
      </c>
      <c r="D1935" s="10" t="s">
        <v>19</v>
      </c>
      <c r="E1935" s="10" t="s">
        <v>908</v>
      </c>
      <c r="F1935" s="10" t="str">
        <f>"2170579159 "</f>
        <v xml:space="preserve">2170579159 </v>
      </c>
      <c r="G1935" s="10" t="str">
        <f t="shared" si="82"/>
        <v>ON1</v>
      </c>
      <c r="H1935" s="10" t="s">
        <v>21</v>
      </c>
      <c r="I1935" s="10" t="s">
        <v>115</v>
      </c>
      <c r="J1935" s="10" t="str">
        <f>""</f>
        <v/>
      </c>
      <c r="K1935" s="10" t="str">
        <f>"PFES1162562562_0001"</f>
        <v>PFES1162562562_0001</v>
      </c>
      <c r="L1935" s="10">
        <v>1</v>
      </c>
      <c r="M1935" s="10">
        <v>1</v>
      </c>
    </row>
    <row r="1936" spans="1:13">
      <c r="A1936" s="8">
        <v>42930</v>
      </c>
      <c r="B1936" s="9">
        <v>0.48194444444444445</v>
      </c>
      <c r="C1936" s="10" t="str">
        <f>"FES1162562576"</f>
        <v>FES1162562576</v>
      </c>
      <c r="D1936" s="10" t="s">
        <v>19</v>
      </c>
      <c r="E1936" s="10" t="s">
        <v>33</v>
      </c>
      <c r="F1936" s="10" t="str">
        <f>"2170579176 "</f>
        <v xml:space="preserve">2170579176 </v>
      </c>
      <c r="G1936" s="10" t="str">
        <f t="shared" si="82"/>
        <v>ON1</v>
      </c>
      <c r="H1936" s="10" t="s">
        <v>21</v>
      </c>
      <c r="I1936" s="10" t="s">
        <v>34</v>
      </c>
      <c r="J1936" s="10" t="str">
        <f>""</f>
        <v/>
      </c>
      <c r="K1936" s="10" t="str">
        <f>"PFES1162562576_0001"</f>
        <v>PFES1162562576_0001</v>
      </c>
      <c r="L1936" s="10">
        <v>1</v>
      </c>
      <c r="M1936" s="10">
        <v>1</v>
      </c>
    </row>
    <row r="1937" spans="1:13">
      <c r="A1937" s="8">
        <v>42930</v>
      </c>
      <c r="B1937" s="9">
        <v>0.48125000000000001</v>
      </c>
      <c r="C1937" s="10" t="str">
        <f>"FES1162562566"</f>
        <v>FES1162562566</v>
      </c>
      <c r="D1937" s="10" t="s">
        <v>19</v>
      </c>
      <c r="E1937" s="10" t="s">
        <v>909</v>
      </c>
      <c r="F1937" s="10" t="str">
        <f>"2170578807 "</f>
        <v xml:space="preserve">2170578807 </v>
      </c>
      <c r="G1937" s="10" t="str">
        <f t="shared" si="82"/>
        <v>ON1</v>
      </c>
      <c r="H1937" s="10" t="s">
        <v>21</v>
      </c>
      <c r="I1937" s="10" t="s">
        <v>48</v>
      </c>
      <c r="J1937" s="10" t="str">
        <f>""</f>
        <v/>
      </c>
      <c r="K1937" s="10" t="str">
        <f>"PFES1162562566_0001"</f>
        <v>PFES1162562566_0001</v>
      </c>
      <c r="L1937" s="10">
        <v>1</v>
      </c>
      <c r="M1937" s="10">
        <v>1</v>
      </c>
    </row>
    <row r="1938" spans="1:13">
      <c r="A1938" s="8">
        <v>42930</v>
      </c>
      <c r="B1938" s="9">
        <v>0.48055555555555557</v>
      </c>
      <c r="C1938" s="10" t="str">
        <f>"FES1162562548"</f>
        <v>FES1162562548</v>
      </c>
      <c r="D1938" s="10" t="s">
        <v>19</v>
      </c>
      <c r="E1938" s="10" t="s">
        <v>910</v>
      </c>
      <c r="F1938" s="10" t="str">
        <f>"2170578968 "</f>
        <v xml:space="preserve">2170578968 </v>
      </c>
      <c r="G1938" s="10" t="str">
        <f t="shared" si="82"/>
        <v>ON1</v>
      </c>
      <c r="H1938" s="10" t="s">
        <v>21</v>
      </c>
      <c r="I1938" s="10" t="s">
        <v>911</v>
      </c>
      <c r="J1938" s="10" t="str">
        <f>""</f>
        <v/>
      </c>
      <c r="K1938" s="10" t="str">
        <f>"PFES1162562548_0001"</f>
        <v>PFES1162562548_0001</v>
      </c>
      <c r="L1938" s="10">
        <v>1</v>
      </c>
      <c r="M1938" s="10">
        <v>1</v>
      </c>
    </row>
    <row r="1939" spans="1:13">
      <c r="A1939" s="8">
        <v>42930</v>
      </c>
      <c r="B1939" s="9">
        <v>0.47638888888888892</v>
      </c>
      <c r="C1939" s="10" t="str">
        <f>"FES1162562503"</f>
        <v>FES1162562503</v>
      </c>
      <c r="D1939" s="10" t="s">
        <v>19</v>
      </c>
      <c r="E1939" s="10" t="s">
        <v>912</v>
      </c>
      <c r="F1939" s="10" t="str">
        <f>"2170576219 "</f>
        <v xml:space="preserve">2170576219 </v>
      </c>
      <c r="G1939" s="10" t="str">
        <f t="shared" si="82"/>
        <v>ON1</v>
      </c>
      <c r="H1939" s="10" t="s">
        <v>21</v>
      </c>
      <c r="I1939" s="10" t="s">
        <v>387</v>
      </c>
      <c r="J1939" s="10" t="str">
        <f>""</f>
        <v/>
      </c>
      <c r="K1939" s="10" t="str">
        <f>"PFES1162562503_0001"</f>
        <v>PFES1162562503_0001</v>
      </c>
      <c r="L1939" s="10">
        <v>1</v>
      </c>
      <c r="M1939" s="10">
        <v>1</v>
      </c>
    </row>
    <row r="1940" spans="1:13">
      <c r="A1940" s="8">
        <v>42930</v>
      </c>
      <c r="B1940" s="9">
        <v>0.47500000000000003</v>
      </c>
      <c r="C1940" s="10" t="str">
        <f>"FES1162562549"</f>
        <v>FES1162562549</v>
      </c>
      <c r="D1940" s="10" t="s">
        <v>19</v>
      </c>
      <c r="E1940" s="10" t="s">
        <v>913</v>
      </c>
      <c r="F1940" s="10" t="str">
        <f>"2170591359 "</f>
        <v xml:space="preserve">2170591359 </v>
      </c>
      <c r="G1940" s="10" t="str">
        <f t="shared" si="82"/>
        <v>ON1</v>
      </c>
      <c r="H1940" s="10" t="s">
        <v>21</v>
      </c>
      <c r="I1940" s="10" t="s">
        <v>213</v>
      </c>
      <c r="J1940" s="10" t="str">
        <f>""</f>
        <v/>
      </c>
      <c r="K1940" s="10" t="str">
        <f>"PFES1162562549_0001"</f>
        <v>PFES1162562549_0001</v>
      </c>
      <c r="L1940" s="10">
        <v>1</v>
      </c>
      <c r="M1940" s="10">
        <v>1</v>
      </c>
    </row>
    <row r="1941" spans="1:13">
      <c r="A1941" s="8">
        <v>42930</v>
      </c>
      <c r="B1941" s="9">
        <v>0.47430555555555554</v>
      </c>
      <c r="C1941" s="10" t="str">
        <f>"FES1162562536"</f>
        <v>FES1162562536</v>
      </c>
      <c r="D1941" s="10" t="s">
        <v>19</v>
      </c>
      <c r="E1941" s="10" t="s">
        <v>906</v>
      </c>
      <c r="F1941" s="10" t="str">
        <f>"2170579129 "</f>
        <v xml:space="preserve">2170579129 </v>
      </c>
      <c r="G1941" s="10" t="str">
        <f t="shared" si="82"/>
        <v>ON1</v>
      </c>
      <c r="H1941" s="10" t="s">
        <v>21</v>
      </c>
      <c r="I1941" s="10" t="s">
        <v>907</v>
      </c>
      <c r="J1941" s="10" t="str">
        <f>""</f>
        <v/>
      </c>
      <c r="K1941" s="10" t="str">
        <f>"PFES1162562536_0001"</f>
        <v>PFES1162562536_0001</v>
      </c>
      <c r="L1941" s="10">
        <v>1</v>
      </c>
      <c r="M1941" s="10">
        <v>1</v>
      </c>
    </row>
    <row r="1942" spans="1:13">
      <c r="A1942" s="8">
        <v>42930</v>
      </c>
      <c r="B1942" s="9">
        <v>0.47361111111111115</v>
      </c>
      <c r="C1942" s="10" t="str">
        <f>"FES1162562558"</f>
        <v>FES1162562558</v>
      </c>
      <c r="D1942" s="10" t="s">
        <v>19</v>
      </c>
      <c r="E1942" s="10" t="s">
        <v>45</v>
      </c>
      <c r="F1942" s="10" t="str">
        <f>"2170579153 "</f>
        <v xml:space="preserve">2170579153 </v>
      </c>
      <c r="G1942" s="10" t="str">
        <f t="shared" ref="G1942:G1944" si="83">"ON1"</f>
        <v>ON1</v>
      </c>
      <c r="H1942" s="10" t="s">
        <v>21</v>
      </c>
      <c r="I1942" s="10" t="s">
        <v>46</v>
      </c>
      <c r="J1942" s="10" t="str">
        <f>""</f>
        <v/>
      </c>
      <c r="K1942" s="10" t="str">
        <f>"PFES1162562558_0001"</f>
        <v>PFES1162562558_0001</v>
      </c>
      <c r="L1942" s="10">
        <v>1</v>
      </c>
      <c r="M1942" s="10">
        <v>6</v>
      </c>
    </row>
    <row r="1943" spans="1:13">
      <c r="A1943" s="8">
        <v>42930</v>
      </c>
      <c r="B1943" s="9">
        <v>0.47291666666666665</v>
      </c>
      <c r="C1943" s="10" t="str">
        <f>"FES1162562546"</f>
        <v>FES1162562546</v>
      </c>
      <c r="D1943" s="10" t="s">
        <v>19</v>
      </c>
      <c r="E1943" s="10" t="s">
        <v>129</v>
      </c>
      <c r="F1943" s="10" t="str">
        <f>"21705791244 "</f>
        <v xml:space="preserve">21705791244 </v>
      </c>
      <c r="G1943" s="10" t="str">
        <f t="shared" si="83"/>
        <v>ON1</v>
      </c>
      <c r="H1943" s="10" t="s">
        <v>21</v>
      </c>
      <c r="I1943" s="10" t="s">
        <v>130</v>
      </c>
      <c r="J1943" s="10" t="str">
        <f>""</f>
        <v/>
      </c>
      <c r="K1943" s="10" t="str">
        <f>"PFES1162562546_0001"</f>
        <v>PFES1162562546_0001</v>
      </c>
      <c r="L1943" s="10">
        <v>2</v>
      </c>
      <c r="M1943" s="10">
        <v>6</v>
      </c>
    </row>
    <row r="1944" spans="1:13">
      <c r="A1944" s="8">
        <v>42930</v>
      </c>
      <c r="B1944" s="9">
        <v>0.47291666666666665</v>
      </c>
      <c r="C1944" s="10" t="str">
        <f>"FES1162562546"</f>
        <v>FES1162562546</v>
      </c>
      <c r="D1944" s="10" t="s">
        <v>19</v>
      </c>
      <c r="E1944" s="10" t="s">
        <v>129</v>
      </c>
      <c r="F1944" s="10" t="str">
        <f>"21705791244 "</f>
        <v xml:space="preserve">21705791244 </v>
      </c>
      <c r="G1944" s="10" t="str">
        <f t="shared" si="83"/>
        <v>ON1</v>
      </c>
      <c r="H1944" s="10" t="s">
        <v>21</v>
      </c>
      <c r="I1944" s="10" t="s">
        <v>130</v>
      </c>
      <c r="J1944" s="10"/>
      <c r="K1944" s="10" t="str">
        <f>"PFES1162562546_0002"</f>
        <v>PFES1162562546_0002</v>
      </c>
      <c r="L1944" s="10">
        <v>2</v>
      </c>
      <c r="M1944" s="10">
        <v>6</v>
      </c>
    </row>
    <row r="1945" spans="1:13">
      <c r="A1945" s="8">
        <v>42930</v>
      </c>
      <c r="B1945" s="9">
        <v>0.47152777777777777</v>
      </c>
      <c r="C1945" s="10" t="str">
        <f>"FES1162562552"</f>
        <v>FES1162562552</v>
      </c>
      <c r="D1945" s="10" t="s">
        <v>19</v>
      </c>
      <c r="E1945" s="10" t="s">
        <v>62</v>
      </c>
      <c r="F1945" s="10" t="str">
        <f>"2170578150 "</f>
        <v xml:space="preserve">2170578150 </v>
      </c>
      <c r="G1945" s="10" t="str">
        <f t="shared" ref="G1945:G1973" si="84">"ON1"</f>
        <v>ON1</v>
      </c>
      <c r="H1945" s="10" t="s">
        <v>21</v>
      </c>
      <c r="I1945" s="10" t="s">
        <v>40</v>
      </c>
      <c r="J1945" s="10" t="str">
        <f>""</f>
        <v/>
      </c>
      <c r="K1945" s="10" t="str">
        <f>"PFES1162562552_0001"</f>
        <v>PFES1162562552_0001</v>
      </c>
      <c r="L1945" s="10">
        <v>1</v>
      </c>
      <c r="M1945" s="10">
        <v>2</v>
      </c>
    </row>
    <row r="1946" spans="1:13">
      <c r="A1946" s="8">
        <v>42930</v>
      </c>
      <c r="B1946" s="9">
        <v>0.47152777777777777</v>
      </c>
      <c r="C1946" s="10" t="str">
        <f>"FES1162562573"</f>
        <v>FES1162562573</v>
      </c>
      <c r="D1946" s="10" t="s">
        <v>19</v>
      </c>
      <c r="E1946" s="10" t="s">
        <v>357</v>
      </c>
      <c r="F1946" s="10" t="str">
        <f>"2170579171 "</f>
        <v xml:space="preserve">2170579171 </v>
      </c>
      <c r="G1946" s="10" t="str">
        <f t="shared" si="84"/>
        <v>ON1</v>
      </c>
      <c r="H1946" s="10" t="s">
        <v>21</v>
      </c>
      <c r="I1946" s="10" t="s">
        <v>358</v>
      </c>
      <c r="J1946" s="10" t="str">
        <f>""</f>
        <v/>
      </c>
      <c r="K1946" s="10" t="str">
        <f>"PFES1162562573_0001"</f>
        <v>PFES1162562573_0001</v>
      </c>
      <c r="L1946" s="10">
        <v>1</v>
      </c>
      <c r="M1946" s="10">
        <v>2</v>
      </c>
    </row>
    <row r="1947" spans="1:13">
      <c r="A1947" s="8">
        <v>42930</v>
      </c>
      <c r="B1947" s="9">
        <v>0.45208333333333334</v>
      </c>
      <c r="C1947" s="10" t="str">
        <f>"FES1162562530"</f>
        <v>FES1162562530</v>
      </c>
      <c r="D1947" s="10" t="s">
        <v>19</v>
      </c>
      <c r="E1947" s="10" t="s">
        <v>912</v>
      </c>
      <c r="F1947" s="10" t="str">
        <f>"2170579047 "</f>
        <v xml:space="preserve">2170579047 </v>
      </c>
      <c r="G1947" s="10" t="str">
        <f t="shared" si="84"/>
        <v>ON1</v>
      </c>
      <c r="H1947" s="10" t="s">
        <v>21</v>
      </c>
      <c r="I1947" s="10" t="s">
        <v>387</v>
      </c>
      <c r="J1947" s="10" t="str">
        <f>""</f>
        <v/>
      </c>
      <c r="K1947" s="10" t="str">
        <f>"PFES1162562530_0001"</f>
        <v>PFES1162562530_0001</v>
      </c>
      <c r="L1947" s="10">
        <v>1</v>
      </c>
      <c r="M1947" s="10">
        <v>1</v>
      </c>
    </row>
    <row r="1948" spans="1:13">
      <c r="A1948" s="8">
        <v>42930</v>
      </c>
      <c r="B1948" s="9">
        <v>0.4513888888888889</v>
      </c>
      <c r="C1948" s="10" t="str">
        <f>"FES1162562507"</f>
        <v>FES1162562507</v>
      </c>
      <c r="D1948" s="10" t="s">
        <v>19</v>
      </c>
      <c r="E1948" s="10" t="s">
        <v>914</v>
      </c>
      <c r="F1948" s="10" t="str">
        <f>"2170577862 "</f>
        <v xml:space="preserve">2170577862 </v>
      </c>
      <c r="G1948" s="10" t="str">
        <f t="shared" si="84"/>
        <v>ON1</v>
      </c>
      <c r="H1948" s="10" t="s">
        <v>21</v>
      </c>
      <c r="I1948" s="10" t="s">
        <v>915</v>
      </c>
      <c r="J1948" s="10" t="str">
        <f>""</f>
        <v/>
      </c>
      <c r="K1948" s="10" t="str">
        <f>"PFES1162562507_0001"</f>
        <v>PFES1162562507_0001</v>
      </c>
      <c r="L1948" s="10">
        <v>1</v>
      </c>
      <c r="M1948" s="10">
        <v>2</v>
      </c>
    </row>
    <row r="1949" spans="1:13">
      <c r="A1949" s="8">
        <v>42930</v>
      </c>
      <c r="B1949" s="9">
        <v>0.44930555555555557</v>
      </c>
      <c r="C1949" s="10" t="str">
        <f>"FES1162562532"</f>
        <v>FES1162562532</v>
      </c>
      <c r="D1949" s="10" t="s">
        <v>19</v>
      </c>
      <c r="E1949" s="10" t="s">
        <v>108</v>
      </c>
      <c r="F1949" s="10" t="str">
        <f>"2170579124 "</f>
        <v xml:space="preserve">2170579124 </v>
      </c>
      <c r="G1949" s="10" t="str">
        <f t="shared" si="84"/>
        <v>ON1</v>
      </c>
      <c r="H1949" s="10" t="s">
        <v>21</v>
      </c>
      <c r="I1949" s="10" t="s">
        <v>56</v>
      </c>
      <c r="J1949" s="10" t="str">
        <f>""</f>
        <v/>
      </c>
      <c r="K1949" s="10" t="str">
        <f>"PFES1162562532_0001"</f>
        <v>PFES1162562532_0001</v>
      </c>
      <c r="L1949" s="10">
        <v>1</v>
      </c>
      <c r="M1949" s="10">
        <v>2</v>
      </c>
    </row>
    <row r="1950" spans="1:13">
      <c r="A1950" s="8">
        <v>42930</v>
      </c>
      <c r="B1950" s="9">
        <v>0.44861111111111113</v>
      </c>
      <c r="C1950" s="10" t="str">
        <f>"FES1162562528"</f>
        <v>FES1162562528</v>
      </c>
      <c r="D1950" s="10" t="s">
        <v>19</v>
      </c>
      <c r="E1950" s="10" t="s">
        <v>214</v>
      </c>
      <c r="F1950" s="10" t="str">
        <f>"2170579120 "</f>
        <v xml:space="preserve">2170579120 </v>
      </c>
      <c r="G1950" s="10" t="str">
        <f t="shared" si="84"/>
        <v>ON1</v>
      </c>
      <c r="H1950" s="10" t="s">
        <v>21</v>
      </c>
      <c r="I1950" s="10" t="s">
        <v>215</v>
      </c>
      <c r="J1950" s="10" t="str">
        <f>""</f>
        <v/>
      </c>
      <c r="K1950" s="10" t="str">
        <f>"PFES1162562528_0001"</f>
        <v>PFES1162562528_0001</v>
      </c>
      <c r="L1950" s="10">
        <v>1</v>
      </c>
      <c r="M1950" s="10">
        <v>3</v>
      </c>
    </row>
    <row r="1951" spans="1:13">
      <c r="A1951" s="8">
        <v>42930</v>
      </c>
      <c r="B1951" s="9">
        <v>0.44791666666666669</v>
      </c>
      <c r="C1951" s="10" t="str">
        <f>"FES1162562513"</f>
        <v>FES1162562513</v>
      </c>
      <c r="D1951" s="10" t="s">
        <v>19</v>
      </c>
      <c r="E1951" s="10" t="s">
        <v>602</v>
      </c>
      <c r="F1951" s="10" t="str">
        <f>"2170578391 "</f>
        <v xml:space="preserve">2170578391 </v>
      </c>
      <c r="G1951" s="10" t="str">
        <f t="shared" si="84"/>
        <v>ON1</v>
      </c>
      <c r="H1951" s="10" t="s">
        <v>21</v>
      </c>
      <c r="I1951" s="10" t="s">
        <v>58</v>
      </c>
      <c r="J1951" s="10" t="str">
        <f>""</f>
        <v/>
      </c>
      <c r="K1951" s="10" t="str">
        <f>"PFES1162562513_0001"</f>
        <v>PFES1162562513_0001</v>
      </c>
      <c r="L1951" s="10">
        <v>1</v>
      </c>
      <c r="M1951" s="10">
        <v>1</v>
      </c>
    </row>
    <row r="1952" spans="1:13">
      <c r="A1952" s="8">
        <v>42930</v>
      </c>
      <c r="B1952" s="9">
        <v>0.4465277777777778</v>
      </c>
      <c r="C1952" s="10" t="str">
        <f>"FES1162562545"</f>
        <v>FES1162562545</v>
      </c>
      <c r="D1952" s="10" t="s">
        <v>19</v>
      </c>
      <c r="E1952" s="10" t="s">
        <v>466</v>
      </c>
      <c r="F1952" s="10" t="str">
        <f>"2170579143 "</f>
        <v xml:space="preserve">2170579143 </v>
      </c>
      <c r="G1952" s="10" t="str">
        <f t="shared" si="84"/>
        <v>ON1</v>
      </c>
      <c r="H1952" s="10" t="s">
        <v>21</v>
      </c>
      <c r="I1952" s="10" t="s">
        <v>467</v>
      </c>
      <c r="J1952" s="10" t="str">
        <f>""</f>
        <v/>
      </c>
      <c r="K1952" s="10" t="str">
        <f>"PFES1162562545_0001"</f>
        <v>PFES1162562545_0001</v>
      </c>
      <c r="L1952" s="10">
        <v>1</v>
      </c>
      <c r="M1952" s="10">
        <v>1</v>
      </c>
    </row>
    <row r="1953" spans="1:13">
      <c r="A1953" s="8">
        <v>42930</v>
      </c>
      <c r="B1953" s="9">
        <v>0.4458333333333333</v>
      </c>
      <c r="C1953" s="10" t="str">
        <f>"FES1162562523"</f>
        <v>FES1162562523</v>
      </c>
      <c r="D1953" s="10" t="s">
        <v>19</v>
      </c>
      <c r="E1953" s="10" t="s">
        <v>466</v>
      </c>
      <c r="F1953" s="10" t="str">
        <f>"2170579113 "</f>
        <v xml:space="preserve">2170579113 </v>
      </c>
      <c r="G1953" s="10" t="str">
        <f t="shared" si="84"/>
        <v>ON1</v>
      </c>
      <c r="H1953" s="10" t="s">
        <v>21</v>
      </c>
      <c r="I1953" s="10" t="s">
        <v>467</v>
      </c>
      <c r="J1953" s="10" t="str">
        <f>""</f>
        <v/>
      </c>
      <c r="K1953" s="10" t="str">
        <f>"PFES1162562523_0001"</f>
        <v>PFES1162562523_0001</v>
      </c>
      <c r="L1953" s="10">
        <v>1</v>
      </c>
      <c r="M1953" s="10">
        <v>1</v>
      </c>
    </row>
    <row r="1954" spans="1:13">
      <c r="A1954" s="8">
        <v>42930</v>
      </c>
      <c r="B1954" s="9">
        <v>0.44444444444444442</v>
      </c>
      <c r="C1954" s="10" t="str">
        <f>"FES1162562504"</f>
        <v>FES1162562504</v>
      </c>
      <c r="D1954" s="10" t="s">
        <v>19</v>
      </c>
      <c r="E1954" s="10" t="s">
        <v>173</v>
      </c>
      <c r="F1954" s="10" t="str">
        <f>"2170577093 "</f>
        <v xml:space="preserve">2170577093 </v>
      </c>
      <c r="G1954" s="10" t="str">
        <f t="shared" si="84"/>
        <v>ON1</v>
      </c>
      <c r="H1954" s="10" t="s">
        <v>21</v>
      </c>
      <c r="I1954" s="10" t="s">
        <v>174</v>
      </c>
      <c r="J1954" s="10" t="str">
        <f>""</f>
        <v/>
      </c>
      <c r="K1954" s="10" t="str">
        <f>"PFES1162562504_0001"</f>
        <v>PFES1162562504_0001</v>
      </c>
      <c r="L1954" s="10">
        <v>1</v>
      </c>
      <c r="M1954" s="10">
        <v>1</v>
      </c>
    </row>
    <row r="1955" spans="1:13">
      <c r="A1955" s="8">
        <v>42930</v>
      </c>
      <c r="B1955" s="9">
        <v>0.44375000000000003</v>
      </c>
      <c r="C1955" s="10" t="str">
        <f>"FES1162562542"</f>
        <v>FES1162562542</v>
      </c>
      <c r="D1955" s="10" t="s">
        <v>19</v>
      </c>
      <c r="E1955" s="10" t="s">
        <v>916</v>
      </c>
      <c r="F1955" s="10" t="str">
        <f>"2170579068 "</f>
        <v xml:space="preserve">2170579068 </v>
      </c>
      <c r="G1955" s="10" t="str">
        <f t="shared" si="84"/>
        <v>ON1</v>
      </c>
      <c r="H1955" s="10" t="s">
        <v>21</v>
      </c>
      <c r="I1955" s="10" t="s">
        <v>70</v>
      </c>
      <c r="J1955" s="10" t="str">
        <f>""</f>
        <v/>
      </c>
      <c r="K1955" s="10" t="str">
        <f>"PFES1162562542_0001"</f>
        <v>PFES1162562542_0001</v>
      </c>
      <c r="L1955" s="10">
        <v>1</v>
      </c>
      <c r="M1955" s="10">
        <v>1</v>
      </c>
    </row>
    <row r="1956" spans="1:13">
      <c r="A1956" s="8">
        <v>42930</v>
      </c>
      <c r="B1956" s="9">
        <v>0.44097222222222227</v>
      </c>
      <c r="C1956" s="10" t="str">
        <f>"FES1162562511"</f>
        <v>FES1162562511</v>
      </c>
      <c r="D1956" s="10" t="s">
        <v>19</v>
      </c>
      <c r="E1956" s="10" t="s">
        <v>216</v>
      </c>
      <c r="F1956" s="10" t="str">
        <f>"2170578248 "</f>
        <v xml:space="preserve">2170578248 </v>
      </c>
      <c r="G1956" s="10" t="str">
        <f t="shared" si="84"/>
        <v>ON1</v>
      </c>
      <c r="H1956" s="10" t="s">
        <v>21</v>
      </c>
      <c r="I1956" s="10" t="s">
        <v>217</v>
      </c>
      <c r="J1956" s="10" t="str">
        <f>""</f>
        <v/>
      </c>
      <c r="K1956" s="10" t="str">
        <f>"PFES1162562511_0001"</f>
        <v>PFES1162562511_0001</v>
      </c>
      <c r="L1956" s="10">
        <v>1</v>
      </c>
      <c r="M1956" s="10">
        <v>3</v>
      </c>
    </row>
    <row r="1957" spans="1:13">
      <c r="A1957" s="8">
        <v>42930</v>
      </c>
      <c r="B1957" s="9">
        <v>0.44027777777777777</v>
      </c>
      <c r="C1957" s="10" t="str">
        <f>"FES1162562540"</f>
        <v>FES1162562540</v>
      </c>
      <c r="D1957" s="10" t="s">
        <v>19</v>
      </c>
      <c r="E1957" s="10" t="s">
        <v>99</v>
      </c>
      <c r="F1957" s="10" t="str">
        <f>"2170579136 "</f>
        <v xml:space="preserve">2170579136 </v>
      </c>
      <c r="G1957" s="10" t="str">
        <f t="shared" si="84"/>
        <v>ON1</v>
      </c>
      <c r="H1957" s="10" t="s">
        <v>21</v>
      </c>
      <c r="I1957" s="10" t="s">
        <v>100</v>
      </c>
      <c r="J1957" s="10" t="str">
        <f>""</f>
        <v/>
      </c>
      <c r="K1957" s="10" t="str">
        <f>"PFES1162562540_0001"</f>
        <v>PFES1162562540_0001</v>
      </c>
      <c r="L1957" s="10">
        <v>1</v>
      </c>
      <c r="M1957" s="10">
        <v>1</v>
      </c>
    </row>
    <row r="1958" spans="1:13">
      <c r="A1958" s="8">
        <v>42930</v>
      </c>
      <c r="B1958" s="9">
        <v>0.43958333333333338</v>
      </c>
      <c r="C1958" s="10" t="str">
        <f>"FES1162562520"</f>
        <v>FES1162562520</v>
      </c>
      <c r="D1958" s="10" t="s">
        <v>19</v>
      </c>
      <c r="E1958" s="10" t="s">
        <v>917</v>
      </c>
      <c r="F1958" s="10" t="str">
        <f>"2170579108 "</f>
        <v xml:space="preserve">2170579108 </v>
      </c>
      <c r="G1958" s="10" t="str">
        <f t="shared" si="84"/>
        <v>ON1</v>
      </c>
      <c r="H1958" s="10" t="s">
        <v>21</v>
      </c>
      <c r="I1958" s="10" t="s">
        <v>628</v>
      </c>
      <c r="J1958" s="10" t="str">
        <f>""</f>
        <v/>
      </c>
      <c r="K1958" s="10" t="str">
        <f>"PFES1162562520_0001"</f>
        <v>PFES1162562520_0001</v>
      </c>
      <c r="L1958" s="10">
        <v>1</v>
      </c>
      <c r="M1958" s="10">
        <v>1</v>
      </c>
    </row>
    <row r="1959" spans="1:13">
      <c r="A1959" s="8">
        <v>42930</v>
      </c>
      <c r="B1959" s="9">
        <v>0.4381944444444445</v>
      </c>
      <c r="C1959" s="10" t="str">
        <f>"FES1162562529"</f>
        <v>FES1162562529</v>
      </c>
      <c r="D1959" s="10" t="s">
        <v>19</v>
      </c>
      <c r="E1959" s="10" t="s">
        <v>266</v>
      </c>
      <c r="F1959" s="10" t="str">
        <f>"2170579121 "</f>
        <v xml:space="preserve">2170579121 </v>
      </c>
      <c r="G1959" s="10" t="str">
        <f t="shared" si="84"/>
        <v>ON1</v>
      </c>
      <c r="H1959" s="10" t="s">
        <v>21</v>
      </c>
      <c r="I1959" s="10" t="s">
        <v>267</v>
      </c>
      <c r="J1959" s="10" t="str">
        <f>""</f>
        <v/>
      </c>
      <c r="K1959" s="10" t="str">
        <f>"PFES1162562529_0001"</f>
        <v>PFES1162562529_0001</v>
      </c>
      <c r="L1959" s="10">
        <v>1</v>
      </c>
      <c r="M1959" s="10">
        <v>1</v>
      </c>
    </row>
    <row r="1960" spans="1:13">
      <c r="A1960" s="8">
        <v>42930</v>
      </c>
      <c r="B1960" s="9">
        <v>0.4375</v>
      </c>
      <c r="C1960" s="10" t="str">
        <f>"FES1162562524"</f>
        <v>FES1162562524</v>
      </c>
      <c r="D1960" s="10" t="s">
        <v>19</v>
      </c>
      <c r="E1960" s="10" t="s">
        <v>33</v>
      </c>
      <c r="F1960" s="10" t="str">
        <f>"2170579114 "</f>
        <v xml:space="preserve">2170579114 </v>
      </c>
      <c r="G1960" s="10" t="str">
        <f t="shared" si="84"/>
        <v>ON1</v>
      </c>
      <c r="H1960" s="10" t="s">
        <v>21</v>
      </c>
      <c r="I1960" s="10" t="s">
        <v>34</v>
      </c>
      <c r="J1960" s="10" t="str">
        <f>""</f>
        <v/>
      </c>
      <c r="K1960" s="10" t="str">
        <f>"PFES1162562524_0001"</f>
        <v>PFES1162562524_0001</v>
      </c>
      <c r="L1960" s="10">
        <v>1</v>
      </c>
      <c r="M1960" s="10">
        <v>1</v>
      </c>
    </row>
    <row r="1961" spans="1:13">
      <c r="A1961" s="8">
        <v>42930</v>
      </c>
      <c r="B1961" s="9">
        <v>0.43611111111111112</v>
      </c>
      <c r="C1961" s="10" t="str">
        <f>"FES1162562533"</f>
        <v>FES1162562533</v>
      </c>
      <c r="D1961" s="10" t="s">
        <v>19</v>
      </c>
      <c r="E1961" s="10" t="s">
        <v>918</v>
      </c>
      <c r="F1961" s="10" t="str">
        <f>"2170579126 "</f>
        <v xml:space="preserve">2170579126 </v>
      </c>
      <c r="G1961" s="10" t="str">
        <f t="shared" si="84"/>
        <v>ON1</v>
      </c>
      <c r="H1961" s="10" t="s">
        <v>21</v>
      </c>
      <c r="I1961" s="10" t="s">
        <v>48</v>
      </c>
      <c r="J1961" s="10" t="str">
        <f>""</f>
        <v/>
      </c>
      <c r="K1961" s="10" t="str">
        <f>"PFES1162562533_0001"</f>
        <v>PFES1162562533_0001</v>
      </c>
      <c r="L1961" s="10">
        <v>1</v>
      </c>
      <c r="M1961" s="10">
        <v>1</v>
      </c>
    </row>
    <row r="1962" spans="1:13">
      <c r="A1962" s="8">
        <v>42930</v>
      </c>
      <c r="B1962" s="9">
        <v>0.43263888888888885</v>
      </c>
      <c r="C1962" s="10" t="str">
        <f>"FES1162562509"</f>
        <v>FES1162562509</v>
      </c>
      <c r="D1962" s="10" t="s">
        <v>19</v>
      </c>
      <c r="E1962" s="10" t="s">
        <v>266</v>
      </c>
      <c r="F1962" s="10" t="str">
        <f>"2170578191 "</f>
        <v xml:space="preserve">2170578191 </v>
      </c>
      <c r="G1962" s="10" t="str">
        <f t="shared" si="84"/>
        <v>ON1</v>
      </c>
      <c r="H1962" s="10" t="s">
        <v>21</v>
      </c>
      <c r="I1962" s="10" t="s">
        <v>24</v>
      </c>
      <c r="J1962" s="10" t="str">
        <f>""</f>
        <v/>
      </c>
      <c r="K1962" s="10" t="str">
        <f>"PFES1162562509_0001"</f>
        <v>PFES1162562509_0001</v>
      </c>
      <c r="L1962" s="10">
        <v>1</v>
      </c>
      <c r="M1962" s="10">
        <v>1</v>
      </c>
    </row>
    <row r="1963" spans="1:13">
      <c r="A1963" s="8">
        <v>42930</v>
      </c>
      <c r="B1963" s="9">
        <v>0.43124999999999997</v>
      </c>
      <c r="C1963" s="10" t="str">
        <f>"FES1162562543"</f>
        <v>FES1162562543</v>
      </c>
      <c r="D1963" s="10" t="s">
        <v>19</v>
      </c>
      <c r="E1963" s="10" t="s">
        <v>53</v>
      </c>
      <c r="F1963" s="10" t="str">
        <f>"2170579139 "</f>
        <v xml:space="preserve">2170579139 </v>
      </c>
      <c r="G1963" s="10" t="str">
        <f t="shared" si="84"/>
        <v>ON1</v>
      </c>
      <c r="H1963" s="10" t="s">
        <v>21</v>
      </c>
      <c r="I1963" s="10" t="s">
        <v>54</v>
      </c>
      <c r="J1963" s="10" t="str">
        <f>""</f>
        <v/>
      </c>
      <c r="K1963" s="10" t="str">
        <f>"PFES1162562543_0001"</f>
        <v>PFES1162562543_0001</v>
      </c>
      <c r="L1963" s="10">
        <v>1</v>
      </c>
      <c r="M1963" s="10">
        <v>2</v>
      </c>
    </row>
    <row r="1964" spans="1:13">
      <c r="A1964" s="8">
        <v>42930</v>
      </c>
      <c r="B1964" s="9">
        <v>0.4291666666666667</v>
      </c>
      <c r="C1964" s="10" t="str">
        <f>"FES1162562521"</f>
        <v>FES1162562521</v>
      </c>
      <c r="D1964" s="10" t="s">
        <v>19</v>
      </c>
      <c r="E1964" s="10" t="s">
        <v>574</v>
      </c>
      <c r="F1964" s="10" t="str">
        <f>"2170579109 "</f>
        <v xml:space="preserve">2170579109 </v>
      </c>
      <c r="G1964" s="10" t="str">
        <f t="shared" si="84"/>
        <v>ON1</v>
      </c>
      <c r="H1964" s="10" t="s">
        <v>21</v>
      </c>
      <c r="I1964" s="10" t="s">
        <v>213</v>
      </c>
      <c r="J1964" s="10" t="str">
        <f>""</f>
        <v/>
      </c>
      <c r="K1964" s="10" t="str">
        <f>"PFES1162562521_0001"</f>
        <v>PFES1162562521_0001</v>
      </c>
      <c r="L1964" s="10">
        <v>1</v>
      </c>
      <c r="M1964" s="10">
        <v>3</v>
      </c>
    </row>
    <row r="1965" spans="1:13">
      <c r="A1965" s="8">
        <v>42930</v>
      </c>
      <c r="B1965" s="9">
        <v>0.4284722222222222</v>
      </c>
      <c r="C1965" s="10" t="str">
        <f>"FES1162562525"</f>
        <v>FES1162562525</v>
      </c>
      <c r="D1965" s="10" t="s">
        <v>19</v>
      </c>
      <c r="E1965" s="10" t="s">
        <v>190</v>
      </c>
      <c r="F1965" s="10" t="str">
        <f>"2170579117 "</f>
        <v xml:space="preserve">2170579117 </v>
      </c>
      <c r="G1965" s="10" t="str">
        <f t="shared" si="84"/>
        <v>ON1</v>
      </c>
      <c r="H1965" s="10" t="s">
        <v>21</v>
      </c>
      <c r="I1965" s="10" t="s">
        <v>52</v>
      </c>
      <c r="J1965" s="10" t="str">
        <f>""</f>
        <v/>
      </c>
      <c r="K1965" s="10" t="str">
        <f>"PFES1162562525_0001"</f>
        <v>PFES1162562525_0001</v>
      </c>
      <c r="L1965" s="10">
        <v>1</v>
      </c>
      <c r="M1965" s="10">
        <v>1</v>
      </c>
    </row>
    <row r="1966" spans="1:13">
      <c r="A1966" s="8">
        <v>42930</v>
      </c>
      <c r="B1966" s="9">
        <v>0.42708333333333331</v>
      </c>
      <c r="C1966" s="10" t="str">
        <f>"FES1162562519"</f>
        <v>FES1162562519</v>
      </c>
      <c r="D1966" s="10" t="s">
        <v>19</v>
      </c>
      <c r="E1966" s="10" t="s">
        <v>269</v>
      </c>
      <c r="F1966" s="10" t="str">
        <f>"2170579107 "</f>
        <v xml:space="preserve">2170579107 </v>
      </c>
      <c r="G1966" s="10" t="str">
        <f t="shared" si="84"/>
        <v>ON1</v>
      </c>
      <c r="H1966" s="10" t="s">
        <v>21</v>
      </c>
      <c r="I1966" s="10" t="s">
        <v>52</v>
      </c>
      <c r="J1966" s="10" t="str">
        <f>""</f>
        <v/>
      </c>
      <c r="K1966" s="10" t="str">
        <f>"PFES1162562519_0001"</f>
        <v>PFES1162562519_0001</v>
      </c>
      <c r="L1966" s="10">
        <v>1</v>
      </c>
      <c r="M1966" s="10">
        <v>1</v>
      </c>
    </row>
    <row r="1967" spans="1:13">
      <c r="A1967" s="8">
        <v>42930</v>
      </c>
      <c r="B1967" s="9">
        <v>0.42638888888888887</v>
      </c>
      <c r="C1967" s="10" t="str">
        <f>"FES1162562531"</f>
        <v>FES1162562531</v>
      </c>
      <c r="D1967" s="10" t="s">
        <v>19</v>
      </c>
      <c r="E1967" s="10" t="s">
        <v>272</v>
      </c>
      <c r="F1967" s="10" t="str">
        <f>"2170579123 "</f>
        <v xml:space="preserve">2170579123 </v>
      </c>
      <c r="G1967" s="10" t="str">
        <f t="shared" si="84"/>
        <v>ON1</v>
      </c>
      <c r="H1967" s="10" t="s">
        <v>21</v>
      </c>
      <c r="I1967" s="10" t="s">
        <v>166</v>
      </c>
      <c r="J1967" s="10" t="str">
        <f>""</f>
        <v/>
      </c>
      <c r="K1967" s="10" t="str">
        <f>"PFES1162562531_0001"</f>
        <v>PFES1162562531_0001</v>
      </c>
      <c r="L1967" s="10">
        <v>1</v>
      </c>
      <c r="M1967" s="10">
        <v>1</v>
      </c>
    </row>
    <row r="1968" spans="1:13">
      <c r="A1968" s="8">
        <v>42930</v>
      </c>
      <c r="B1968" s="9">
        <v>0.42569444444444443</v>
      </c>
      <c r="C1968" s="10" t="str">
        <f>"FES1162562539"</f>
        <v>FES1162562539</v>
      </c>
      <c r="D1968" s="10" t="s">
        <v>19</v>
      </c>
      <c r="E1968" s="10" t="s">
        <v>535</v>
      </c>
      <c r="F1968" s="10" t="str">
        <f>"2170579134 "</f>
        <v xml:space="preserve">2170579134 </v>
      </c>
      <c r="G1968" s="10" t="str">
        <f t="shared" si="84"/>
        <v>ON1</v>
      </c>
      <c r="H1968" s="10" t="s">
        <v>21</v>
      </c>
      <c r="I1968" s="10" t="s">
        <v>240</v>
      </c>
      <c r="J1968" s="10" t="str">
        <f>""</f>
        <v/>
      </c>
      <c r="K1968" s="10" t="str">
        <f>"PFES1162562539_0001"</f>
        <v>PFES1162562539_0001</v>
      </c>
      <c r="L1968" s="10">
        <v>1</v>
      </c>
      <c r="M1968" s="10">
        <v>1</v>
      </c>
    </row>
    <row r="1969" spans="1:13">
      <c r="A1969" s="8">
        <v>42930</v>
      </c>
      <c r="B1969" s="9">
        <v>0.41597222222222219</v>
      </c>
      <c r="C1969" s="10" t="str">
        <f>"FES1162562505"</f>
        <v>FES1162562505</v>
      </c>
      <c r="D1969" s="10" t="s">
        <v>19</v>
      </c>
      <c r="E1969" s="10" t="s">
        <v>160</v>
      </c>
      <c r="F1969" s="10" t="str">
        <f>"2170577440 "</f>
        <v xml:space="preserve">2170577440 </v>
      </c>
      <c r="G1969" s="10" t="str">
        <f t="shared" si="84"/>
        <v>ON1</v>
      </c>
      <c r="H1969" s="10" t="s">
        <v>21</v>
      </c>
      <c r="I1969" s="10" t="s">
        <v>161</v>
      </c>
      <c r="J1969" s="10" t="str">
        <f>""</f>
        <v/>
      </c>
      <c r="K1969" s="10" t="str">
        <f>"PFES1162562505_0001"</f>
        <v>PFES1162562505_0001</v>
      </c>
      <c r="L1969" s="10">
        <v>1</v>
      </c>
      <c r="M1969" s="10">
        <v>1</v>
      </c>
    </row>
    <row r="1970" spans="1:13">
      <c r="A1970" s="8">
        <v>42930</v>
      </c>
      <c r="B1970" s="9">
        <v>0.4145833333333333</v>
      </c>
      <c r="C1970" s="10" t="str">
        <f>"FES1162562500"</f>
        <v>FES1162562500</v>
      </c>
      <c r="D1970" s="10" t="s">
        <v>19</v>
      </c>
      <c r="E1970" s="10" t="s">
        <v>129</v>
      </c>
      <c r="F1970" s="10" t="str">
        <f>"2170579101 "</f>
        <v xml:space="preserve">2170579101 </v>
      </c>
      <c r="G1970" s="10" t="str">
        <f t="shared" si="84"/>
        <v>ON1</v>
      </c>
      <c r="H1970" s="10" t="s">
        <v>21</v>
      </c>
      <c r="I1970" s="10" t="s">
        <v>130</v>
      </c>
      <c r="J1970" s="10" t="str">
        <f>""</f>
        <v/>
      </c>
      <c r="K1970" s="10" t="str">
        <f>"PFES1162562500_0001"</f>
        <v>PFES1162562500_0001</v>
      </c>
      <c r="L1970" s="10">
        <v>1</v>
      </c>
      <c r="M1970" s="10">
        <v>3</v>
      </c>
    </row>
    <row r="1971" spans="1:13">
      <c r="A1971" s="8">
        <v>42930</v>
      </c>
      <c r="B1971" s="9">
        <v>0.41388888888888892</v>
      </c>
      <c r="C1971" s="10" t="str">
        <f>"FES1162562508"</f>
        <v>FES1162562508</v>
      </c>
      <c r="D1971" s="10" t="s">
        <v>19</v>
      </c>
      <c r="E1971" s="10" t="s">
        <v>154</v>
      </c>
      <c r="F1971" s="10" t="str">
        <f>"2170577995 "</f>
        <v xml:space="preserve">2170577995 </v>
      </c>
      <c r="G1971" s="10" t="str">
        <f t="shared" si="84"/>
        <v>ON1</v>
      </c>
      <c r="H1971" s="10" t="s">
        <v>21</v>
      </c>
      <c r="I1971" s="10" t="s">
        <v>130</v>
      </c>
      <c r="J1971" s="10" t="str">
        <f>""</f>
        <v/>
      </c>
      <c r="K1971" s="10" t="str">
        <f>"PFES1162562508_0001"</f>
        <v>PFES1162562508_0001</v>
      </c>
      <c r="L1971" s="10">
        <v>1</v>
      </c>
      <c r="M1971" s="10">
        <v>4</v>
      </c>
    </row>
    <row r="1972" spans="1:13">
      <c r="A1972" s="8">
        <v>42930</v>
      </c>
      <c r="B1972" s="9">
        <v>0.41319444444444442</v>
      </c>
      <c r="C1972" s="10" t="str">
        <f>"FES1162562517"</f>
        <v>FES1162562517</v>
      </c>
      <c r="D1972" s="10" t="s">
        <v>19</v>
      </c>
      <c r="E1972" s="10" t="s">
        <v>549</v>
      </c>
      <c r="F1972" s="10" t="str">
        <f>"2170579039 "</f>
        <v xml:space="preserve">2170579039 </v>
      </c>
      <c r="G1972" s="10" t="str">
        <f t="shared" si="84"/>
        <v>ON1</v>
      </c>
      <c r="H1972" s="10" t="s">
        <v>21</v>
      </c>
      <c r="I1972" s="10" t="s">
        <v>224</v>
      </c>
      <c r="J1972" s="10" t="str">
        <f>""</f>
        <v/>
      </c>
      <c r="K1972" s="10" t="str">
        <f>"PFES1162562517_0001"</f>
        <v>PFES1162562517_0001</v>
      </c>
      <c r="L1972" s="10">
        <v>1</v>
      </c>
      <c r="M1972" s="10">
        <v>1</v>
      </c>
    </row>
    <row r="1973" spans="1:13">
      <c r="A1973" s="8">
        <v>42930</v>
      </c>
      <c r="B1973" s="9">
        <v>0.41180555555555554</v>
      </c>
      <c r="C1973" s="10" t="str">
        <f>"FES1162562506"</f>
        <v>FES1162562506</v>
      </c>
      <c r="D1973" s="10" t="s">
        <v>19</v>
      </c>
      <c r="E1973" s="10" t="s">
        <v>709</v>
      </c>
      <c r="F1973" s="10" t="str">
        <f>"2170577552 "</f>
        <v xml:space="preserve">2170577552 </v>
      </c>
      <c r="G1973" s="10" t="str">
        <f t="shared" si="84"/>
        <v>ON1</v>
      </c>
      <c r="H1973" s="10" t="s">
        <v>21</v>
      </c>
      <c r="I1973" s="10" t="s">
        <v>224</v>
      </c>
      <c r="J1973" s="10" t="str">
        <f>""</f>
        <v/>
      </c>
      <c r="K1973" s="10" t="str">
        <f>"PFES1162562506_0001"</f>
        <v>PFES1162562506_0001</v>
      </c>
      <c r="L1973" s="10">
        <v>1</v>
      </c>
      <c r="M1973" s="10">
        <v>1</v>
      </c>
    </row>
    <row r="1974" spans="1:13">
      <c r="A1974" s="8">
        <v>42930</v>
      </c>
      <c r="B1974" s="9">
        <v>0.41111111111111115</v>
      </c>
      <c r="C1974" s="10" t="str">
        <f>"FES1162561861"</f>
        <v>FES1162561861</v>
      </c>
      <c r="D1974" s="10" t="s">
        <v>19</v>
      </c>
      <c r="E1974" s="10" t="s">
        <v>626</v>
      </c>
      <c r="F1974" s="10" t="str">
        <f>"2170573687 "</f>
        <v xml:space="preserve">2170573687 </v>
      </c>
      <c r="G1974" s="10" t="str">
        <f>"DBC"</f>
        <v>DBC</v>
      </c>
      <c r="H1974" s="10" t="s">
        <v>21</v>
      </c>
      <c r="I1974" s="10" t="s">
        <v>627</v>
      </c>
      <c r="J1974" s="10" t="str">
        <f>""</f>
        <v/>
      </c>
      <c r="K1974" s="10" t="str">
        <f>"PFES1162561861_0001"</f>
        <v>PFES1162561861_0001</v>
      </c>
      <c r="L1974" s="10">
        <v>2</v>
      </c>
      <c r="M1974" s="10">
        <v>22</v>
      </c>
    </row>
    <row r="1975" spans="1:13">
      <c r="A1975" s="8">
        <v>42930</v>
      </c>
      <c r="B1975" s="9">
        <v>0.41111111111111115</v>
      </c>
      <c r="C1975" s="10" t="str">
        <f>"FES1162561861"</f>
        <v>FES1162561861</v>
      </c>
      <c r="D1975" s="10" t="s">
        <v>19</v>
      </c>
      <c r="E1975" s="10" t="s">
        <v>626</v>
      </c>
      <c r="F1975" s="10" t="str">
        <f>"2170573687 "</f>
        <v xml:space="preserve">2170573687 </v>
      </c>
      <c r="G1975" s="10" t="str">
        <f>"DBC"</f>
        <v>DBC</v>
      </c>
      <c r="H1975" s="10" t="s">
        <v>21</v>
      </c>
      <c r="I1975" s="10" t="s">
        <v>627</v>
      </c>
      <c r="J1975" s="10"/>
      <c r="K1975" s="10" t="str">
        <f>"PFES1162561861_0002"</f>
        <v>PFES1162561861_0002</v>
      </c>
      <c r="L1975" s="10">
        <v>2</v>
      </c>
      <c r="M1975" s="10">
        <v>22</v>
      </c>
    </row>
    <row r="1976" spans="1:13">
      <c r="A1976" s="8">
        <v>42930</v>
      </c>
      <c r="B1976" s="9">
        <v>0.40763888888888888</v>
      </c>
      <c r="C1976" s="10" t="str">
        <f>"FES1162562551"</f>
        <v>FES1162562551</v>
      </c>
      <c r="D1976" s="10" t="s">
        <v>19</v>
      </c>
      <c r="E1976" s="10" t="s">
        <v>382</v>
      </c>
      <c r="F1976" s="10" t="str">
        <f>"2170579149 "</f>
        <v xml:space="preserve">2170579149 </v>
      </c>
      <c r="G1976" s="10" t="str">
        <f>"ON1"</f>
        <v>ON1</v>
      </c>
      <c r="H1976" s="10" t="s">
        <v>21</v>
      </c>
      <c r="I1976" s="10" t="s">
        <v>383</v>
      </c>
      <c r="J1976" s="10" t="str">
        <f>""</f>
        <v/>
      </c>
      <c r="K1976" s="10" t="str">
        <f>"PFES1162562551_0001"</f>
        <v>PFES1162562551_0001</v>
      </c>
      <c r="L1976" s="10">
        <v>1</v>
      </c>
      <c r="M1976" s="10">
        <v>13</v>
      </c>
    </row>
    <row r="1977" spans="1:13">
      <c r="A1977" s="8">
        <v>42934</v>
      </c>
      <c r="B1977" s="9">
        <v>0.59861111111111109</v>
      </c>
      <c r="C1977" s="10" t="str">
        <f>"FES1162563194"</f>
        <v>FES1162563194</v>
      </c>
      <c r="D1977" s="10" t="s">
        <v>19</v>
      </c>
      <c r="E1977" s="10" t="s">
        <v>919</v>
      </c>
      <c r="F1977" s="10" t="str">
        <f>"2170579702 "</f>
        <v xml:space="preserve">2170579702 </v>
      </c>
      <c r="G1977" s="10" t="str">
        <f>"ON1"</f>
        <v>ON1</v>
      </c>
      <c r="H1977" s="10" t="s">
        <v>21</v>
      </c>
      <c r="I1977" s="10" t="s">
        <v>330</v>
      </c>
      <c r="J1977" s="10" t="str">
        <f>""</f>
        <v/>
      </c>
      <c r="K1977" s="10" t="str">
        <f>"PFES1162563194_0001"</f>
        <v>PFES1162563194_0001</v>
      </c>
      <c r="L1977" s="10">
        <v>2</v>
      </c>
      <c r="M1977" s="10">
        <v>15</v>
      </c>
    </row>
    <row r="1978" spans="1:13">
      <c r="A1978" s="8">
        <v>42934</v>
      </c>
      <c r="B1978" s="9">
        <v>0.59861111111111109</v>
      </c>
      <c r="C1978" s="10" t="str">
        <f>"FES1162563194"</f>
        <v>FES1162563194</v>
      </c>
      <c r="D1978" s="10" t="s">
        <v>19</v>
      </c>
      <c r="E1978" s="10" t="s">
        <v>919</v>
      </c>
      <c r="F1978" s="10" t="str">
        <f>"2170579702 "</f>
        <v xml:space="preserve">2170579702 </v>
      </c>
      <c r="G1978" s="10" t="str">
        <f>"ON1"</f>
        <v>ON1</v>
      </c>
      <c r="H1978" s="10" t="s">
        <v>21</v>
      </c>
      <c r="I1978" s="10" t="s">
        <v>330</v>
      </c>
      <c r="J1978" s="10"/>
      <c r="K1978" s="10" t="str">
        <f>"PFES1162563194_0002"</f>
        <v>PFES1162563194_0002</v>
      </c>
      <c r="L1978" s="10">
        <v>2</v>
      </c>
      <c r="M1978" s="10">
        <v>15</v>
      </c>
    </row>
    <row r="1979" spans="1:13">
      <c r="A1979" s="8">
        <v>42934</v>
      </c>
      <c r="B1979" s="9">
        <v>0.59305555555555556</v>
      </c>
      <c r="C1979" s="10" t="str">
        <f>"FES1162563188"</f>
        <v>FES1162563188</v>
      </c>
      <c r="D1979" s="10" t="s">
        <v>19</v>
      </c>
      <c r="E1979" s="10" t="s">
        <v>381</v>
      </c>
      <c r="F1979" s="10" t="str">
        <f>"2170579707 "</f>
        <v xml:space="preserve">2170579707 </v>
      </c>
      <c r="G1979" s="10" t="str">
        <f>"ON1"</f>
        <v>ON1</v>
      </c>
      <c r="H1979" s="10" t="s">
        <v>21</v>
      </c>
      <c r="I1979" s="10" t="s">
        <v>149</v>
      </c>
      <c r="J1979" s="10" t="str">
        <f>""</f>
        <v/>
      </c>
      <c r="K1979" s="10" t="str">
        <f>"PFES1162563188_0001"</f>
        <v>PFES1162563188_0001</v>
      </c>
      <c r="L1979" s="10">
        <v>1</v>
      </c>
      <c r="M1979" s="10">
        <v>5</v>
      </c>
    </row>
    <row r="1980" spans="1:13">
      <c r="A1980" s="8">
        <v>42934</v>
      </c>
      <c r="B1980" s="9">
        <v>0.59236111111111112</v>
      </c>
      <c r="C1980" s="10" t="str">
        <f>"FES1162563181"</f>
        <v>FES1162563181</v>
      </c>
      <c r="D1980" s="10" t="s">
        <v>19</v>
      </c>
      <c r="E1980" s="10" t="s">
        <v>39</v>
      </c>
      <c r="F1980" s="10" t="str">
        <f>"2170579705 "</f>
        <v xml:space="preserve">2170579705 </v>
      </c>
      <c r="G1980" s="10" t="str">
        <f>"ON1"</f>
        <v>ON1</v>
      </c>
      <c r="H1980" s="10" t="s">
        <v>21</v>
      </c>
      <c r="I1980" s="10" t="s">
        <v>40</v>
      </c>
      <c r="J1980" s="10" t="str">
        <f>""</f>
        <v/>
      </c>
      <c r="K1980" s="10" t="str">
        <f>"PFES1162563181_0001"</f>
        <v>PFES1162563181_0001</v>
      </c>
      <c r="L1980" s="10">
        <v>1</v>
      </c>
      <c r="M1980" s="10">
        <v>6</v>
      </c>
    </row>
    <row r="1981" spans="1:13">
      <c r="A1981" s="8">
        <v>42934</v>
      </c>
      <c r="B1981" s="9">
        <v>0.59236111111111112</v>
      </c>
      <c r="C1981" s="10" t="str">
        <f>"FES1162563000"</f>
        <v>FES1162563000</v>
      </c>
      <c r="D1981" s="10" t="s">
        <v>19</v>
      </c>
      <c r="E1981" s="10" t="s">
        <v>920</v>
      </c>
      <c r="F1981" s="10" t="str">
        <f>"2170574053 "</f>
        <v xml:space="preserve">2170574053 </v>
      </c>
      <c r="G1981" s="10" t="str">
        <f>"DBC"</f>
        <v>DBC</v>
      </c>
      <c r="H1981" s="10" t="s">
        <v>21</v>
      </c>
      <c r="I1981" s="10" t="s">
        <v>313</v>
      </c>
      <c r="J1981" s="10" t="str">
        <f>""</f>
        <v/>
      </c>
      <c r="K1981" s="10" t="str">
        <f>"PFES1162563000_0001"</f>
        <v>PFES1162563000_0001</v>
      </c>
      <c r="L1981" s="10">
        <v>2</v>
      </c>
      <c r="M1981" s="10">
        <v>29</v>
      </c>
    </row>
    <row r="1982" spans="1:13">
      <c r="A1982" s="8">
        <v>42934</v>
      </c>
      <c r="B1982" s="9">
        <v>0.59236111111111112</v>
      </c>
      <c r="C1982" s="10" t="str">
        <f>"FES1162563000"</f>
        <v>FES1162563000</v>
      </c>
      <c r="D1982" s="10" t="s">
        <v>19</v>
      </c>
      <c r="E1982" s="10" t="s">
        <v>920</v>
      </c>
      <c r="F1982" s="10" t="str">
        <f>"2170574053 "</f>
        <v xml:space="preserve">2170574053 </v>
      </c>
      <c r="G1982" s="10" t="str">
        <f>"DBC"</f>
        <v>DBC</v>
      </c>
      <c r="H1982" s="10" t="s">
        <v>21</v>
      </c>
      <c r="I1982" s="10" t="s">
        <v>313</v>
      </c>
      <c r="J1982" s="10"/>
      <c r="K1982" s="10" t="str">
        <f>"PFES1162563000_0002"</f>
        <v>PFES1162563000_0002</v>
      </c>
      <c r="L1982" s="10">
        <v>2</v>
      </c>
      <c r="M1982" s="10">
        <v>29</v>
      </c>
    </row>
    <row r="1983" spans="1:13">
      <c r="A1983" s="8">
        <v>42934</v>
      </c>
      <c r="B1983" s="9">
        <v>0.59097222222222223</v>
      </c>
      <c r="C1983" s="10" t="str">
        <f>"FES1162563006"</f>
        <v>FES1162563006</v>
      </c>
      <c r="D1983" s="10" t="s">
        <v>19</v>
      </c>
      <c r="E1983" s="10" t="s">
        <v>471</v>
      </c>
      <c r="F1983" s="10" t="str">
        <f>"2170574667 "</f>
        <v xml:space="preserve">2170574667 </v>
      </c>
      <c r="G1983" s="10" t="str">
        <f t="shared" ref="G1983:G1999" si="85">"ON1"</f>
        <v>ON1</v>
      </c>
      <c r="H1983" s="10" t="s">
        <v>21</v>
      </c>
      <c r="I1983" s="10" t="s">
        <v>138</v>
      </c>
      <c r="J1983" s="10" t="str">
        <f>""</f>
        <v/>
      </c>
      <c r="K1983" s="10" t="str">
        <f>"PFES1162563006_0001"</f>
        <v>PFES1162563006_0001</v>
      </c>
      <c r="L1983" s="10">
        <v>1</v>
      </c>
      <c r="M1983" s="10">
        <v>3</v>
      </c>
    </row>
    <row r="1984" spans="1:13">
      <c r="A1984" s="8">
        <v>42934</v>
      </c>
      <c r="B1984" s="9">
        <v>0.59027777777777779</v>
      </c>
      <c r="C1984" s="10" t="str">
        <f>"FES1162563292"</f>
        <v>FES1162563292</v>
      </c>
      <c r="D1984" s="10" t="s">
        <v>19</v>
      </c>
      <c r="E1984" s="10" t="s">
        <v>324</v>
      </c>
      <c r="F1984" s="10" t="str">
        <f>"2170579815 "</f>
        <v xml:space="preserve">2170579815 </v>
      </c>
      <c r="G1984" s="10" t="str">
        <f t="shared" si="85"/>
        <v>ON1</v>
      </c>
      <c r="H1984" s="10" t="s">
        <v>21</v>
      </c>
      <c r="I1984" s="10" t="s">
        <v>679</v>
      </c>
      <c r="J1984" s="10" t="str">
        <f>""</f>
        <v/>
      </c>
      <c r="K1984" s="10" t="str">
        <f>"PFES1162563292_0001"</f>
        <v>PFES1162563292_0001</v>
      </c>
      <c r="L1984" s="10">
        <v>1</v>
      </c>
      <c r="M1984" s="10">
        <v>4</v>
      </c>
    </row>
    <row r="1985" spans="1:13">
      <c r="A1985" s="8">
        <v>42934</v>
      </c>
      <c r="B1985" s="9">
        <v>0.58888888888888891</v>
      </c>
      <c r="C1985" s="10" t="str">
        <f>"FES1162563024"</f>
        <v>FES1162563024</v>
      </c>
      <c r="D1985" s="10" t="s">
        <v>19</v>
      </c>
      <c r="E1985" s="10" t="s">
        <v>257</v>
      </c>
      <c r="F1985" s="10" t="str">
        <f>"2170577028 "</f>
        <v xml:space="preserve">2170577028 </v>
      </c>
      <c r="G1985" s="10" t="str">
        <f t="shared" si="85"/>
        <v>ON1</v>
      </c>
      <c r="H1985" s="10" t="s">
        <v>21</v>
      </c>
      <c r="I1985" s="10" t="s">
        <v>24</v>
      </c>
      <c r="J1985" s="10" t="str">
        <f>""</f>
        <v/>
      </c>
      <c r="K1985" s="10" t="str">
        <f>"PFES1162563024_0001"</f>
        <v>PFES1162563024_0001</v>
      </c>
      <c r="L1985" s="10">
        <v>1</v>
      </c>
      <c r="M1985" s="10">
        <v>6</v>
      </c>
    </row>
    <row r="1986" spans="1:13">
      <c r="A1986" s="8">
        <v>42934</v>
      </c>
      <c r="B1986" s="9">
        <v>0.58819444444444446</v>
      </c>
      <c r="C1986" s="10" t="str">
        <f>"FES1162563147"</f>
        <v>FES1162563147</v>
      </c>
      <c r="D1986" s="10" t="s">
        <v>19</v>
      </c>
      <c r="E1986" s="10" t="s">
        <v>89</v>
      </c>
      <c r="F1986" s="10" t="str">
        <f>"2170579656 "</f>
        <v xml:space="preserve">2170579656 </v>
      </c>
      <c r="G1986" s="10" t="str">
        <f t="shared" si="85"/>
        <v>ON1</v>
      </c>
      <c r="H1986" s="10" t="s">
        <v>21</v>
      </c>
      <c r="I1986" s="10" t="s">
        <v>90</v>
      </c>
      <c r="J1986" s="10" t="str">
        <f>""</f>
        <v/>
      </c>
      <c r="K1986" s="10" t="str">
        <f>"PFES1162563147_0001"</f>
        <v>PFES1162563147_0001</v>
      </c>
      <c r="L1986" s="10">
        <v>1</v>
      </c>
      <c r="M1986" s="10">
        <v>1</v>
      </c>
    </row>
    <row r="1987" spans="1:13">
      <c r="A1987" s="8">
        <v>42934</v>
      </c>
      <c r="B1987" s="9">
        <v>0.58750000000000002</v>
      </c>
      <c r="C1987" s="10" t="str">
        <f>"FES1162563192"</f>
        <v>FES1162563192</v>
      </c>
      <c r="D1987" s="10" t="s">
        <v>19</v>
      </c>
      <c r="E1987" s="10" t="s">
        <v>921</v>
      </c>
      <c r="F1987" s="10" t="str">
        <f>"2170579714 "</f>
        <v xml:space="preserve">2170579714 </v>
      </c>
      <c r="G1987" s="10" t="str">
        <f t="shared" si="85"/>
        <v>ON1</v>
      </c>
      <c r="H1987" s="10" t="s">
        <v>21</v>
      </c>
      <c r="I1987" s="10" t="s">
        <v>565</v>
      </c>
      <c r="J1987" s="10" t="str">
        <f>""</f>
        <v/>
      </c>
      <c r="K1987" s="10" t="str">
        <f>"PFES1162563192_0001"</f>
        <v>PFES1162563192_0001</v>
      </c>
      <c r="L1987" s="10">
        <v>1</v>
      </c>
      <c r="M1987" s="10">
        <v>1</v>
      </c>
    </row>
    <row r="1988" spans="1:13">
      <c r="A1988" s="8">
        <v>42934</v>
      </c>
      <c r="B1988" s="9">
        <v>0.58750000000000002</v>
      </c>
      <c r="C1988" s="10" t="str">
        <f>"FES1162563012"</f>
        <v>FES1162563012</v>
      </c>
      <c r="D1988" s="10" t="s">
        <v>19</v>
      </c>
      <c r="E1988" s="10" t="s">
        <v>131</v>
      </c>
      <c r="F1988" s="10" t="str">
        <f>"21705755891 "</f>
        <v xml:space="preserve">21705755891 </v>
      </c>
      <c r="G1988" s="10" t="str">
        <f t="shared" si="85"/>
        <v>ON1</v>
      </c>
      <c r="H1988" s="10" t="s">
        <v>21</v>
      </c>
      <c r="I1988" s="10" t="s">
        <v>132</v>
      </c>
      <c r="J1988" s="10" t="str">
        <f>""</f>
        <v/>
      </c>
      <c r="K1988" s="10" t="str">
        <f>"PFES1162563012_0001"</f>
        <v>PFES1162563012_0001</v>
      </c>
      <c r="L1988" s="10">
        <v>1</v>
      </c>
      <c r="M1988" s="10">
        <v>1</v>
      </c>
    </row>
    <row r="1989" spans="1:13">
      <c r="A1989" s="8">
        <v>42934</v>
      </c>
      <c r="B1989" s="9">
        <v>0.58680555555555558</v>
      </c>
      <c r="C1989" s="10" t="str">
        <f>"FES1162563149"</f>
        <v>FES1162563149</v>
      </c>
      <c r="D1989" s="10" t="s">
        <v>19</v>
      </c>
      <c r="E1989" s="10" t="s">
        <v>288</v>
      </c>
      <c r="F1989" s="10" t="str">
        <f>"2170579658 "</f>
        <v xml:space="preserve">2170579658 </v>
      </c>
      <c r="G1989" s="10" t="str">
        <f t="shared" si="85"/>
        <v>ON1</v>
      </c>
      <c r="H1989" s="10" t="s">
        <v>21</v>
      </c>
      <c r="I1989" s="10" t="s">
        <v>84</v>
      </c>
      <c r="J1989" s="10" t="str">
        <f>""</f>
        <v/>
      </c>
      <c r="K1989" s="10" t="str">
        <f>"PFES1162563149_0001"</f>
        <v>PFES1162563149_0001</v>
      </c>
      <c r="L1989" s="10">
        <v>1</v>
      </c>
      <c r="M1989" s="10">
        <v>1</v>
      </c>
    </row>
    <row r="1990" spans="1:13">
      <c r="A1990" s="8">
        <v>42934</v>
      </c>
      <c r="B1990" s="9">
        <v>0.58680555555555558</v>
      </c>
      <c r="C1990" s="10" t="str">
        <f>"FES1162563218"</f>
        <v>FES1162563218</v>
      </c>
      <c r="D1990" s="10" t="s">
        <v>19</v>
      </c>
      <c r="E1990" s="10" t="s">
        <v>266</v>
      </c>
      <c r="F1990" s="10" t="str">
        <f>"2170579735 "</f>
        <v xml:space="preserve">2170579735 </v>
      </c>
      <c r="G1990" s="10" t="str">
        <f t="shared" si="85"/>
        <v>ON1</v>
      </c>
      <c r="H1990" s="10" t="s">
        <v>21</v>
      </c>
      <c r="I1990" s="10" t="s">
        <v>290</v>
      </c>
      <c r="J1990" s="10" t="str">
        <f>""</f>
        <v/>
      </c>
      <c r="K1990" s="10" t="str">
        <f>"PFES1162563218_0001"</f>
        <v>PFES1162563218_0001</v>
      </c>
      <c r="L1990" s="10">
        <v>1</v>
      </c>
      <c r="M1990" s="10">
        <v>1</v>
      </c>
    </row>
    <row r="1991" spans="1:13">
      <c r="A1991" s="8">
        <v>42934</v>
      </c>
      <c r="B1991" s="9">
        <v>0.58680555555555558</v>
      </c>
      <c r="C1991" s="10" t="str">
        <f>"FES1162563245"</f>
        <v>FES1162563245</v>
      </c>
      <c r="D1991" s="10" t="s">
        <v>19</v>
      </c>
      <c r="E1991" s="10" t="s">
        <v>740</v>
      </c>
      <c r="F1991" s="10" t="str">
        <f>"2170579781 "</f>
        <v xml:space="preserve">2170579781 </v>
      </c>
      <c r="G1991" s="10" t="str">
        <f t="shared" si="85"/>
        <v>ON1</v>
      </c>
      <c r="H1991" s="10" t="s">
        <v>21</v>
      </c>
      <c r="I1991" s="10" t="s">
        <v>330</v>
      </c>
      <c r="J1991" s="10" t="str">
        <f>""</f>
        <v/>
      </c>
      <c r="K1991" s="10" t="str">
        <f>"PFES1162563245_0001"</f>
        <v>PFES1162563245_0001</v>
      </c>
      <c r="L1991" s="10">
        <v>1</v>
      </c>
      <c r="M1991" s="10">
        <v>1</v>
      </c>
    </row>
    <row r="1992" spans="1:13">
      <c r="A1992" s="8">
        <v>42934</v>
      </c>
      <c r="B1992" s="9">
        <v>0.58611111111111114</v>
      </c>
      <c r="C1992" s="10" t="str">
        <f>"FES1162563155"</f>
        <v>FES1162563155</v>
      </c>
      <c r="D1992" s="10" t="s">
        <v>19</v>
      </c>
      <c r="E1992" s="10" t="s">
        <v>210</v>
      </c>
      <c r="F1992" s="10" t="str">
        <f>"2170579668 "</f>
        <v xml:space="preserve">2170579668 </v>
      </c>
      <c r="G1992" s="10" t="str">
        <f t="shared" si="85"/>
        <v>ON1</v>
      </c>
      <c r="H1992" s="10" t="s">
        <v>21</v>
      </c>
      <c r="I1992" s="10" t="s">
        <v>32</v>
      </c>
      <c r="J1992" s="10" t="str">
        <f>""</f>
        <v/>
      </c>
      <c r="K1992" s="10" t="str">
        <f>"PFES1162563155_0001"</f>
        <v>PFES1162563155_0001</v>
      </c>
      <c r="L1992" s="10">
        <v>1</v>
      </c>
      <c r="M1992" s="10">
        <v>1</v>
      </c>
    </row>
    <row r="1993" spans="1:13">
      <c r="A1993" s="8">
        <v>42934</v>
      </c>
      <c r="B1993" s="9">
        <v>0.58611111111111114</v>
      </c>
      <c r="C1993" s="10" t="str">
        <f>"FES1162563235"</f>
        <v>FES1162563235</v>
      </c>
      <c r="D1993" s="10" t="s">
        <v>19</v>
      </c>
      <c r="E1993" s="10" t="s">
        <v>521</v>
      </c>
      <c r="F1993" s="10" t="str">
        <f>"2170579758 "</f>
        <v xml:space="preserve">2170579758 </v>
      </c>
      <c r="G1993" s="10" t="str">
        <f t="shared" si="85"/>
        <v>ON1</v>
      </c>
      <c r="H1993" s="10" t="s">
        <v>21</v>
      </c>
      <c r="I1993" s="10" t="s">
        <v>215</v>
      </c>
      <c r="J1993" s="10" t="str">
        <f>""</f>
        <v/>
      </c>
      <c r="K1993" s="10" t="str">
        <f>"PFES1162563235_0001"</f>
        <v>PFES1162563235_0001</v>
      </c>
      <c r="L1993" s="10">
        <v>1</v>
      </c>
      <c r="M1993" s="10">
        <v>1</v>
      </c>
    </row>
    <row r="1994" spans="1:13">
      <c r="A1994" s="8">
        <v>42934</v>
      </c>
      <c r="B1994" s="9">
        <v>0.5854166666666667</v>
      </c>
      <c r="C1994" s="10" t="str">
        <f>"FES1162563242"</f>
        <v>FES1162563242</v>
      </c>
      <c r="D1994" s="10" t="s">
        <v>19</v>
      </c>
      <c r="E1994" s="10" t="s">
        <v>180</v>
      </c>
      <c r="F1994" s="10" t="str">
        <f>"2170579770 "</f>
        <v xml:space="preserve">2170579770 </v>
      </c>
      <c r="G1994" s="10" t="str">
        <f t="shared" si="85"/>
        <v>ON1</v>
      </c>
      <c r="H1994" s="10" t="s">
        <v>21</v>
      </c>
      <c r="I1994" s="10" t="s">
        <v>168</v>
      </c>
      <c r="J1994" s="10" t="str">
        <f>""</f>
        <v/>
      </c>
      <c r="K1994" s="10" t="str">
        <f>"PFES1162563242_0001"</f>
        <v>PFES1162563242_0001</v>
      </c>
      <c r="L1994" s="10">
        <v>1</v>
      </c>
      <c r="M1994" s="10">
        <v>1</v>
      </c>
    </row>
    <row r="1995" spans="1:13">
      <c r="A1995" s="8">
        <v>42934</v>
      </c>
      <c r="B1995" s="9">
        <v>0.5854166666666667</v>
      </c>
      <c r="C1995" s="10" t="str">
        <f>"FES1162563115"</f>
        <v>FES1162563115</v>
      </c>
      <c r="D1995" s="10" t="s">
        <v>19</v>
      </c>
      <c r="E1995" s="10" t="s">
        <v>687</v>
      </c>
      <c r="F1995" s="10" t="str">
        <f>"2170578341 "</f>
        <v xml:space="preserve">2170578341 </v>
      </c>
      <c r="G1995" s="10" t="str">
        <f t="shared" si="85"/>
        <v>ON1</v>
      </c>
      <c r="H1995" s="10" t="s">
        <v>21</v>
      </c>
      <c r="I1995" s="10" t="s">
        <v>340</v>
      </c>
      <c r="J1995" s="10" t="str">
        <f>""</f>
        <v/>
      </c>
      <c r="K1995" s="10" t="str">
        <f>"PFES1162563115_0001"</f>
        <v>PFES1162563115_0001</v>
      </c>
      <c r="L1995" s="10">
        <v>1</v>
      </c>
      <c r="M1995" s="10">
        <v>1</v>
      </c>
    </row>
    <row r="1996" spans="1:13">
      <c r="A1996" s="8">
        <v>42934</v>
      </c>
      <c r="B1996" s="9">
        <v>0.58472222222222225</v>
      </c>
      <c r="C1996" s="10" t="str">
        <f>"FES1162563072"</f>
        <v>FES1162563072</v>
      </c>
      <c r="D1996" s="10" t="s">
        <v>19</v>
      </c>
      <c r="E1996" s="10" t="s">
        <v>181</v>
      </c>
      <c r="F1996" s="10" t="str">
        <f>"2170577466 "</f>
        <v xml:space="preserve">2170577466 </v>
      </c>
      <c r="G1996" s="10" t="str">
        <f t="shared" si="85"/>
        <v>ON1</v>
      </c>
      <c r="H1996" s="10" t="s">
        <v>21</v>
      </c>
      <c r="I1996" s="10" t="s">
        <v>179</v>
      </c>
      <c r="J1996" s="10" t="str">
        <f>""</f>
        <v/>
      </c>
      <c r="K1996" s="10" t="str">
        <f>"PFES1162563072_0001"</f>
        <v>PFES1162563072_0001</v>
      </c>
      <c r="L1996" s="10">
        <v>1</v>
      </c>
      <c r="M1996" s="10">
        <v>1</v>
      </c>
    </row>
    <row r="1997" spans="1:13">
      <c r="A1997" s="8">
        <v>42934</v>
      </c>
      <c r="B1997" s="9">
        <v>0.58472222222222225</v>
      </c>
      <c r="C1997" s="10" t="str">
        <f>"FES1162563299"</f>
        <v>FES1162563299</v>
      </c>
      <c r="D1997" s="10" t="s">
        <v>19</v>
      </c>
      <c r="E1997" s="10" t="s">
        <v>769</v>
      </c>
      <c r="F1997" s="10" t="str">
        <f>"2170579826 "</f>
        <v xml:space="preserve">2170579826 </v>
      </c>
      <c r="G1997" s="10" t="str">
        <f t="shared" si="85"/>
        <v>ON1</v>
      </c>
      <c r="H1997" s="10" t="s">
        <v>21</v>
      </c>
      <c r="I1997" s="10" t="s">
        <v>443</v>
      </c>
      <c r="J1997" s="10" t="str">
        <f>""</f>
        <v/>
      </c>
      <c r="K1997" s="10" t="str">
        <f>"PFES1162563299_0001"</f>
        <v>PFES1162563299_0001</v>
      </c>
      <c r="L1997" s="10">
        <v>1</v>
      </c>
      <c r="M1997" s="10">
        <v>1</v>
      </c>
    </row>
    <row r="1998" spans="1:13">
      <c r="A1998" s="8">
        <v>42934</v>
      </c>
      <c r="B1998" s="9">
        <v>0.58472222222222225</v>
      </c>
      <c r="C1998" s="10" t="str">
        <f>"FES1162563226"</f>
        <v>FES1162563226</v>
      </c>
      <c r="D1998" s="10" t="s">
        <v>19</v>
      </c>
      <c r="E1998" s="10" t="s">
        <v>466</v>
      </c>
      <c r="F1998" s="10" t="str">
        <f>"2170579752 "</f>
        <v xml:space="preserve">2170579752 </v>
      </c>
      <c r="G1998" s="10" t="str">
        <f t="shared" si="85"/>
        <v>ON1</v>
      </c>
      <c r="H1998" s="10" t="s">
        <v>21</v>
      </c>
      <c r="I1998" s="10" t="s">
        <v>467</v>
      </c>
      <c r="J1998" s="10" t="str">
        <f>""</f>
        <v/>
      </c>
      <c r="K1998" s="10" t="str">
        <f>"PFES1162563226_0001"</f>
        <v>PFES1162563226_0001</v>
      </c>
      <c r="L1998" s="10">
        <v>1</v>
      </c>
      <c r="M1998" s="10">
        <v>1</v>
      </c>
    </row>
    <row r="1999" spans="1:13">
      <c r="A1999" s="8">
        <v>42934</v>
      </c>
      <c r="B1999" s="9">
        <v>0.56874999999999998</v>
      </c>
      <c r="C1999" s="10" t="str">
        <f>"FES1162563038"</f>
        <v>FES1162563038</v>
      </c>
      <c r="D1999" s="10" t="s">
        <v>19</v>
      </c>
      <c r="E1999" s="10" t="s">
        <v>408</v>
      </c>
      <c r="F1999" s="10" t="str">
        <f>"2170577120 "</f>
        <v xml:space="preserve">2170577120 </v>
      </c>
      <c r="G1999" s="10" t="str">
        <f t="shared" si="85"/>
        <v>ON1</v>
      </c>
      <c r="H1999" s="10" t="s">
        <v>21</v>
      </c>
      <c r="I1999" s="10" t="s">
        <v>177</v>
      </c>
      <c r="J1999" s="10" t="str">
        <f>""</f>
        <v/>
      </c>
      <c r="K1999" s="10" t="str">
        <f>"PFES1162563038_0001"</f>
        <v>PFES1162563038_0001</v>
      </c>
      <c r="L1999" s="10">
        <v>1</v>
      </c>
      <c r="M1999" s="10">
        <v>2</v>
      </c>
    </row>
    <row r="2000" spans="1:13">
      <c r="A2000" s="8">
        <v>42934</v>
      </c>
      <c r="B2000" s="9">
        <v>0.56736111111111109</v>
      </c>
      <c r="C2000" s="10" t="str">
        <f>"FES1162562998"</f>
        <v>FES1162562998</v>
      </c>
      <c r="D2000" s="10" t="s">
        <v>19</v>
      </c>
      <c r="E2000" s="10" t="s">
        <v>99</v>
      </c>
      <c r="F2000" s="10" t="str">
        <f>"2170573133 "</f>
        <v xml:space="preserve">2170573133 </v>
      </c>
      <c r="G2000" s="10" t="str">
        <f>"ON2"</f>
        <v>ON2</v>
      </c>
      <c r="H2000" s="10" t="s">
        <v>21</v>
      </c>
      <c r="I2000" s="10" t="s">
        <v>100</v>
      </c>
      <c r="J2000" s="10" t="str">
        <f>""</f>
        <v/>
      </c>
      <c r="K2000" s="10" t="str">
        <f>"PFES1162562998_0001"</f>
        <v>PFES1162562998_0001</v>
      </c>
      <c r="L2000" s="10">
        <v>1</v>
      </c>
      <c r="M2000" s="10">
        <v>11</v>
      </c>
    </row>
    <row r="2001" spans="1:13">
      <c r="A2001" s="8">
        <v>42934</v>
      </c>
      <c r="B2001" s="9">
        <v>0.56597222222222221</v>
      </c>
      <c r="C2001" s="10" t="str">
        <f>"FES1162563119"</f>
        <v>FES1162563119</v>
      </c>
      <c r="D2001" s="10" t="s">
        <v>19</v>
      </c>
      <c r="E2001" s="10" t="s">
        <v>709</v>
      </c>
      <c r="F2001" s="10" t="str">
        <f>"2170578424 "</f>
        <v xml:space="preserve">2170578424 </v>
      </c>
      <c r="G2001" s="10" t="str">
        <f t="shared" ref="G2001:G2054" si="86">"ON1"</f>
        <v>ON1</v>
      </c>
      <c r="H2001" s="10" t="s">
        <v>21</v>
      </c>
      <c r="I2001" s="10" t="s">
        <v>224</v>
      </c>
      <c r="J2001" s="10" t="str">
        <f>""</f>
        <v/>
      </c>
      <c r="K2001" s="10" t="str">
        <f>"PFES1162563119_0001"</f>
        <v>PFES1162563119_0001</v>
      </c>
      <c r="L2001" s="10">
        <v>1</v>
      </c>
      <c r="M2001" s="10">
        <v>2</v>
      </c>
    </row>
    <row r="2002" spans="1:13">
      <c r="A2002" s="8">
        <v>42934</v>
      </c>
      <c r="B2002" s="9">
        <v>0.56527777777777777</v>
      </c>
      <c r="C2002" s="10" t="str">
        <f>"FES1162563025"</f>
        <v>FES1162563025</v>
      </c>
      <c r="D2002" s="10" t="s">
        <v>19</v>
      </c>
      <c r="E2002" s="10" t="s">
        <v>112</v>
      </c>
      <c r="F2002" s="10" t="str">
        <f>"2170577029 "</f>
        <v xml:space="preserve">2170577029 </v>
      </c>
      <c r="G2002" s="10" t="str">
        <f t="shared" si="86"/>
        <v>ON1</v>
      </c>
      <c r="H2002" s="10" t="s">
        <v>21</v>
      </c>
      <c r="I2002" s="10" t="s">
        <v>113</v>
      </c>
      <c r="J2002" s="10" t="str">
        <f>""</f>
        <v/>
      </c>
      <c r="K2002" s="10" t="str">
        <f>"PFES1162563025_0001"</f>
        <v>PFES1162563025_0001</v>
      </c>
      <c r="L2002" s="10">
        <v>1</v>
      </c>
      <c r="M2002" s="10">
        <v>6</v>
      </c>
    </row>
    <row r="2003" spans="1:13">
      <c r="A2003" s="8">
        <v>42934</v>
      </c>
      <c r="B2003" s="9">
        <v>0.56458333333333333</v>
      </c>
      <c r="C2003" s="10" t="str">
        <f>"FES1162563104"</f>
        <v>FES1162563104</v>
      </c>
      <c r="D2003" s="10" t="s">
        <v>19</v>
      </c>
      <c r="E2003" s="10" t="s">
        <v>162</v>
      </c>
      <c r="F2003" s="10" t="str">
        <f>"2170578108 "</f>
        <v xml:space="preserve">2170578108 </v>
      </c>
      <c r="G2003" s="10" t="str">
        <f t="shared" si="86"/>
        <v>ON1</v>
      </c>
      <c r="H2003" s="10" t="s">
        <v>21</v>
      </c>
      <c r="I2003" s="10" t="s">
        <v>163</v>
      </c>
      <c r="J2003" s="10" t="str">
        <f>""</f>
        <v/>
      </c>
      <c r="K2003" s="10" t="str">
        <f>"PFES1162563104_0001"</f>
        <v>PFES1162563104_0001</v>
      </c>
      <c r="L2003" s="10">
        <v>1</v>
      </c>
      <c r="M2003" s="10">
        <v>4</v>
      </c>
    </row>
    <row r="2004" spans="1:13">
      <c r="A2004" s="8">
        <v>42934</v>
      </c>
      <c r="B2004" s="9">
        <v>0.56388888888888888</v>
      </c>
      <c r="C2004" s="10" t="str">
        <f>"FES1162563042"</f>
        <v>FES1162563042</v>
      </c>
      <c r="D2004" s="10" t="s">
        <v>19</v>
      </c>
      <c r="E2004" s="10" t="s">
        <v>245</v>
      </c>
      <c r="F2004" s="10" t="str">
        <f>"2170577140 "</f>
        <v xml:space="preserve">2170577140 </v>
      </c>
      <c r="G2004" s="10" t="str">
        <f t="shared" si="86"/>
        <v>ON1</v>
      </c>
      <c r="H2004" s="10" t="s">
        <v>21</v>
      </c>
      <c r="I2004" s="10" t="s">
        <v>246</v>
      </c>
      <c r="J2004" s="10" t="str">
        <f>""</f>
        <v/>
      </c>
      <c r="K2004" s="10" t="str">
        <f>"PFES1162563042_0001"</f>
        <v>PFES1162563042_0001</v>
      </c>
      <c r="L2004" s="10">
        <v>1</v>
      </c>
      <c r="M2004" s="10">
        <v>1</v>
      </c>
    </row>
    <row r="2005" spans="1:13">
      <c r="A2005" s="8">
        <v>42934</v>
      </c>
      <c r="B2005" s="9">
        <v>0.56319444444444444</v>
      </c>
      <c r="C2005" s="10" t="str">
        <f>"FES1162563040"</f>
        <v>FES1162563040</v>
      </c>
      <c r="D2005" s="10" t="s">
        <v>19</v>
      </c>
      <c r="E2005" s="10" t="s">
        <v>245</v>
      </c>
      <c r="F2005" s="10" t="str">
        <f>"2170577136 "</f>
        <v xml:space="preserve">2170577136 </v>
      </c>
      <c r="G2005" s="10" t="str">
        <f t="shared" si="86"/>
        <v>ON1</v>
      </c>
      <c r="H2005" s="10" t="s">
        <v>21</v>
      </c>
      <c r="I2005" s="10" t="s">
        <v>246</v>
      </c>
      <c r="J2005" s="10" t="str">
        <f>""</f>
        <v/>
      </c>
      <c r="K2005" s="10" t="str">
        <f>"PFES1162563040_0001"</f>
        <v>PFES1162563040_0001</v>
      </c>
      <c r="L2005" s="10">
        <v>1</v>
      </c>
      <c r="M2005" s="10">
        <v>1</v>
      </c>
    </row>
    <row r="2006" spans="1:13">
      <c r="A2006" s="8">
        <v>42934</v>
      </c>
      <c r="B2006" s="9">
        <v>0.5625</v>
      </c>
      <c r="C2006" s="10" t="str">
        <f>"FES1162563046"</f>
        <v>FES1162563046</v>
      </c>
      <c r="D2006" s="10" t="s">
        <v>19</v>
      </c>
      <c r="E2006" s="10" t="s">
        <v>288</v>
      </c>
      <c r="F2006" s="10" t="str">
        <f>"2170577162 "</f>
        <v xml:space="preserve">2170577162 </v>
      </c>
      <c r="G2006" s="10" t="str">
        <f t="shared" si="86"/>
        <v>ON1</v>
      </c>
      <c r="H2006" s="10" t="s">
        <v>21</v>
      </c>
      <c r="I2006" s="10" t="s">
        <v>412</v>
      </c>
      <c r="J2006" s="10" t="str">
        <f>""</f>
        <v/>
      </c>
      <c r="K2006" s="10" t="str">
        <f>"PFES1162563046_0001"</f>
        <v>PFES1162563046_0001</v>
      </c>
      <c r="L2006" s="10">
        <v>1</v>
      </c>
      <c r="M2006" s="10">
        <v>1</v>
      </c>
    </row>
    <row r="2007" spans="1:13">
      <c r="A2007" s="8">
        <v>42934</v>
      </c>
      <c r="B2007" s="9">
        <v>0.56180555555555556</v>
      </c>
      <c r="C2007" s="10" t="str">
        <f>"FES1162563005"</f>
        <v>FES1162563005</v>
      </c>
      <c r="D2007" s="10" t="s">
        <v>19</v>
      </c>
      <c r="E2007" s="10" t="s">
        <v>297</v>
      </c>
      <c r="F2007" s="10" t="str">
        <f>"2170574593 "</f>
        <v xml:space="preserve">2170574593 </v>
      </c>
      <c r="G2007" s="10" t="str">
        <f t="shared" si="86"/>
        <v>ON1</v>
      </c>
      <c r="H2007" s="10" t="s">
        <v>21</v>
      </c>
      <c r="I2007" s="10" t="s">
        <v>98</v>
      </c>
      <c r="J2007" s="10" t="str">
        <f>""</f>
        <v/>
      </c>
      <c r="K2007" s="10" t="str">
        <f>"PFES1162563005_0001"</f>
        <v>PFES1162563005_0001</v>
      </c>
      <c r="L2007" s="10">
        <v>1</v>
      </c>
      <c r="M2007" s="10">
        <v>1</v>
      </c>
    </row>
    <row r="2008" spans="1:13">
      <c r="A2008" s="8">
        <v>42934</v>
      </c>
      <c r="B2008" s="9">
        <v>0.56111111111111112</v>
      </c>
      <c r="C2008" s="10" t="str">
        <f>"FES1162563049"</f>
        <v>FES1162563049</v>
      </c>
      <c r="D2008" s="10" t="s">
        <v>19</v>
      </c>
      <c r="E2008" s="10" t="s">
        <v>716</v>
      </c>
      <c r="F2008" s="10" t="str">
        <f>"2170577254 "</f>
        <v xml:space="preserve">2170577254 </v>
      </c>
      <c r="G2008" s="10" t="str">
        <f t="shared" si="86"/>
        <v>ON1</v>
      </c>
      <c r="H2008" s="10" t="s">
        <v>21</v>
      </c>
      <c r="I2008" s="10" t="s">
        <v>700</v>
      </c>
      <c r="J2008" s="10" t="str">
        <f>""</f>
        <v/>
      </c>
      <c r="K2008" s="10" t="str">
        <f>"PFES1162563049_0001"</f>
        <v>PFES1162563049_0001</v>
      </c>
      <c r="L2008" s="10">
        <v>1</v>
      </c>
      <c r="M2008" s="10">
        <v>1</v>
      </c>
    </row>
    <row r="2009" spans="1:13">
      <c r="A2009" s="8">
        <v>42934</v>
      </c>
      <c r="B2009" s="9">
        <v>0.56041666666666667</v>
      </c>
      <c r="C2009" s="10" t="str">
        <f>"FES1162562996"</f>
        <v>FES1162562996</v>
      </c>
      <c r="D2009" s="10" t="s">
        <v>19</v>
      </c>
      <c r="E2009" s="10" t="s">
        <v>165</v>
      </c>
      <c r="F2009" s="10" t="str">
        <f>"2170570449 "</f>
        <v xml:space="preserve">2170570449 </v>
      </c>
      <c r="G2009" s="10" t="str">
        <f t="shared" si="86"/>
        <v>ON1</v>
      </c>
      <c r="H2009" s="10" t="s">
        <v>21</v>
      </c>
      <c r="I2009" s="10" t="s">
        <v>166</v>
      </c>
      <c r="J2009" s="10" t="str">
        <f>""</f>
        <v/>
      </c>
      <c r="K2009" s="10" t="str">
        <f>"PFES1162562996_0001"</f>
        <v>PFES1162562996_0001</v>
      </c>
      <c r="L2009" s="10">
        <v>1</v>
      </c>
      <c r="M2009" s="10">
        <v>6</v>
      </c>
    </row>
    <row r="2010" spans="1:13">
      <c r="A2010" s="8">
        <v>42934</v>
      </c>
      <c r="B2010" s="9">
        <v>0.55972222222222223</v>
      </c>
      <c r="C2010" s="10" t="str">
        <f>"FES1162563143"</f>
        <v>FES1162563143</v>
      </c>
      <c r="D2010" s="10" t="s">
        <v>19</v>
      </c>
      <c r="E2010" s="10" t="s">
        <v>922</v>
      </c>
      <c r="F2010" s="10" t="str">
        <f>"2170579540 "</f>
        <v xml:space="preserve">2170579540 </v>
      </c>
      <c r="G2010" s="10" t="str">
        <f t="shared" si="86"/>
        <v>ON1</v>
      </c>
      <c r="H2010" s="10" t="s">
        <v>21</v>
      </c>
      <c r="I2010" s="10" t="s">
        <v>923</v>
      </c>
      <c r="J2010" s="10" t="str">
        <f>""</f>
        <v/>
      </c>
      <c r="K2010" s="10" t="str">
        <f>"PFES1162563143_0001"</f>
        <v>PFES1162563143_0001</v>
      </c>
      <c r="L2010" s="10">
        <v>1</v>
      </c>
      <c r="M2010" s="10">
        <v>1</v>
      </c>
    </row>
    <row r="2011" spans="1:13">
      <c r="A2011" s="8">
        <v>42934</v>
      </c>
      <c r="B2011" s="9">
        <v>0.55902777777777779</v>
      </c>
      <c r="C2011" s="10" t="str">
        <f>"FES1162563089"</f>
        <v>FES1162563089</v>
      </c>
      <c r="D2011" s="10" t="s">
        <v>19</v>
      </c>
      <c r="E2011" s="10" t="s">
        <v>488</v>
      </c>
      <c r="F2011" s="10" t="str">
        <f>"2170577701 "</f>
        <v xml:space="preserve">2170577701 </v>
      </c>
      <c r="G2011" s="10" t="str">
        <f t="shared" si="86"/>
        <v>ON1</v>
      </c>
      <c r="H2011" s="10" t="s">
        <v>21</v>
      </c>
      <c r="I2011" s="10" t="s">
        <v>414</v>
      </c>
      <c r="J2011" s="10" t="str">
        <f>""</f>
        <v/>
      </c>
      <c r="K2011" s="10" t="str">
        <f>"PFES1162563089_0001"</f>
        <v>PFES1162563089_0001</v>
      </c>
      <c r="L2011" s="10">
        <v>1</v>
      </c>
      <c r="M2011" s="10">
        <v>7</v>
      </c>
    </row>
    <row r="2012" spans="1:13">
      <c r="A2012" s="8">
        <v>42934</v>
      </c>
      <c r="B2012" s="9">
        <v>0.55833333333333335</v>
      </c>
      <c r="C2012" s="10" t="str">
        <f>"FES1162562989"</f>
        <v>FES1162562989</v>
      </c>
      <c r="D2012" s="10" t="s">
        <v>19</v>
      </c>
      <c r="E2012" s="10" t="s">
        <v>924</v>
      </c>
      <c r="F2012" s="10" t="str">
        <f>"2170579640 "</f>
        <v xml:space="preserve">2170579640 </v>
      </c>
      <c r="G2012" s="10" t="str">
        <f t="shared" si="86"/>
        <v>ON1</v>
      </c>
      <c r="H2012" s="10" t="s">
        <v>21</v>
      </c>
      <c r="I2012" s="10" t="s">
        <v>700</v>
      </c>
      <c r="J2012" s="10" t="str">
        <f>""</f>
        <v/>
      </c>
      <c r="K2012" s="10" t="str">
        <f>"PFES1162562989_0001"</f>
        <v>PFES1162562989_0001</v>
      </c>
      <c r="L2012" s="10">
        <v>1</v>
      </c>
      <c r="M2012" s="10">
        <v>2</v>
      </c>
    </row>
    <row r="2013" spans="1:13">
      <c r="A2013" s="8">
        <v>42934</v>
      </c>
      <c r="B2013" s="9">
        <v>0.55763888888888891</v>
      </c>
      <c r="C2013" s="10" t="str">
        <f>"FES1162563125"</f>
        <v>FES1162563125</v>
      </c>
      <c r="D2013" s="10" t="s">
        <v>19</v>
      </c>
      <c r="E2013" s="10" t="s">
        <v>295</v>
      </c>
      <c r="F2013" s="10" t="str">
        <f>"2170578683 "</f>
        <v xml:space="preserve">2170578683 </v>
      </c>
      <c r="G2013" s="10" t="str">
        <f t="shared" si="86"/>
        <v>ON1</v>
      </c>
      <c r="H2013" s="10" t="s">
        <v>21</v>
      </c>
      <c r="I2013" s="10" t="s">
        <v>179</v>
      </c>
      <c r="J2013" s="10" t="str">
        <f>""</f>
        <v/>
      </c>
      <c r="K2013" s="10" t="str">
        <f>"PFES1162563125_0001"</f>
        <v>PFES1162563125_0001</v>
      </c>
      <c r="L2013" s="10">
        <v>1</v>
      </c>
      <c r="M2013" s="10">
        <v>2</v>
      </c>
    </row>
    <row r="2014" spans="1:13">
      <c r="A2014" s="8">
        <v>42934</v>
      </c>
      <c r="B2014" s="9">
        <v>0.55694444444444446</v>
      </c>
      <c r="C2014" s="10" t="str">
        <f>"FES1162563129"</f>
        <v>FES1162563129</v>
      </c>
      <c r="D2014" s="10" t="s">
        <v>19</v>
      </c>
      <c r="E2014" s="10" t="s">
        <v>331</v>
      </c>
      <c r="F2014" s="10" t="str">
        <f>"2170579029 "</f>
        <v xml:space="preserve">2170579029 </v>
      </c>
      <c r="G2014" s="10" t="str">
        <f t="shared" si="86"/>
        <v>ON1</v>
      </c>
      <c r="H2014" s="10" t="s">
        <v>21</v>
      </c>
      <c r="I2014" s="10" t="s">
        <v>332</v>
      </c>
      <c r="J2014" s="10" t="str">
        <f>""</f>
        <v/>
      </c>
      <c r="K2014" s="10" t="str">
        <f>"PFES1162563129_0001"</f>
        <v>PFES1162563129_0001</v>
      </c>
      <c r="L2014" s="10">
        <v>1</v>
      </c>
      <c r="M2014" s="10">
        <v>1</v>
      </c>
    </row>
    <row r="2015" spans="1:13">
      <c r="A2015" s="8">
        <v>42934</v>
      </c>
      <c r="B2015" s="9">
        <v>0.55694444444444446</v>
      </c>
      <c r="C2015" s="10" t="str">
        <f>"FES1162563137"</f>
        <v>FES1162563137</v>
      </c>
      <c r="D2015" s="10" t="s">
        <v>19</v>
      </c>
      <c r="E2015" s="10" t="s">
        <v>333</v>
      </c>
      <c r="F2015" s="10" t="str">
        <f>"2170579345 "</f>
        <v xml:space="preserve">2170579345 </v>
      </c>
      <c r="G2015" s="10" t="str">
        <f t="shared" si="86"/>
        <v>ON1</v>
      </c>
      <c r="H2015" s="10" t="s">
        <v>21</v>
      </c>
      <c r="I2015" s="10" t="s">
        <v>334</v>
      </c>
      <c r="J2015" s="10" t="str">
        <f>""</f>
        <v/>
      </c>
      <c r="K2015" s="10" t="str">
        <f>"PFES1162563137_0001"</f>
        <v>PFES1162563137_0001</v>
      </c>
      <c r="L2015" s="10">
        <v>1</v>
      </c>
      <c r="M2015" s="10">
        <v>5</v>
      </c>
    </row>
    <row r="2016" spans="1:13">
      <c r="A2016" s="8">
        <v>42934</v>
      </c>
      <c r="B2016" s="9">
        <v>0.55694444444444446</v>
      </c>
      <c r="C2016" s="10" t="str">
        <f>"FES1162563101"</f>
        <v>FES1162563101</v>
      </c>
      <c r="D2016" s="10" t="s">
        <v>19</v>
      </c>
      <c r="E2016" s="10" t="s">
        <v>925</v>
      </c>
      <c r="F2016" s="10" t="str">
        <f>"2170577909 "</f>
        <v xml:space="preserve">2170577909 </v>
      </c>
      <c r="G2016" s="10" t="str">
        <f t="shared" si="86"/>
        <v>ON1</v>
      </c>
      <c r="H2016" s="10" t="s">
        <v>21</v>
      </c>
      <c r="I2016" s="10" t="s">
        <v>424</v>
      </c>
      <c r="J2016" s="10" t="str">
        <f>""</f>
        <v/>
      </c>
      <c r="K2016" s="10" t="str">
        <f>"PFES1162563101_0001"</f>
        <v>PFES1162563101_0001</v>
      </c>
      <c r="L2016" s="10">
        <v>1</v>
      </c>
      <c r="M2016" s="10">
        <v>1</v>
      </c>
    </row>
    <row r="2017" spans="1:13">
      <c r="A2017" s="8">
        <v>42934</v>
      </c>
      <c r="B2017" s="9">
        <v>0.55625000000000002</v>
      </c>
      <c r="C2017" s="10" t="str">
        <f>"FES1162563018"</f>
        <v>FES1162563018</v>
      </c>
      <c r="D2017" s="10" t="s">
        <v>19</v>
      </c>
      <c r="E2017" s="10" t="s">
        <v>744</v>
      </c>
      <c r="F2017" s="10" t="str">
        <f>"2170576701 "</f>
        <v xml:space="preserve">2170576701 </v>
      </c>
      <c r="G2017" s="10" t="str">
        <f t="shared" si="86"/>
        <v>ON1</v>
      </c>
      <c r="H2017" s="10" t="s">
        <v>21</v>
      </c>
      <c r="I2017" s="10" t="s">
        <v>745</v>
      </c>
      <c r="J2017" s="10" t="str">
        <f>""</f>
        <v/>
      </c>
      <c r="K2017" s="10" t="str">
        <f>"PFES1162563018_0001"</f>
        <v>PFES1162563018_0001</v>
      </c>
      <c r="L2017" s="10">
        <v>1</v>
      </c>
      <c r="M2017" s="10">
        <v>2</v>
      </c>
    </row>
    <row r="2018" spans="1:13">
      <c r="A2018" s="8">
        <v>42934</v>
      </c>
      <c r="B2018" s="9">
        <v>0.55555555555555558</v>
      </c>
      <c r="C2018" s="10" t="str">
        <f>"FES1162563206"</f>
        <v>FES1162563206</v>
      </c>
      <c r="D2018" s="10" t="s">
        <v>19</v>
      </c>
      <c r="E2018" s="10" t="s">
        <v>299</v>
      </c>
      <c r="F2018" s="10" t="str">
        <f>"2170579731 "</f>
        <v xml:space="preserve">2170579731 </v>
      </c>
      <c r="G2018" s="10" t="str">
        <f t="shared" si="86"/>
        <v>ON1</v>
      </c>
      <c r="H2018" s="10" t="s">
        <v>21</v>
      </c>
      <c r="I2018" s="10" t="s">
        <v>183</v>
      </c>
      <c r="J2018" s="10" t="str">
        <f>""</f>
        <v/>
      </c>
      <c r="K2018" s="10" t="str">
        <f>"PFES1162563206_0001"</f>
        <v>PFES1162563206_0001</v>
      </c>
      <c r="L2018" s="10">
        <v>1</v>
      </c>
      <c r="M2018" s="10">
        <v>1</v>
      </c>
    </row>
    <row r="2019" spans="1:13">
      <c r="A2019" s="8">
        <v>42934</v>
      </c>
      <c r="B2019" s="9">
        <v>0.55555555555555558</v>
      </c>
      <c r="C2019" s="10" t="str">
        <f>"FES1162563280"</f>
        <v>FES1162563280</v>
      </c>
      <c r="D2019" s="10" t="s">
        <v>19</v>
      </c>
      <c r="E2019" s="10" t="s">
        <v>62</v>
      </c>
      <c r="F2019" s="10" t="str">
        <f>"2170579803 "</f>
        <v xml:space="preserve">2170579803 </v>
      </c>
      <c r="G2019" s="10" t="str">
        <f t="shared" si="86"/>
        <v>ON1</v>
      </c>
      <c r="H2019" s="10" t="s">
        <v>21</v>
      </c>
      <c r="I2019" s="10" t="s">
        <v>263</v>
      </c>
      <c r="J2019" s="10" t="str">
        <f>""</f>
        <v/>
      </c>
      <c r="K2019" s="10" t="str">
        <f>"PFES1162563280_0001"</f>
        <v>PFES1162563280_0001</v>
      </c>
      <c r="L2019" s="10">
        <v>1</v>
      </c>
      <c r="M2019" s="10">
        <v>2</v>
      </c>
    </row>
    <row r="2020" spans="1:13">
      <c r="A2020" s="8">
        <v>42934</v>
      </c>
      <c r="B2020" s="9">
        <v>0.55555555555555558</v>
      </c>
      <c r="C2020" s="10" t="str">
        <f>"FES1162563169"</f>
        <v>FES1162563169</v>
      </c>
      <c r="D2020" s="10" t="s">
        <v>19</v>
      </c>
      <c r="E2020" s="10" t="s">
        <v>621</v>
      </c>
      <c r="F2020" s="10" t="str">
        <f>"2170579687 "</f>
        <v xml:space="preserve">2170579687 </v>
      </c>
      <c r="G2020" s="10" t="str">
        <f t="shared" si="86"/>
        <v>ON1</v>
      </c>
      <c r="H2020" s="10" t="s">
        <v>21</v>
      </c>
      <c r="I2020" s="10" t="s">
        <v>607</v>
      </c>
      <c r="J2020" s="10" t="str">
        <f>""</f>
        <v/>
      </c>
      <c r="K2020" s="10" t="str">
        <f>"PFES1162563169_0001"</f>
        <v>PFES1162563169_0001</v>
      </c>
      <c r="L2020" s="10">
        <v>1</v>
      </c>
      <c r="M2020" s="10">
        <v>1</v>
      </c>
    </row>
    <row r="2021" spans="1:13">
      <c r="A2021" s="8">
        <v>42934</v>
      </c>
      <c r="B2021" s="9">
        <v>0.55486111111111114</v>
      </c>
      <c r="C2021" s="10" t="str">
        <f>"FES1162563135"</f>
        <v>FES1162563135</v>
      </c>
      <c r="D2021" s="10" t="s">
        <v>19</v>
      </c>
      <c r="E2021" s="10" t="s">
        <v>33</v>
      </c>
      <c r="F2021" s="10" t="str">
        <f>"2170579309 "</f>
        <v xml:space="preserve">2170579309 </v>
      </c>
      <c r="G2021" s="10" t="str">
        <f t="shared" si="86"/>
        <v>ON1</v>
      </c>
      <c r="H2021" s="10" t="s">
        <v>21</v>
      </c>
      <c r="I2021" s="10" t="s">
        <v>34</v>
      </c>
      <c r="J2021" s="10" t="str">
        <f>""</f>
        <v/>
      </c>
      <c r="K2021" s="10" t="str">
        <f>"PFES1162563135_0001"</f>
        <v>PFES1162563135_0001</v>
      </c>
      <c r="L2021" s="10">
        <v>1</v>
      </c>
      <c r="M2021" s="10">
        <v>1</v>
      </c>
    </row>
    <row r="2022" spans="1:13">
      <c r="A2022" s="8">
        <v>42934</v>
      </c>
      <c r="B2022" s="9">
        <v>0.55486111111111114</v>
      </c>
      <c r="C2022" s="10" t="str">
        <f>"FES1162563191"</f>
        <v>FES1162563191</v>
      </c>
      <c r="D2022" s="10" t="s">
        <v>19</v>
      </c>
      <c r="E2022" s="10" t="s">
        <v>361</v>
      </c>
      <c r="F2022" s="10" t="str">
        <f>"2170579713 "</f>
        <v xml:space="preserve">2170579713 </v>
      </c>
      <c r="G2022" s="10" t="str">
        <f t="shared" si="86"/>
        <v>ON1</v>
      </c>
      <c r="H2022" s="10" t="s">
        <v>21</v>
      </c>
      <c r="I2022" s="10" t="s">
        <v>106</v>
      </c>
      <c r="J2022" s="10" t="str">
        <f>""</f>
        <v/>
      </c>
      <c r="K2022" s="10" t="str">
        <f>"PFES1162563191_0001"</f>
        <v>PFES1162563191_0001</v>
      </c>
      <c r="L2022" s="10">
        <v>1</v>
      </c>
      <c r="M2022" s="10">
        <v>2</v>
      </c>
    </row>
    <row r="2023" spans="1:13">
      <c r="A2023" s="8">
        <v>42934</v>
      </c>
      <c r="B2023" s="9">
        <v>0.55486111111111114</v>
      </c>
      <c r="C2023" s="10" t="str">
        <f>"FES1162563138"</f>
        <v>FES1162563138</v>
      </c>
      <c r="D2023" s="10" t="s">
        <v>19</v>
      </c>
      <c r="E2023" s="10" t="s">
        <v>926</v>
      </c>
      <c r="F2023" s="10" t="str">
        <f>"2170579431 "</f>
        <v xml:space="preserve">2170579431 </v>
      </c>
      <c r="G2023" s="10" t="str">
        <f t="shared" si="86"/>
        <v>ON1</v>
      </c>
      <c r="H2023" s="10" t="s">
        <v>21</v>
      </c>
      <c r="I2023" s="10" t="s">
        <v>927</v>
      </c>
      <c r="J2023" s="10" t="str">
        <f>""</f>
        <v/>
      </c>
      <c r="K2023" s="10" t="str">
        <f>"PFES1162563138_0001"</f>
        <v>PFES1162563138_0001</v>
      </c>
      <c r="L2023" s="10">
        <v>1</v>
      </c>
      <c r="M2023" s="10">
        <v>1</v>
      </c>
    </row>
    <row r="2024" spans="1:13">
      <c r="A2024" s="8">
        <v>42934</v>
      </c>
      <c r="B2024" s="9">
        <v>0.5541666666666667</v>
      </c>
      <c r="C2024" s="10" t="str">
        <f>"FES1162563163"</f>
        <v>FES1162563163</v>
      </c>
      <c r="D2024" s="10" t="s">
        <v>19</v>
      </c>
      <c r="E2024" s="10" t="s">
        <v>575</v>
      </c>
      <c r="F2024" s="10" t="str">
        <f>"2170579666 "</f>
        <v xml:space="preserve">2170579666 </v>
      </c>
      <c r="G2024" s="10" t="str">
        <f t="shared" si="86"/>
        <v>ON1</v>
      </c>
      <c r="H2024" s="10" t="s">
        <v>21</v>
      </c>
      <c r="I2024" s="10" t="s">
        <v>928</v>
      </c>
      <c r="J2024" s="10" t="str">
        <f>""</f>
        <v/>
      </c>
      <c r="K2024" s="10" t="str">
        <f>"PFES1162563163_0001"</f>
        <v>PFES1162563163_0001</v>
      </c>
      <c r="L2024" s="10">
        <v>1</v>
      </c>
      <c r="M2024" s="10">
        <v>1</v>
      </c>
    </row>
    <row r="2025" spans="1:13">
      <c r="A2025" s="8">
        <v>42934</v>
      </c>
      <c r="B2025" s="9">
        <v>0.55347222222222225</v>
      </c>
      <c r="C2025" s="10" t="str">
        <f>"FES1162563141"</f>
        <v>FES1162563141</v>
      </c>
      <c r="D2025" s="10" t="s">
        <v>19</v>
      </c>
      <c r="E2025" s="10" t="s">
        <v>33</v>
      </c>
      <c r="F2025" s="10" t="str">
        <f>"2170579505 "</f>
        <v xml:space="preserve">2170579505 </v>
      </c>
      <c r="G2025" s="10" t="str">
        <f t="shared" si="86"/>
        <v>ON1</v>
      </c>
      <c r="H2025" s="10" t="s">
        <v>21</v>
      </c>
      <c r="I2025" s="10" t="s">
        <v>34</v>
      </c>
      <c r="J2025" s="10" t="str">
        <f>""</f>
        <v/>
      </c>
      <c r="K2025" s="10" t="str">
        <f>"PFES1162563141_0001"</f>
        <v>PFES1162563141_0001</v>
      </c>
      <c r="L2025" s="10">
        <v>1</v>
      </c>
      <c r="M2025" s="10">
        <v>1</v>
      </c>
    </row>
    <row r="2026" spans="1:13">
      <c r="A2026" s="8">
        <v>42934</v>
      </c>
      <c r="B2026" s="9">
        <v>0.55277777777777781</v>
      </c>
      <c r="C2026" s="10" t="str">
        <f>"FES1162563134"</f>
        <v>FES1162563134</v>
      </c>
      <c r="D2026" s="10" t="s">
        <v>19</v>
      </c>
      <c r="E2026" s="10" t="s">
        <v>669</v>
      </c>
      <c r="F2026" s="10" t="str">
        <f>"2170579289 "</f>
        <v xml:space="preserve">2170579289 </v>
      </c>
      <c r="G2026" s="10" t="str">
        <f t="shared" si="86"/>
        <v>ON1</v>
      </c>
      <c r="H2026" s="10" t="s">
        <v>21</v>
      </c>
      <c r="I2026" s="10" t="s">
        <v>670</v>
      </c>
      <c r="J2026" s="10" t="str">
        <f>""</f>
        <v/>
      </c>
      <c r="K2026" s="10" t="str">
        <f>"PFES1162563134_0001"</f>
        <v>PFES1162563134_0001</v>
      </c>
      <c r="L2026" s="10">
        <v>1</v>
      </c>
      <c r="M2026" s="10">
        <v>1</v>
      </c>
    </row>
    <row r="2027" spans="1:13">
      <c r="A2027" s="8">
        <v>42934</v>
      </c>
      <c r="B2027" s="9">
        <v>0.55277777777777781</v>
      </c>
      <c r="C2027" s="10" t="str">
        <f>"FES1162563111"</f>
        <v>FES1162563111</v>
      </c>
      <c r="D2027" s="10" t="s">
        <v>19</v>
      </c>
      <c r="E2027" s="10" t="s">
        <v>717</v>
      </c>
      <c r="F2027" s="10" t="str">
        <f>"2170578201 "</f>
        <v xml:space="preserve">2170578201 </v>
      </c>
      <c r="G2027" s="10" t="str">
        <f t="shared" si="86"/>
        <v>ON1</v>
      </c>
      <c r="H2027" s="10" t="s">
        <v>21</v>
      </c>
      <c r="I2027" s="10" t="s">
        <v>534</v>
      </c>
      <c r="J2027" s="10" t="str">
        <f>""</f>
        <v/>
      </c>
      <c r="K2027" s="10" t="str">
        <f>"PFES1162563111_0001"</f>
        <v>PFES1162563111_0001</v>
      </c>
      <c r="L2027" s="10">
        <v>1</v>
      </c>
      <c r="M2027" s="10">
        <v>1</v>
      </c>
    </row>
    <row r="2028" spans="1:13">
      <c r="A2028" s="8">
        <v>42934</v>
      </c>
      <c r="B2028" s="9">
        <v>0.55277777777777781</v>
      </c>
      <c r="C2028" s="10" t="str">
        <f>"FES1162563035"</f>
        <v>FES1162563035</v>
      </c>
      <c r="D2028" s="10" t="s">
        <v>19</v>
      </c>
      <c r="E2028" s="10" t="s">
        <v>173</v>
      </c>
      <c r="F2028" s="10" t="str">
        <f>"2170577093 "</f>
        <v xml:space="preserve">2170577093 </v>
      </c>
      <c r="G2028" s="10" t="str">
        <f t="shared" si="86"/>
        <v>ON1</v>
      </c>
      <c r="H2028" s="10" t="s">
        <v>21</v>
      </c>
      <c r="I2028" s="10" t="s">
        <v>174</v>
      </c>
      <c r="J2028" s="10" t="str">
        <f>""</f>
        <v/>
      </c>
      <c r="K2028" s="10" t="str">
        <f>"PFES1162563035_0001"</f>
        <v>PFES1162563035_0001</v>
      </c>
      <c r="L2028" s="10">
        <v>1</v>
      </c>
      <c r="M2028" s="10">
        <v>1</v>
      </c>
    </row>
    <row r="2029" spans="1:13">
      <c r="A2029" s="8">
        <v>42934</v>
      </c>
      <c r="B2029" s="9">
        <v>0.55208333333333337</v>
      </c>
      <c r="C2029" s="10" t="str">
        <f>"FES1162563102"</f>
        <v>FES1162563102</v>
      </c>
      <c r="D2029" s="10" t="s">
        <v>19</v>
      </c>
      <c r="E2029" s="10" t="s">
        <v>178</v>
      </c>
      <c r="F2029" s="10" t="str">
        <f>"2170577932 "</f>
        <v xml:space="preserve">2170577932 </v>
      </c>
      <c r="G2029" s="10" t="str">
        <f t="shared" si="86"/>
        <v>ON1</v>
      </c>
      <c r="H2029" s="10" t="s">
        <v>21</v>
      </c>
      <c r="I2029" s="10" t="s">
        <v>179</v>
      </c>
      <c r="J2029" s="10" t="str">
        <f>""</f>
        <v/>
      </c>
      <c r="K2029" s="10" t="str">
        <f>"PFES1162563102_0001"</f>
        <v>PFES1162563102_0001</v>
      </c>
      <c r="L2029" s="10">
        <v>1</v>
      </c>
      <c r="M2029" s="10">
        <v>1</v>
      </c>
    </row>
    <row r="2030" spans="1:13">
      <c r="A2030" s="8">
        <v>42934</v>
      </c>
      <c r="B2030" s="9">
        <v>0.55138888888888882</v>
      </c>
      <c r="C2030" s="10" t="str">
        <f>"FES1162563051"</f>
        <v>FES1162563051</v>
      </c>
      <c r="D2030" s="10" t="s">
        <v>19</v>
      </c>
      <c r="E2030" s="10" t="s">
        <v>87</v>
      </c>
      <c r="F2030" s="10" t="str">
        <f>"2170577304 "</f>
        <v xml:space="preserve">2170577304 </v>
      </c>
      <c r="G2030" s="10" t="str">
        <f t="shared" si="86"/>
        <v>ON1</v>
      </c>
      <c r="H2030" s="10" t="s">
        <v>21</v>
      </c>
      <c r="I2030" s="10" t="s">
        <v>88</v>
      </c>
      <c r="J2030" s="10" t="str">
        <f>""</f>
        <v/>
      </c>
      <c r="K2030" s="10" t="str">
        <f>"PFES1162563051_0001"</f>
        <v>PFES1162563051_0001</v>
      </c>
      <c r="L2030" s="10">
        <v>1</v>
      </c>
      <c r="M2030" s="10">
        <v>1</v>
      </c>
    </row>
    <row r="2031" spans="1:13">
      <c r="A2031" s="8">
        <v>42934</v>
      </c>
      <c r="B2031" s="9">
        <v>0.55138888888888882</v>
      </c>
      <c r="C2031" s="10" t="str">
        <f>"FES1162563198"</f>
        <v>FES1162563198</v>
      </c>
      <c r="D2031" s="10" t="s">
        <v>19</v>
      </c>
      <c r="E2031" s="10" t="s">
        <v>287</v>
      </c>
      <c r="F2031" s="10" t="str">
        <f>"2170579718 "</f>
        <v xml:space="preserve">2170579718 </v>
      </c>
      <c r="G2031" s="10" t="str">
        <f t="shared" si="86"/>
        <v>ON1</v>
      </c>
      <c r="H2031" s="10" t="s">
        <v>21</v>
      </c>
      <c r="I2031" s="10" t="s">
        <v>177</v>
      </c>
      <c r="J2031" s="10" t="str">
        <f>""</f>
        <v/>
      </c>
      <c r="K2031" s="10" t="str">
        <f>"PFES1162563198_0001"</f>
        <v>PFES1162563198_0001</v>
      </c>
      <c r="L2031" s="10">
        <v>1</v>
      </c>
      <c r="M2031" s="10">
        <v>1</v>
      </c>
    </row>
    <row r="2032" spans="1:13">
      <c r="A2032" s="8">
        <v>42934</v>
      </c>
      <c r="B2032" s="9">
        <v>0.55069444444444449</v>
      </c>
      <c r="C2032" s="10" t="str">
        <f>"FES1162563021"</f>
        <v>FES1162563021</v>
      </c>
      <c r="D2032" s="10" t="s">
        <v>19</v>
      </c>
      <c r="E2032" s="10" t="s">
        <v>288</v>
      </c>
      <c r="F2032" s="10" t="str">
        <f>"2170576948 "</f>
        <v xml:space="preserve">2170576948 </v>
      </c>
      <c r="G2032" s="10" t="str">
        <f t="shared" si="86"/>
        <v>ON1</v>
      </c>
      <c r="H2032" s="10" t="s">
        <v>21</v>
      </c>
      <c r="I2032" s="10" t="s">
        <v>177</v>
      </c>
      <c r="J2032" s="10" t="str">
        <f>""</f>
        <v/>
      </c>
      <c r="K2032" s="10" t="str">
        <f>"PFES1162563021_0001"</f>
        <v>PFES1162563021_0001</v>
      </c>
      <c r="L2032" s="10">
        <v>1</v>
      </c>
      <c r="M2032" s="10">
        <v>1</v>
      </c>
    </row>
    <row r="2033" spans="1:13">
      <c r="A2033" s="8">
        <v>42934</v>
      </c>
      <c r="B2033" s="9">
        <v>0.54999999999999993</v>
      </c>
      <c r="C2033" s="10" t="str">
        <f>"FES1162563066"</f>
        <v>FES1162563066</v>
      </c>
      <c r="D2033" s="10" t="s">
        <v>19</v>
      </c>
      <c r="E2033" s="10" t="s">
        <v>929</v>
      </c>
      <c r="F2033" s="10" t="str">
        <f>"2170577408 "</f>
        <v xml:space="preserve">2170577408 </v>
      </c>
      <c r="G2033" s="10" t="str">
        <f t="shared" si="86"/>
        <v>ON1</v>
      </c>
      <c r="H2033" s="10" t="s">
        <v>21</v>
      </c>
      <c r="I2033" s="10" t="s">
        <v>930</v>
      </c>
      <c r="J2033" s="10" t="str">
        <f>""</f>
        <v/>
      </c>
      <c r="K2033" s="10" t="str">
        <f>"PFES1162563066_0001"</f>
        <v>PFES1162563066_0001</v>
      </c>
      <c r="L2033" s="10">
        <v>1</v>
      </c>
      <c r="M2033" s="10">
        <v>1.49</v>
      </c>
    </row>
    <row r="2034" spans="1:13">
      <c r="A2034" s="8">
        <v>42934</v>
      </c>
      <c r="B2034" s="9">
        <v>0.54999999999999993</v>
      </c>
      <c r="C2034" s="10" t="str">
        <f>"FES1162563100"</f>
        <v>FES1162563100</v>
      </c>
      <c r="D2034" s="10" t="s">
        <v>19</v>
      </c>
      <c r="E2034" s="10" t="s">
        <v>288</v>
      </c>
      <c r="F2034" s="10" t="str">
        <f>"2170577865 "</f>
        <v xml:space="preserve">2170577865 </v>
      </c>
      <c r="G2034" s="10" t="str">
        <f t="shared" si="86"/>
        <v>ON1</v>
      </c>
      <c r="H2034" s="10" t="s">
        <v>21</v>
      </c>
      <c r="I2034" s="10" t="s">
        <v>177</v>
      </c>
      <c r="J2034" s="10" t="str">
        <f>""</f>
        <v/>
      </c>
      <c r="K2034" s="10" t="str">
        <f>"PFES1162563100_0001"</f>
        <v>PFES1162563100_0001</v>
      </c>
      <c r="L2034" s="10">
        <v>1</v>
      </c>
      <c r="M2034" s="10">
        <v>1</v>
      </c>
    </row>
    <row r="2035" spans="1:13">
      <c r="A2035" s="8">
        <v>42934</v>
      </c>
      <c r="B2035" s="9">
        <v>0.54999999999999993</v>
      </c>
      <c r="C2035" s="10" t="str">
        <f>"FES1162563090"</f>
        <v>FES1162563090</v>
      </c>
      <c r="D2035" s="10" t="s">
        <v>19</v>
      </c>
      <c r="E2035" s="10" t="s">
        <v>490</v>
      </c>
      <c r="F2035" s="10" t="str">
        <f>"2170577703 "</f>
        <v xml:space="preserve">2170577703 </v>
      </c>
      <c r="G2035" s="10" t="str">
        <f t="shared" si="86"/>
        <v>ON1</v>
      </c>
      <c r="H2035" s="10" t="s">
        <v>21</v>
      </c>
      <c r="I2035" s="10" t="s">
        <v>32</v>
      </c>
      <c r="J2035" s="10" t="str">
        <f>""</f>
        <v/>
      </c>
      <c r="K2035" s="10" t="str">
        <f>"PFES1162563090_0001"</f>
        <v>PFES1162563090_0001</v>
      </c>
      <c r="L2035" s="10">
        <v>1</v>
      </c>
      <c r="M2035" s="10">
        <v>1</v>
      </c>
    </row>
    <row r="2036" spans="1:13">
      <c r="A2036" s="8">
        <v>42934</v>
      </c>
      <c r="B2036" s="9">
        <v>0.5493055555555556</v>
      </c>
      <c r="C2036" s="10" t="str">
        <f>"FES1162563030"</f>
        <v>FES1162563030</v>
      </c>
      <c r="D2036" s="10" t="s">
        <v>19</v>
      </c>
      <c r="E2036" s="10" t="s">
        <v>245</v>
      </c>
      <c r="F2036" s="10" t="str">
        <f>"2170577077 "</f>
        <v xml:space="preserve">2170577077 </v>
      </c>
      <c r="G2036" s="10" t="str">
        <f t="shared" si="86"/>
        <v>ON1</v>
      </c>
      <c r="H2036" s="10" t="s">
        <v>21</v>
      </c>
      <c r="I2036" s="10" t="s">
        <v>246</v>
      </c>
      <c r="J2036" s="10" t="str">
        <f>""</f>
        <v/>
      </c>
      <c r="K2036" s="10" t="str">
        <f>"PFES1162563030_0001"</f>
        <v>PFES1162563030_0001</v>
      </c>
      <c r="L2036" s="10">
        <v>1</v>
      </c>
      <c r="M2036" s="10">
        <v>1</v>
      </c>
    </row>
    <row r="2037" spans="1:13">
      <c r="A2037" s="8">
        <v>42934</v>
      </c>
      <c r="B2037" s="9">
        <v>0.54861111111111105</v>
      </c>
      <c r="C2037" s="10" t="str">
        <f>"FES1162563124"</f>
        <v>FES1162563124</v>
      </c>
      <c r="D2037" s="10" t="s">
        <v>19</v>
      </c>
      <c r="E2037" s="10" t="s">
        <v>350</v>
      </c>
      <c r="F2037" s="10" t="str">
        <f>"2170578613 "</f>
        <v xml:space="preserve">2170578613 </v>
      </c>
      <c r="G2037" s="10" t="str">
        <f t="shared" si="86"/>
        <v>ON1</v>
      </c>
      <c r="H2037" s="10" t="s">
        <v>21</v>
      </c>
      <c r="I2037" s="10" t="s">
        <v>351</v>
      </c>
      <c r="J2037" s="10" t="str">
        <f>""</f>
        <v/>
      </c>
      <c r="K2037" s="10" t="str">
        <f>"PFES1162563124_0001"</f>
        <v>PFES1162563124_0001</v>
      </c>
      <c r="L2037" s="10">
        <v>1</v>
      </c>
      <c r="M2037" s="10">
        <v>1</v>
      </c>
    </row>
    <row r="2038" spans="1:13">
      <c r="A2038" s="8">
        <v>42934</v>
      </c>
      <c r="B2038" s="9">
        <v>0.54652777777777783</v>
      </c>
      <c r="C2038" s="10" t="str">
        <f>"FES1162563220"</f>
        <v>FES1162563220</v>
      </c>
      <c r="D2038" s="10" t="s">
        <v>19</v>
      </c>
      <c r="E2038" s="10" t="s">
        <v>39</v>
      </c>
      <c r="F2038" s="10" t="str">
        <f>"2170579745 "</f>
        <v xml:space="preserve">2170579745 </v>
      </c>
      <c r="G2038" s="10" t="str">
        <f t="shared" si="86"/>
        <v>ON1</v>
      </c>
      <c r="H2038" s="10" t="s">
        <v>21</v>
      </c>
      <c r="I2038" s="10" t="s">
        <v>40</v>
      </c>
      <c r="J2038" s="10" t="str">
        <f>""</f>
        <v/>
      </c>
      <c r="K2038" s="10" t="str">
        <f>"PFES1162563220_0001"</f>
        <v>PFES1162563220_0001</v>
      </c>
      <c r="L2038" s="10">
        <v>1</v>
      </c>
      <c r="M2038" s="10">
        <v>1</v>
      </c>
    </row>
    <row r="2039" spans="1:13">
      <c r="A2039" s="8">
        <v>42934</v>
      </c>
      <c r="B2039" s="9">
        <v>0.54583333333333328</v>
      </c>
      <c r="C2039" s="10" t="str">
        <f>"FES1162563010"</f>
        <v>FES1162563010</v>
      </c>
      <c r="D2039" s="10" t="s">
        <v>19</v>
      </c>
      <c r="E2039" s="10" t="s">
        <v>129</v>
      </c>
      <c r="F2039" s="10" t="str">
        <f>"2170575243 "</f>
        <v xml:space="preserve">2170575243 </v>
      </c>
      <c r="G2039" s="10" t="str">
        <f t="shared" si="86"/>
        <v>ON1</v>
      </c>
      <c r="H2039" s="10" t="s">
        <v>21</v>
      </c>
      <c r="I2039" s="10" t="s">
        <v>130</v>
      </c>
      <c r="J2039" s="10" t="str">
        <f>""</f>
        <v/>
      </c>
      <c r="K2039" s="10" t="str">
        <f>"PFES1162563010_0001"</f>
        <v>PFES1162563010_0001</v>
      </c>
      <c r="L2039" s="10">
        <v>1</v>
      </c>
      <c r="M2039" s="10">
        <v>1</v>
      </c>
    </row>
    <row r="2040" spans="1:13">
      <c r="A2040" s="8">
        <v>42934</v>
      </c>
      <c r="B2040" s="9">
        <v>0.54513888888888895</v>
      </c>
      <c r="C2040" s="10" t="str">
        <f>"FES1162563171"</f>
        <v>FES1162563171</v>
      </c>
      <c r="D2040" s="10" t="s">
        <v>19</v>
      </c>
      <c r="E2040" s="10" t="s">
        <v>39</v>
      </c>
      <c r="F2040" s="10" t="str">
        <f>"2170579689 "</f>
        <v xml:space="preserve">2170579689 </v>
      </c>
      <c r="G2040" s="10" t="str">
        <f t="shared" si="86"/>
        <v>ON1</v>
      </c>
      <c r="H2040" s="10" t="s">
        <v>21</v>
      </c>
      <c r="I2040" s="10" t="s">
        <v>40</v>
      </c>
      <c r="J2040" s="10" t="str">
        <f>""</f>
        <v/>
      </c>
      <c r="K2040" s="10" t="str">
        <f>"PFES1162563171_0001"</f>
        <v>PFES1162563171_0001</v>
      </c>
      <c r="L2040" s="10">
        <v>1</v>
      </c>
      <c r="M2040" s="10">
        <v>1</v>
      </c>
    </row>
    <row r="2041" spans="1:13">
      <c r="A2041" s="8">
        <v>42934</v>
      </c>
      <c r="B2041" s="9">
        <v>0.5444444444444444</v>
      </c>
      <c r="C2041" s="10" t="str">
        <f>"FES1162563120"</f>
        <v>FES1162563120</v>
      </c>
      <c r="D2041" s="10" t="s">
        <v>19</v>
      </c>
      <c r="E2041" s="10" t="s">
        <v>549</v>
      </c>
      <c r="F2041" s="10" t="str">
        <f>"2170578435 "</f>
        <v xml:space="preserve">2170578435 </v>
      </c>
      <c r="G2041" s="10" t="str">
        <f t="shared" si="86"/>
        <v>ON1</v>
      </c>
      <c r="H2041" s="10" t="s">
        <v>21</v>
      </c>
      <c r="I2041" s="10" t="s">
        <v>224</v>
      </c>
      <c r="J2041" s="10" t="str">
        <f>""</f>
        <v/>
      </c>
      <c r="K2041" s="10" t="str">
        <f>"PFES1162563120_0001"</f>
        <v>PFES1162563120_0001</v>
      </c>
      <c r="L2041" s="10">
        <v>1</v>
      </c>
      <c r="M2041" s="10">
        <v>1</v>
      </c>
    </row>
    <row r="2042" spans="1:13">
      <c r="A2042" s="8">
        <v>42934</v>
      </c>
      <c r="B2042" s="9">
        <v>0.54375000000000007</v>
      </c>
      <c r="C2042" s="10" t="str">
        <f>"FES1162563055"</f>
        <v>FES1162563055</v>
      </c>
      <c r="D2042" s="10" t="s">
        <v>19</v>
      </c>
      <c r="E2042" s="10" t="s">
        <v>39</v>
      </c>
      <c r="F2042" s="10" t="str">
        <f>"2170577353 "</f>
        <v xml:space="preserve">2170577353 </v>
      </c>
      <c r="G2042" s="10" t="str">
        <f t="shared" si="86"/>
        <v>ON1</v>
      </c>
      <c r="H2042" s="10" t="s">
        <v>21</v>
      </c>
      <c r="I2042" s="10" t="s">
        <v>40</v>
      </c>
      <c r="J2042" s="10" t="str">
        <f>""</f>
        <v/>
      </c>
      <c r="K2042" s="10" t="str">
        <f>"PFES1162563055_0001"</f>
        <v>PFES1162563055_0001</v>
      </c>
      <c r="L2042" s="10">
        <v>1</v>
      </c>
      <c r="M2042" s="10">
        <v>1</v>
      </c>
    </row>
    <row r="2043" spans="1:13">
      <c r="A2043" s="8">
        <v>42934</v>
      </c>
      <c r="B2043" s="9">
        <v>0.54375000000000007</v>
      </c>
      <c r="C2043" s="10" t="str">
        <f>"FES1162563075"</f>
        <v>FES1162563075</v>
      </c>
      <c r="D2043" s="10" t="s">
        <v>19</v>
      </c>
      <c r="E2043" s="10" t="s">
        <v>931</v>
      </c>
      <c r="F2043" s="10" t="str">
        <f>"2170577498 "</f>
        <v xml:space="preserve">2170577498 </v>
      </c>
      <c r="G2043" s="10" t="str">
        <f t="shared" si="86"/>
        <v>ON1</v>
      </c>
      <c r="H2043" s="10" t="s">
        <v>21</v>
      </c>
      <c r="I2043" s="10" t="s">
        <v>130</v>
      </c>
      <c r="J2043" s="10" t="str">
        <f>""</f>
        <v/>
      </c>
      <c r="K2043" s="10" t="str">
        <f>"PFES1162563075_0001"</f>
        <v>PFES1162563075_0001</v>
      </c>
      <c r="L2043" s="10">
        <v>1</v>
      </c>
      <c r="M2043" s="10">
        <v>1</v>
      </c>
    </row>
    <row r="2044" spans="1:13">
      <c r="A2044" s="8">
        <v>42934</v>
      </c>
      <c r="B2044" s="9">
        <v>0.54375000000000007</v>
      </c>
      <c r="C2044" s="10" t="str">
        <f>"FES1162563258"</f>
        <v>FES1162563258</v>
      </c>
      <c r="D2044" s="10" t="s">
        <v>19</v>
      </c>
      <c r="E2044" s="10" t="s">
        <v>557</v>
      </c>
      <c r="F2044" s="10" t="str">
        <f>"2170579267 "</f>
        <v xml:space="preserve">2170579267 </v>
      </c>
      <c r="G2044" s="10" t="str">
        <f t="shared" si="86"/>
        <v>ON1</v>
      </c>
      <c r="H2044" s="10" t="s">
        <v>21</v>
      </c>
      <c r="I2044" s="10" t="s">
        <v>558</v>
      </c>
      <c r="J2044" s="10" t="str">
        <f>""</f>
        <v/>
      </c>
      <c r="K2044" s="10" t="str">
        <f>"PFES1162563258_0001"</f>
        <v>PFES1162563258_0001</v>
      </c>
      <c r="L2044" s="10">
        <v>1</v>
      </c>
      <c r="M2044" s="10">
        <v>1</v>
      </c>
    </row>
    <row r="2045" spans="1:13">
      <c r="A2045" s="8">
        <v>42934</v>
      </c>
      <c r="B2045" s="9">
        <v>0.54305555555555551</v>
      </c>
      <c r="C2045" s="10" t="str">
        <f>"FES1162563193"</f>
        <v>FES1162563193</v>
      </c>
      <c r="D2045" s="10" t="s">
        <v>19</v>
      </c>
      <c r="E2045" s="10" t="s">
        <v>932</v>
      </c>
      <c r="F2045" s="10" t="str">
        <f>"2170579715 "</f>
        <v xml:space="preserve">2170579715 </v>
      </c>
      <c r="G2045" s="10" t="str">
        <f t="shared" si="86"/>
        <v>ON1</v>
      </c>
      <c r="H2045" s="10" t="s">
        <v>21</v>
      </c>
      <c r="I2045" s="10" t="s">
        <v>433</v>
      </c>
      <c r="J2045" s="10" t="str">
        <f>""</f>
        <v/>
      </c>
      <c r="K2045" s="10" t="str">
        <f>"PFES1162563193_0001"</f>
        <v>PFES1162563193_0001</v>
      </c>
      <c r="L2045" s="10">
        <v>1</v>
      </c>
      <c r="M2045" s="10">
        <v>1</v>
      </c>
    </row>
    <row r="2046" spans="1:13">
      <c r="A2046" s="8">
        <v>42934</v>
      </c>
      <c r="B2046" s="9">
        <v>0.54305555555555551</v>
      </c>
      <c r="C2046" s="10" t="str">
        <f>"FES1162563168"</f>
        <v>FES1162563168</v>
      </c>
      <c r="D2046" s="10" t="s">
        <v>19</v>
      </c>
      <c r="E2046" s="10" t="s">
        <v>436</v>
      </c>
      <c r="F2046" s="10" t="str">
        <f>"2170579686 "</f>
        <v xml:space="preserve">2170579686 </v>
      </c>
      <c r="G2046" s="10" t="str">
        <f t="shared" si="86"/>
        <v>ON1</v>
      </c>
      <c r="H2046" s="10" t="s">
        <v>21</v>
      </c>
      <c r="I2046" s="10" t="s">
        <v>252</v>
      </c>
      <c r="J2046" s="10" t="str">
        <f>""</f>
        <v/>
      </c>
      <c r="K2046" s="10" t="str">
        <f>"PFES1162563168_0001"</f>
        <v>PFES1162563168_0001</v>
      </c>
      <c r="L2046" s="10">
        <v>1</v>
      </c>
      <c r="M2046" s="10">
        <v>1</v>
      </c>
    </row>
    <row r="2047" spans="1:13">
      <c r="A2047" s="8">
        <v>42934</v>
      </c>
      <c r="B2047" s="9">
        <v>0.54236111111111118</v>
      </c>
      <c r="C2047" s="10" t="str">
        <f>"FES1162563146"</f>
        <v>FES1162563146</v>
      </c>
      <c r="D2047" s="10" t="s">
        <v>19</v>
      </c>
      <c r="E2047" s="10" t="s">
        <v>933</v>
      </c>
      <c r="F2047" s="10" t="str">
        <f>"2170579655 "</f>
        <v xml:space="preserve">2170579655 </v>
      </c>
      <c r="G2047" s="10" t="str">
        <f t="shared" si="86"/>
        <v>ON1</v>
      </c>
      <c r="H2047" s="10" t="s">
        <v>21</v>
      </c>
      <c r="I2047" s="10" t="s">
        <v>500</v>
      </c>
      <c r="J2047" s="10" t="str">
        <f>""</f>
        <v/>
      </c>
      <c r="K2047" s="10" t="str">
        <f>"PFES1162563146_0001"</f>
        <v>PFES1162563146_0001</v>
      </c>
      <c r="L2047" s="10">
        <v>1</v>
      </c>
      <c r="M2047" s="10">
        <v>1</v>
      </c>
    </row>
    <row r="2048" spans="1:13">
      <c r="A2048" s="8">
        <v>42934</v>
      </c>
      <c r="B2048" s="9">
        <v>0.54236111111111118</v>
      </c>
      <c r="C2048" s="10" t="str">
        <f>"FES1162563270"</f>
        <v>FES1162563270</v>
      </c>
      <c r="D2048" s="10" t="s">
        <v>19</v>
      </c>
      <c r="E2048" s="10" t="s">
        <v>268</v>
      </c>
      <c r="F2048" s="10" t="str">
        <f>"2170579795 "</f>
        <v xml:space="preserve">2170579795 </v>
      </c>
      <c r="G2048" s="10" t="str">
        <f t="shared" si="86"/>
        <v>ON1</v>
      </c>
      <c r="H2048" s="10" t="s">
        <v>21</v>
      </c>
      <c r="I2048" s="10" t="s">
        <v>185</v>
      </c>
      <c r="J2048" s="10" t="str">
        <f>""</f>
        <v/>
      </c>
      <c r="K2048" s="10" t="str">
        <f>"PFES1162563270_0001"</f>
        <v>PFES1162563270_0001</v>
      </c>
      <c r="L2048" s="10">
        <v>1</v>
      </c>
      <c r="M2048" s="10">
        <v>1</v>
      </c>
    </row>
    <row r="2049" spans="1:13">
      <c r="A2049" s="8">
        <v>42934</v>
      </c>
      <c r="B2049" s="9">
        <v>0.54236111111111118</v>
      </c>
      <c r="C2049" s="10" t="str">
        <f>"FES1162563016"</f>
        <v>FES1162563016</v>
      </c>
      <c r="D2049" s="10" t="s">
        <v>19</v>
      </c>
      <c r="E2049" s="10" t="s">
        <v>403</v>
      </c>
      <c r="F2049" s="10" t="str">
        <f>"2170576042 "</f>
        <v xml:space="preserve">2170576042 </v>
      </c>
      <c r="G2049" s="10" t="str">
        <f t="shared" si="86"/>
        <v>ON1</v>
      </c>
      <c r="H2049" s="10" t="s">
        <v>21</v>
      </c>
      <c r="I2049" s="10" t="s">
        <v>222</v>
      </c>
      <c r="J2049" s="10" t="str">
        <f>""</f>
        <v/>
      </c>
      <c r="K2049" s="10" t="str">
        <f>"PFES1162563016_0001"</f>
        <v>PFES1162563016_0001</v>
      </c>
      <c r="L2049" s="10">
        <v>1</v>
      </c>
      <c r="M2049" s="10">
        <v>1</v>
      </c>
    </row>
    <row r="2050" spans="1:13">
      <c r="A2050" s="8">
        <v>42934</v>
      </c>
      <c r="B2050" s="9">
        <v>0.54236111111111118</v>
      </c>
      <c r="C2050" s="10" t="str">
        <f>"FES1162563036"</f>
        <v>FES1162563036</v>
      </c>
      <c r="D2050" s="10" t="s">
        <v>19</v>
      </c>
      <c r="E2050" s="10" t="s">
        <v>287</v>
      </c>
      <c r="F2050" s="10" t="str">
        <f>"2170577103 "</f>
        <v xml:space="preserve">2170577103 </v>
      </c>
      <c r="G2050" s="10" t="str">
        <f t="shared" si="86"/>
        <v>ON1</v>
      </c>
      <c r="H2050" s="10" t="s">
        <v>21</v>
      </c>
      <c r="I2050" s="10" t="s">
        <v>177</v>
      </c>
      <c r="J2050" s="10" t="str">
        <f>""</f>
        <v/>
      </c>
      <c r="K2050" s="10" t="str">
        <f>"PFES1162563036_0001"</f>
        <v>PFES1162563036_0001</v>
      </c>
      <c r="L2050" s="10">
        <v>1</v>
      </c>
      <c r="M2050" s="10">
        <v>1</v>
      </c>
    </row>
    <row r="2051" spans="1:13">
      <c r="A2051" s="8">
        <v>42934</v>
      </c>
      <c r="B2051" s="9">
        <v>0.54166666666666663</v>
      </c>
      <c r="C2051" s="10" t="str">
        <f>"FES1162563079"</f>
        <v>FES1162563079</v>
      </c>
      <c r="D2051" s="10" t="s">
        <v>19</v>
      </c>
      <c r="E2051" s="10" t="s">
        <v>513</v>
      </c>
      <c r="F2051" s="10" t="str">
        <f>"2170577553 "</f>
        <v xml:space="preserve">2170577553 </v>
      </c>
      <c r="G2051" s="10" t="str">
        <f t="shared" si="86"/>
        <v>ON1</v>
      </c>
      <c r="H2051" s="10" t="s">
        <v>21</v>
      </c>
      <c r="I2051" s="10" t="s">
        <v>138</v>
      </c>
      <c r="J2051" s="10" t="str">
        <f>""</f>
        <v/>
      </c>
      <c r="K2051" s="10" t="str">
        <f>"PFES1162563079_0001"</f>
        <v>PFES1162563079_0001</v>
      </c>
      <c r="L2051" s="10">
        <v>1</v>
      </c>
      <c r="M2051" s="10">
        <v>1</v>
      </c>
    </row>
    <row r="2052" spans="1:13">
      <c r="A2052" s="8">
        <v>42934</v>
      </c>
      <c r="B2052" s="9">
        <v>0.54166666666666663</v>
      </c>
      <c r="C2052" s="10" t="str">
        <f>"FES1162563076"</f>
        <v>FES1162563076</v>
      </c>
      <c r="D2052" s="10" t="s">
        <v>19</v>
      </c>
      <c r="E2052" s="10" t="s">
        <v>752</v>
      </c>
      <c r="F2052" s="10" t="str">
        <f>"2170577502 "</f>
        <v xml:space="preserve">2170577502 </v>
      </c>
      <c r="G2052" s="10" t="str">
        <f t="shared" si="86"/>
        <v>ON1</v>
      </c>
      <c r="H2052" s="10" t="s">
        <v>21</v>
      </c>
      <c r="I2052" s="10" t="s">
        <v>753</v>
      </c>
      <c r="J2052" s="10" t="str">
        <f>""</f>
        <v/>
      </c>
      <c r="K2052" s="10" t="str">
        <f>"PFES1162563076_0001"</f>
        <v>PFES1162563076_0001</v>
      </c>
      <c r="L2052" s="10">
        <v>1</v>
      </c>
      <c r="M2052" s="10">
        <v>1</v>
      </c>
    </row>
    <row r="2053" spans="1:13">
      <c r="A2053" s="8">
        <v>42934</v>
      </c>
      <c r="B2053" s="9">
        <v>0.54097222222222219</v>
      </c>
      <c r="C2053" s="10" t="str">
        <f>"FES1162563013"</f>
        <v>FES1162563013</v>
      </c>
      <c r="D2053" s="10" t="s">
        <v>19</v>
      </c>
      <c r="E2053" s="10" t="s">
        <v>288</v>
      </c>
      <c r="F2053" s="10" t="str">
        <f>"217057526 "</f>
        <v xml:space="preserve">217057526 </v>
      </c>
      <c r="G2053" s="10" t="str">
        <f t="shared" si="86"/>
        <v>ON1</v>
      </c>
      <c r="H2053" s="10" t="s">
        <v>21</v>
      </c>
      <c r="I2053" s="10" t="s">
        <v>177</v>
      </c>
      <c r="J2053" s="10" t="str">
        <f>""</f>
        <v/>
      </c>
      <c r="K2053" s="10" t="str">
        <f>"PFES1162563013_0001"</f>
        <v>PFES1162563013_0001</v>
      </c>
      <c r="L2053" s="10">
        <v>1</v>
      </c>
      <c r="M2053" s="10">
        <v>1</v>
      </c>
    </row>
    <row r="2054" spans="1:13">
      <c r="A2054" s="8">
        <v>42934</v>
      </c>
      <c r="B2054" s="9">
        <v>0.54097222222222219</v>
      </c>
      <c r="C2054" s="10" t="str">
        <f>"FES1162563113"</f>
        <v>FES1162563113</v>
      </c>
      <c r="D2054" s="10" t="s">
        <v>19</v>
      </c>
      <c r="E2054" s="10" t="s">
        <v>478</v>
      </c>
      <c r="F2054" s="10" t="str">
        <f>"2170578242 "</f>
        <v xml:space="preserve">2170578242 </v>
      </c>
      <c r="G2054" s="10" t="str">
        <f t="shared" si="86"/>
        <v>ON1</v>
      </c>
      <c r="H2054" s="10" t="s">
        <v>21</v>
      </c>
      <c r="I2054" s="10" t="s">
        <v>234</v>
      </c>
      <c r="J2054" s="10" t="str">
        <f>""</f>
        <v/>
      </c>
      <c r="K2054" s="10" t="str">
        <f>"PFES1162563113_0001"</f>
        <v>PFES1162563113_0001</v>
      </c>
      <c r="L2054" s="10">
        <v>1</v>
      </c>
      <c r="M2054" s="10">
        <v>1</v>
      </c>
    </row>
    <row r="2055" spans="1:13">
      <c r="A2055" s="8">
        <v>42934</v>
      </c>
      <c r="B2055" s="9">
        <v>0.54097222222222219</v>
      </c>
      <c r="C2055" s="10" t="str">
        <f>"FES1162563011"</f>
        <v>FES1162563011</v>
      </c>
      <c r="D2055" s="10" t="s">
        <v>19</v>
      </c>
      <c r="E2055" s="10" t="s">
        <v>173</v>
      </c>
      <c r="F2055" s="10" t="str">
        <f>"2170575369 "</f>
        <v xml:space="preserve">2170575369 </v>
      </c>
      <c r="G2055" s="10" t="str">
        <f>"ON2"</f>
        <v>ON2</v>
      </c>
      <c r="H2055" s="10" t="s">
        <v>21</v>
      </c>
      <c r="I2055" s="10" t="s">
        <v>174</v>
      </c>
      <c r="J2055" s="10" t="str">
        <f>""</f>
        <v/>
      </c>
      <c r="K2055" s="10" t="str">
        <f>"PFES1162563011_0001"</f>
        <v>PFES1162563011_0001</v>
      </c>
      <c r="L2055" s="10">
        <v>1</v>
      </c>
      <c r="M2055" s="10">
        <v>7</v>
      </c>
    </row>
    <row r="2056" spans="1:13">
      <c r="A2056" s="8">
        <v>42934</v>
      </c>
      <c r="B2056" s="9">
        <v>0.54097222222222219</v>
      </c>
      <c r="C2056" s="10" t="str">
        <f>"FES1162563110"</f>
        <v>FES1162563110</v>
      </c>
      <c r="D2056" s="10" t="s">
        <v>19</v>
      </c>
      <c r="E2056" s="10" t="s">
        <v>807</v>
      </c>
      <c r="F2056" s="10" t="str">
        <f>"2170578168 "</f>
        <v xml:space="preserve">2170578168 </v>
      </c>
      <c r="G2056" s="10" t="str">
        <f t="shared" ref="G2056:G2061" si="87">"ON1"</f>
        <v>ON1</v>
      </c>
      <c r="H2056" s="10" t="s">
        <v>21</v>
      </c>
      <c r="I2056" s="10" t="s">
        <v>739</v>
      </c>
      <c r="J2056" s="10" t="str">
        <f>""</f>
        <v/>
      </c>
      <c r="K2056" s="10" t="str">
        <f>"PFES1162563110_0001"</f>
        <v>PFES1162563110_0001</v>
      </c>
      <c r="L2056" s="10">
        <v>1</v>
      </c>
      <c r="M2056" s="10">
        <v>1</v>
      </c>
    </row>
    <row r="2057" spans="1:13">
      <c r="A2057" s="8">
        <v>42934</v>
      </c>
      <c r="B2057" s="9">
        <v>0.54027777777777775</v>
      </c>
      <c r="C2057" s="10" t="str">
        <f>"FES1162563031"</f>
        <v>FES1162563031</v>
      </c>
      <c r="D2057" s="10" t="s">
        <v>19</v>
      </c>
      <c r="E2057" s="10" t="s">
        <v>245</v>
      </c>
      <c r="F2057" s="10" t="str">
        <f>"2170577079 "</f>
        <v xml:space="preserve">2170577079 </v>
      </c>
      <c r="G2057" s="10" t="str">
        <f t="shared" si="87"/>
        <v>ON1</v>
      </c>
      <c r="H2057" s="10" t="s">
        <v>21</v>
      </c>
      <c r="I2057" s="10" t="s">
        <v>246</v>
      </c>
      <c r="J2057" s="10" t="str">
        <f>""</f>
        <v/>
      </c>
      <c r="K2057" s="10" t="str">
        <f>"PFES1162563031_0001"</f>
        <v>PFES1162563031_0001</v>
      </c>
      <c r="L2057" s="10">
        <v>1</v>
      </c>
      <c r="M2057" s="10">
        <v>1</v>
      </c>
    </row>
    <row r="2058" spans="1:13">
      <c r="A2058" s="8">
        <v>42934</v>
      </c>
      <c r="B2058" s="9">
        <v>0.54027777777777775</v>
      </c>
      <c r="C2058" s="10" t="str">
        <f>"FES1162563056"</f>
        <v>FES1162563056</v>
      </c>
      <c r="D2058" s="10" t="s">
        <v>19</v>
      </c>
      <c r="E2058" s="10" t="s">
        <v>255</v>
      </c>
      <c r="F2058" s="10" t="str">
        <f>"2170577357 "</f>
        <v xml:space="preserve">2170577357 </v>
      </c>
      <c r="G2058" s="10" t="str">
        <f t="shared" si="87"/>
        <v>ON1</v>
      </c>
      <c r="H2058" s="10" t="s">
        <v>21</v>
      </c>
      <c r="I2058" s="10" t="s">
        <v>256</v>
      </c>
      <c r="J2058" s="10" t="str">
        <f>""</f>
        <v/>
      </c>
      <c r="K2058" s="10" t="str">
        <f>"PFES1162563056_0001"</f>
        <v>PFES1162563056_0001</v>
      </c>
      <c r="L2058" s="10">
        <v>1</v>
      </c>
      <c r="M2058" s="10">
        <v>1</v>
      </c>
    </row>
    <row r="2059" spans="1:13">
      <c r="A2059" s="8">
        <v>42934</v>
      </c>
      <c r="B2059" s="9">
        <v>0.54027777777777775</v>
      </c>
      <c r="C2059" s="10" t="str">
        <f>"FES1162563028"</f>
        <v>FES1162563028</v>
      </c>
      <c r="D2059" s="10" t="s">
        <v>19</v>
      </c>
      <c r="E2059" s="10" t="s">
        <v>65</v>
      </c>
      <c r="F2059" s="10" t="str">
        <f>"2170577066 "</f>
        <v xml:space="preserve">2170577066 </v>
      </c>
      <c r="G2059" s="10" t="str">
        <f t="shared" si="87"/>
        <v>ON1</v>
      </c>
      <c r="H2059" s="10" t="s">
        <v>21</v>
      </c>
      <c r="I2059" s="10" t="s">
        <v>66</v>
      </c>
      <c r="J2059" s="10" t="str">
        <f>""</f>
        <v/>
      </c>
      <c r="K2059" s="10" t="str">
        <f>"PFES1162563028_0001"</f>
        <v>PFES1162563028_0001</v>
      </c>
      <c r="L2059" s="10">
        <v>1</v>
      </c>
      <c r="M2059" s="10">
        <v>3</v>
      </c>
    </row>
    <row r="2060" spans="1:13">
      <c r="A2060" s="8">
        <v>42934</v>
      </c>
      <c r="B2060" s="9">
        <v>0.54027777777777775</v>
      </c>
      <c r="C2060" s="10" t="str">
        <f>"FES1162563085"</f>
        <v>FES1162563085</v>
      </c>
      <c r="D2060" s="10" t="s">
        <v>19</v>
      </c>
      <c r="E2060" s="10" t="s">
        <v>190</v>
      </c>
      <c r="F2060" s="10" t="str">
        <f>"2170577620 "</f>
        <v xml:space="preserve">2170577620 </v>
      </c>
      <c r="G2060" s="10" t="str">
        <f t="shared" si="87"/>
        <v>ON1</v>
      </c>
      <c r="H2060" s="10" t="s">
        <v>21</v>
      </c>
      <c r="I2060" s="10" t="s">
        <v>52</v>
      </c>
      <c r="J2060" s="10" t="str">
        <f>""</f>
        <v/>
      </c>
      <c r="K2060" s="10" t="str">
        <f>"PFES1162563085_0001"</f>
        <v>PFES1162563085_0001</v>
      </c>
      <c r="L2060" s="10">
        <v>1</v>
      </c>
      <c r="M2060" s="10">
        <v>1</v>
      </c>
    </row>
    <row r="2061" spans="1:13">
      <c r="A2061" s="8">
        <v>42934</v>
      </c>
      <c r="B2061" s="9">
        <v>0.5395833333333333</v>
      </c>
      <c r="C2061" s="10" t="str">
        <f>"FES1162563170"</f>
        <v>FES1162563170</v>
      </c>
      <c r="D2061" s="10" t="s">
        <v>19</v>
      </c>
      <c r="E2061" s="10" t="s">
        <v>436</v>
      </c>
      <c r="F2061" s="10" t="str">
        <f>"2170579688 "</f>
        <v xml:space="preserve">2170579688 </v>
      </c>
      <c r="G2061" s="10" t="str">
        <f t="shared" si="87"/>
        <v>ON1</v>
      </c>
      <c r="H2061" s="10" t="s">
        <v>21</v>
      </c>
      <c r="I2061" s="10" t="s">
        <v>252</v>
      </c>
      <c r="J2061" s="10" t="str">
        <f>""</f>
        <v/>
      </c>
      <c r="K2061" s="10" t="str">
        <f>"PFES1162563170_0001"</f>
        <v>PFES1162563170_0001</v>
      </c>
      <c r="L2061" s="10">
        <v>1</v>
      </c>
      <c r="M2061" s="10">
        <v>1</v>
      </c>
    </row>
    <row r="2062" spans="1:13">
      <c r="A2062" s="8">
        <v>42934</v>
      </c>
      <c r="B2062" s="9">
        <v>0.5395833333333333</v>
      </c>
      <c r="C2062" s="10" t="str">
        <f>"FES1162563088"</f>
        <v>FES1162563088</v>
      </c>
      <c r="D2062" s="10" t="s">
        <v>19</v>
      </c>
      <c r="E2062" s="10" t="s">
        <v>33</v>
      </c>
      <c r="F2062" s="10" t="str">
        <f>"2170577681 "</f>
        <v xml:space="preserve">2170577681 </v>
      </c>
      <c r="G2062" s="10" t="str">
        <f>"ON2"</f>
        <v>ON2</v>
      </c>
      <c r="H2062" s="10" t="s">
        <v>21</v>
      </c>
      <c r="I2062" s="10" t="s">
        <v>34</v>
      </c>
      <c r="J2062" s="10" t="str">
        <f>""</f>
        <v/>
      </c>
      <c r="K2062" s="10" t="str">
        <f>"PFES1162563088_0001"</f>
        <v>PFES1162563088_0001</v>
      </c>
      <c r="L2062" s="10">
        <v>1</v>
      </c>
      <c r="M2062" s="10">
        <v>4</v>
      </c>
    </row>
    <row r="2063" spans="1:13">
      <c r="A2063" s="8">
        <v>42934</v>
      </c>
      <c r="B2063" s="9">
        <v>0.5395833333333333</v>
      </c>
      <c r="C2063" s="10" t="str">
        <f>"FES1162563153"</f>
        <v>FES1162563153</v>
      </c>
      <c r="D2063" s="10" t="s">
        <v>19</v>
      </c>
      <c r="E2063" s="10" t="s">
        <v>288</v>
      </c>
      <c r="F2063" s="10" t="str">
        <f>"2170578665 "</f>
        <v xml:space="preserve">2170578665 </v>
      </c>
      <c r="G2063" s="10" t="str">
        <f t="shared" ref="G2063:G2069" si="88">"ON1"</f>
        <v>ON1</v>
      </c>
      <c r="H2063" s="10" t="s">
        <v>21</v>
      </c>
      <c r="I2063" s="10" t="s">
        <v>300</v>
      </c>
      <c r="J2063" s="10" t="str">
        <f>""</f>
        <v/>
      </c>
      <c r="K2063" s="10" t="str">
        <f>"PFES1162563153_0001"</f>
        <v>PFES1162563153_0001</v>
      </c>
      <c r="L2063" s="10">
        <v>1</v>
      </c>
      <c r="M2063" s="10">
        <v>1</v>
      </c>
    </row>
    <row r="2064" spans="1:13">
      <c r="A2064" s="8">
        <v>42934</v>
      </c>
      <c r="B2064" s="9">
        <v>0.53888888888888886</v>
      </c>
      <c r="C2064" s="10" t="str">
        <f>"FES1162563071"</f>
        <v>FES1162563071</v>
      </c>
      <c r="D2064" s="10" t="s">
        <v>19</v>
      </c>
      <c r="E2064" s="10" t="s">
        <v>458</v>
      </c>
      <c r="F2064" s="10" t="str">
        <f>"2170577464 "</f>
        <v xml:space="preserve">2170577464 </v>
      </c>
      <c r="G2064" s="10" t="str">
        <f t="shared" si="88"/>
        <v>ON1</v>
      </c>
      <c r="H2064" s="10" t="s">
        <v>21</v>
      </c>
      <c r="I2064" s="10" t="s">
        <v>393</v>
      </c>
      <c r="J2064" s="10" t="str">
        <f>""</f>
        <v/>
      </c>
      <c r="K2064" s="10" t="str">
        <f>"PFES1162563071_0001"</f>
        <v>PFES1162563071_0001</v>
      </c>
      <c r="L2064" s="10">
        <v>1</v>
      </c>
      <c r="M2064" s="10">
        <v>1</v>
      </c>
    </row>
    <row r="2065" spans="1:13">
      <c r="A2065" s="8">
        <v>42934</v>
      </c>
      <c r="B2065" s="9">
        <v>0.53888888888888886</v>
      </c>
      <c r="C2065" s="10" t="str">
        <f>"FES1162563059"</f>
        <v>FES1162563059</v>
      </c>
      <c r="D2065" s="10" t="s">
        <v>19</v>
      </c>
      <c r="E2065" s="10" t="s">
        <v>33</v>
      </c>
      <c r="F2065" s="10" t="str">
        <f>"2170577383 "</f>
        <v xml:space="preserve">2170577383 </v>
      </c>
      <c r="G2065" s="10" t="str">
        <f t="shared" si="88"/>
        <v>ON1</v>
      </c>
      <c r="H2065" s="10" t="s">
        <v>21</v>
      </c>
      <c r="I2065" s="10" t="s">
        <v>34</v>
      </c>
      <c r="J2065" s="10" t="str">
        <f>""</f>
        <v/>
      </c>
      <c r="K2065" s="10" t="str">
        <f>"PFES1162563059_0001"</f>
        <v>PFES1162563059_0001</v>
      </c>
      <c r="L2065" s="10">
        <v>1</v>
      </c>
      <c r="M2065" s="10">
        <v>2</v>
      </c>
    </row>
    <row r="2066" spans="1:13">
      <c r="A2066" s="8">
        <v>42934</v>
      </c>
      <c r="B2066" s="9">
        <v>0.53888888888888886</v>
      </c>
      <c r="C2066" s="10" t="str">
        <f>"FES1162563096"</f>
        <v>FES1162563096</v>
      </c>
      <c r="D2066" s="10" t="s">
        <v>19</v>
      </c>
      <c r="E2066" s="10" t="s">
        <v>118</v>
      </c>
      <c r="F2066" s="10" t="str">
        <f>"2170577781 "</f>
        <v xml:space="preserve">2170577781 </v>
      </c>
      <c r="G2066" s="10" t="str">
        <f t="shared" si="88"/>
        <v>ON1</v>
      </c>
      <c r="H2066" s="10" t="s">
        <v>21</v>
      </c>
      <c r="I2066" s="10" t="s">
        <v>119</v>
      </c>
      <c r="J2066" s="10" t="str">
        <f>""</f>
        <v/>
      </c>
      <c r="K2066" s="10" t="str">
        <f>"PFES1162563096_0001"</f>
        <v>PFES1162563096_0001</v>
      </c>
      <c r="L2066" s="10">
        <v>1</v>
      </c>
      <c r="M2066" s="10">
        <v>1</v>
      </c>
    </row>
    <row r="2067" spans="1:13">
      <c r="A2067" s="8">
        <v>42934</v>
      </c>
      <c r="B2067" s="9">
        <v>0.53888888888888886</v>
      </c>
      <c r="C2067" s="10" t="str">
        <f>"FES1162563164"</f>
        <v>FES1162563164</v>
      </c>
      <c r="D2067" s="10" t="s">
        <v>19</v>
      </c>
      <c r="E2067" s="10" t="s">
        <v>264</v>
      </c>
      <c r="F2067" s="10" t="str">
        <f>"217057680 "</f>
        <v xml:space="preserve">217057680 </v>
      </c>
      <c r="G2067" s="10" t="str">
        <f t="shared" si="88"/>
        <v>ON1</v>
      </c>
      <c r="H2067" s="10" t="s">
        <v>21</v>
      </c>
      <c r="I2067" s="10" t="s">
        <v>240</v>
      </c>
      <c r="J2067" s="10" t="str">
        <f>""</f>
        <v/>
      </c>
      <c r="K2067" s="10" t="str">
        <f>"PFES1162563164_0001"</f>
        <v>PFES1162563164_0001</v>
      </c>
      <c r="L2067" s="10">
        <v>1</v>
      </c>
      <c r="M2067" s="10">
        <v>1</v>
      </c>
    </row>
    <row r="2068" spans="1:13">
      <c r="A2068" s="8">
        <v>42934</v>
      </c>
      <c r="B2068" s="9">
        <v>0.53819444444444442</v>
      </c>
      <c r="C2068" s="10" t="str">
        <f>"FES1162563243"</f>
        <v>FES1162563243</v>
      </c>
      <c r="D2068" s="10" t="s">
        <v>19</v>
      </c>
      <c r="E2068" s="10" t="s">
        <v>78</v>
      </c>
      <c r="F2068" s="10" t="str">
        <f>"2170578779 "</f>
        <v xml:space="preserve">2170578779 </v>
      </c>
      <c r="G2068" s="10" t="str">
        <f t="shared" si="88"/>
        <v>ON1</v>
      </c>
      <c r="H2068" s="10" t="s">
        <v>21</v>
      </c>
      <c r="I2068" s="10" t="s">
        <v>79</v>
      </c>
      <c r="J2068" s="10" t="str">
        <f>""</f>
        <v/>
      </c>
      <c r="K2068" s="10" t="str">
        <f>"PFES1162563243_0001"</f>
        <v>PFES1162563243_0001</v>
      </c>
      <c r="L2068" s="10">
        <v>1</v>
      </c>
      <c r="M2068" s="10">
        <v>1</v>
      </c>
    </row>
    <row r="2069" spans="1:13">
      <c r="A2069" s="8">
        <v>42934</v>
      </c>
      <c r="B2069" s="9">
        <v>0.53819444444444442</v>
      </c>
      <c r="C2069" s="10" t="str">
        <f>"FES1162563128"</f>
        <v>FES1162563128</v>
      </c>
      <c r="D2069" s="10" t="s">
        <v>19</v>
      </c>
      <c r="E2069" s="10" t="s">
        <v>602</v>
      </c>
      <c r="F2069" s="10" t="str">
        <f>"2170578796 "</f>
        <v xml:space="preserve">2170578796 </v>
      </c>
      <c r="G2069" s="10" t="str">
        <f t="shared" si="88"/>
        <v>ON1</v>
      </c>
      <c r="H2069" s="10" t="s">
        <v>21</v>
      </c>
      <c r="I2069" s="10" t="s">
        <v>58</v>
      </c>
      <c r="J2069" s="10" t="str">
        <f>""</f>
        <v/>
      </c>
      <c r="K2069" s="10" t="str">
        <f>"PFES1162563128_0001"</f>
        <v>PFES1162563128_0001</v>
      </c>
      <c r="L2069" s="10">
        <v>1</v>
      </c>
      <c r="M2069" s="10">
        <v>1</v>
      </c>
    </row>
    <row r="2070" spans="1:13">
      <c r="A2070" s="8">
        <v>42934</v>
      </c>
      <c r="B2070" s="9">
        <v>0.53819444444444442</v>
      </c>
      <c r="C2070" s="10" t="str">
        <f>"FES1162563087"</f>
        <v>FES1162563087</v>
      </c>
      <c r="D2070" s="10" t="s">
        <v>19</v>
      </c>
      <c r="E2070" s="10" t="s">
        <v>934</v>
      </c>
      <c r="F2070" s="10" t="str">
        <f>"2170577662 "</f>
        <v xml:space="preserve">2170577662 </v>
      </c>
      <c r="G2070" s="10" t="str">
        <f>"ON2"</f>
        <v>ON2</v>
      </c>
      <c r="H2070" s="10" t="s">
        <v>21</v>
      </c>
      <c r="I2070" s="10" t="s">
        <v>374</v>
      </c>
      <c r="J2070" s="10" t="str">
        <f>""</f>
        <v/>
      </c>
      <c r="K2070" s="10" t="str">
        <f>"PFES1162563087_0001"</f>
        <v>PFES1162563087_0001</v>
      </c>
      <c r="L2070" s="10">
        <v>1</v>
      </c>
      <c r="M2070" s="10">
        <v>12</v>
      </c>
    </row>
    <row r="2071" spans="1:13">
      <c r="A2071" s="8">
        <v>42934</v>
      </c>
      <c r="B2071" s="9">
        <v>0.53749999999999998</v>
      </c>
      <c r="C2071" s="10" t="str">
        <f>"FES1162563175"</f>
        <v>FES1162563175</v>
      </c>
      <c r="D2071" s="10" t="s">
        <v>19</v>
      </c>
      <c r="E2071" s="10" t="s">
        <v>821</v>
      </c>
      <c r="F2071" s="10" t="str">
        <f>"21705796797 "</f>
        <v xml:space="preserve">21705796797 </v>
      </c>
      <c r="G2071" s="10" t="str">
        <f t="shared" ref="G2071:G2092" si="89">"ON1"</f>
        <v>ON1</v>
      </c>
      <c r="H2071" s="10" t="s">
        <v>21</v>
      </c>
      <c r="I2071" s="10" t="s">
        <v>58</v>
      </c>
      <c r="J2071" s="10" t="str">
        <f>""</f>
        <v/>
      </c>
      <c r="K2071" s="10" t="str">
        <f>"PFES1162563175_0001"</f>
        <v>PFES1162563175_0001</v>
      </c>
      <c r="L2071" s="10">
        <v>1</v>
      </c>
      <c r="M2071" s="10">
        <v>1</v>
      </c>
    </row>
    <row r="2072" spans="1:13">
      <c r="A2072" s="8">
        <v>42934</v>
      </c>
      <c r="B2072" s="9">
        <v>0.53749999999999998</v>
      </c>
      <c r="C2072" s="10" t="str">
        <f>"FES1162563122"</f>
        <v>FES1162563122</v>
      </c>
      <c r="D2072" s="10" t="s">
        <v>19</v>
      </c>
      <c r="E2072" s="10" t="s">
        <v>416</v>
      </c>
      <c r="F2072" s="10" t="str">
        <f>"2170578512 "</f>
        <v xml:space="preserve">2170578512 </v>
      </c>
      <c r="G2072" s="10" t="str">
        <f t="shared" si="89"/>
        <v>ON1</v>
      </c>
      <c r="H2072" s="10" t="s">
        <v>21</v>
      </c>
      <c r="I2072" s="10" t="s">
        <v>157</v>
      </c>
      <c r="J2072" s="10" t="str">
        <f>""</f>
        <v/>
      </c>
      <c r="K2072" s="10" t="str">
        <f>"PFES1162563122_0001"</f>
        <v>PFES1162563122_0001</v>
      </c>
      <c r="L2072" s="10">
        <v>1</v>
      </c>
      <c r="M2072" s="10">
        <v>1</v>
      </c>
    </row>
    <row r="2073" spans="1:13">
      <c r="A2073" s="8">
        <v>42934</v>
      </c>
      <c r="B2073" s="9">
        <v>0.53680555555555554</v>
      </c>
      <c r="C2073" s="10" t="str">
        <f>"FES1162562992"</f>
        <v>FES1162562992</v>
      </c>
      <c r="D2073" s="10" t="s">
        <v>19</v>
      </c>
      <c r="E2073" s="10" t="s">
        <v>74</v>
      </c>
      <c r="F2073" s="10" t="str">
        <f>"2170579643 "</f>
        <v xml:space="preserve">2170579643 </v>
      </c>
      <c r="G2073" s="10" t="str">
        <f t="shared" si="89"/>
        <v>ON1</v>
      </c>
      <c r="H2073" s="10" t="s">
        <v>21</v>
      </c>
      <c r="I2073" s="10" t="s">
        <v>75</v>
      </c>
      <c r="J2073" s="10" t="str">
        <f>""</f>
        <v/>
      </c>
      <c r="K2073" s="10" t="str">
        <f>"PFES1162562992_0001"</f>
        <v>PFES1162562992_0001</v>
      </c>
      <c r="L2073" s="10">
        <v>1</v>
      </c>
      <c r="M2073" s="10">
        <v>1</v>
      </c>
    </row>
    <row r="2074" spans="1:13">
      <c r="A2074" s="8">
        <v>42934</v>
      </c>
      <c r="B2074" s="9">
        <v>0.53541666666666665</v>
      </c>
      <c r="C2074" s="10" t="str">
        <f>"009935791619"</f>
        <v>009935791619</v>
      </c>
      <c r="D2074" s="10" t="s">
        <v>19</v>
      </c>
      <c r="E2074" s="10" t="s">
        <v>491</v>
      </c>
      <c r="F2074" s="10" t="str">
        <f>"CYRILL NIDO "</f>
        <v xml:space="preserve">CYRILL NIDO </v>
      </c>
      <c r="G2074" s="10" t="str">
        <f t="shared" si="89"/>
        <v>ON1</v>
      </c>
      <c r="H2074" s="10" t="s">
        <v>21</v>
      </c>
      <c r="I2074" s="10" t="s">
        <v>183</v>
      </c>
      <c r="J2074" s="10" t="str">
        <f>""</f>
        <v/>
      </c>
      <c r="K2074" s="10" t="str">
        <f>"P009935791619_0001"</f>
        <v>P009935791619_0001</v>
      </c>
      <c r="L2074" s="10">
        <v>1</v>
      </c>
      <c r="M2074" s="10">
        <v>1</v>
      </c>
    </row>
    <row r="2075" spans="1:13">
      <c r="A2075" s="8">
        <v>42934</v>
      </c>
      <c r="B2075" s="9">
        <v>0.53472222222222221</v>
      </c>
      <c r="C2075" s="10" t="str">
        <f>"FES1162563048"</f>
        <v>FES1162563048</v>
      </c>
      <c r="D2075" s="10" t="s">
        <v>19</v>
      </c>
      <c r="E2075" s="10" t="s">
        <v>47</v>
      </c>
      <c r="F2075" s="10" t="str">
        <f>"2170577236 "</f>
        <v xml:space="preserve">2170577236 </v>
      </c>
      <c r="G2075" s="10" t="str">
        <f t="shared" si="89"/>
        <v>ON1</v>
      </c>
      <c r="H2075" s="10" t="s">
        <v>21</v>
      </c>
      <c r="I2075" s="10" t="s">
        <v>48</v>
      </c>
      <c r="J2075" s="10" t="str">
        <f>""</f>
        <v/>
      </c>
      <c r="K2075" s="10" t="str">
        <f>"PFES1162563048_0001"</f>
        <v>PFES1162563048_0001</v>
      </c>
      <c r="L2075" s="10">
        <v>1</v>
      </c>
      <c r="M2075" s="10">
        <v>2</v>
      </c>
    </row>
    <row r="2076" spans="1:13">
      <c r="A2076" s="8">
        <v>42934</v>
      </c>
      <c r="B2076" s="9">
        <v>0.53402777777777777</v>
      </c>
      <c r="C2076" s="10" t="str">
        <f>"FES1162563207"</f>
        <v>FES1162563207</v>
      </c>
      <c r="D2076" s="10" t="s">
        <v>19</v>
      </c>
      <c r="E2076" s="10" t="s">
        <v>333</v>
      </c>
      <c r="F2076" s="10" t="str">
        <f>"2170579732 "</f>
        <v xml:space="preserve">2170579732 </v>
      </c>
      <c r="G2076" s="10" t="str">
        <f t="shared" si="89"/>
        <v>ON1</v>
      </c>
      <c r="H2076" s="10" t="s">
        <v>21</v>
      </c>
      <c r="I2076" s="10" t="s">
        <v>334</v>
      </c>
      <c r="J2076" s="10" t="str">
        <f>""</f>
        <v/>
      </c>
      <c r="K2076" s="10" t="str">
        <f>"PFES1162563207_0001"</f>
        <v>PFES1162563207_0001</v>
      </c>
      <c r="L2076" s="10">
        <v>1</v>
      </c>
      <c r="M2076" s="10">
        <v>3</v>
      </c>
    </row>
    <row r="2077" spans="1:13">
      <c r="A2077" s="8">
        <v>42934</v>
      </c>
      <c r="B2077" s="9">
        <v>0.53402777777777777</v>
      </c>
      <c r="C2077" s="10" t="str">
        <f>"FES1162563082"</f>
        <v>FES1162563082</v>
      </c>
      <c r="D2077" s="10" t="s">
        <v>19</v>
      </c>
      <c r="E2077" s="10" t="s">
        <v>866</v>
      </c>
      <c r="F2077" s="10" t="str">
        <f>"2170577572 "</f>
        <v xml:space="preserve">2170577572 </v>
      </c>
      <c r="G2077" s="10" t="str">
        <f t="shared" si="89"/>
        <v>ON1</v>
      </c>
      <c r="H2077" s="10" t="s">
        <v>21</v>
      </c>
      <c r="I2077" s="10" t="s">
        <v>364</v>
      </c>
      <c r="J2077" s="10" t="str">
        <f>""</f>
        <v/>
      </c>
      <c r="K2077" s="10" t="str">
        <f>"PFES1162563082_0001"</f>
        <v>PFES1162563082_0001</v>
      </c>
      <c r="L2077" s="10">
        <v>1</v>
      </c>
      <c r="M2077" s="10">
        <v>1</v>
      </c>
    </row>
    <row r="2078" spans="1:13">
      <c r="A2078" s="8">
        <v>42934</v>
      </c>
      <c r="B2078" s="9">
        <v>0.53333333333333333</v>
      </c>
      <c r="C2078" s="10" t="str">
        <f>"FES1162563019"</f>
        <v>FES1162563019</v>
      </c>
      <c r="D2078" s="10" t="s">
        <v>19</v>
      </c>
      <c r="E2078" s="10" t="s">
        <v>99</v>
      </c>
      <c r="F2078" s="10" t="str">
        <f>"2170576740 "</f>
        <v xml:space="preserve">2170576740 </v>
      </c>
      <c r="G2078" s="10" t="str">
        <f t="shared" si="89"/>
        <v>ON1</v>
      </c>
      <c r="H2078" s="10" t="s">
        <v>21</v>
      </c>
      <c r="I2078" s="10" t="s">
        <v>100</v>
      </c>
      <c r="J2078" s="10" t="str">
        <f>""</f>
        <v/>
      </c>
      <c r="K2078" s="10" t="str">
        <f>"PFES1162563019_0001"</f>
        <v>PFES1162563019_0001</v>
      </c>
      <c r="L2078" s="10">
        <v>1</v>
      </c>
      <c r="M2078" s="10">
        <v>1</v>
      </c>
    </row>
    <row r="2079" spans="1:13">
      <c r="A2079" s="8">
        <v>42934</v>
      </c>
      <c r="B2079" s="9">
        <v>0.53333333333333333</v>
      </c>
      <c r="C2079" s="10" t="str">
        <f>"FES1162562990"</f>
        <v>FES1162562990</v>
      </c>
      <c r="D2079" s="10" t="s">
        <v>19</v>
      </c>
      <c r="E2079" s="10" t="s">
        <v>425</v>
      </c>
      <c r="F2079" s="10" t="str">
        <f>"2170579642 "</f>
        <v xml:space="preserve">2170579642 </v>
      </c>
      <c r="G2079" s="10" t="str">
        <f t="shared" si="89"/>
        <v>ON1</v>
      </c>
      <c r="H2079" s="10" t="s">
        <v>21</v>
      </c>
      <c r="I2079" s="10" t="s">
        <v>426</v>
      </c>
      <c r="J2079" s="10" t="str">
        <f>""</f>
        <v/>
      </c>
      <c r="K2079" s="10" t="str">
        <f>"PFES1162562990_0001"</f>
        <v>PFES1162562990_0001</v>
      </c>
      <c r="L2079" s="10">
        <v>1</v>
      </c>
      <c r="M2079" s="10">
        <v>3</v>
      </c>
    </row>
    <row r="2080" spans="1:13">
      <c r="A2080" s="8">
        <v>42934</v>
      </c>
      <c r="B2080" s="9">
        <v>0.53333333333333333</v>
      </c>
      <c r="C2080" s="10" t="str">
        <f>"FES1162563020"</f>
        <v>FES1162563020</v>
      </c>
      <c r="D2080" s="10" t="s">
        <v>19</v>
      </c>
      <c r="E2080" s="10" t="s">
        <v>99</v>
      </c>
      <c r="F2080" s="10" t="str">
        <f>"2170576741 "</f>
        <v xml:space="preserve">2170576741 </v>
      </c>
      <c r="G2080" s="10" t="str">
        <f t="shared" si="89"/>
        <v>ON1</v>
      </c>
      <c r="H2080" s="10" t="s">
        <v>21</v>
      </c>
      <c r="I2080" s="10" t="s">
        <v>100</v>
      </c>
      <c r="J2080" s="10" t="str">
        <f>""</f>
        <v/>
      </c>
      <c r="K2080" s="10" t="str">
        <f>"PFES1162563020_0001"</f>
        <v>PFES1162563020_0001</v>
      </c>
      <c r="L2080" s="10">
        <v>1</v>
      </c>
      <c r="M2080" s="10">
        <v>1</v>
      </c>
    </row>
    <row r="2081" spans="1:13">
      <c r="A2081" s="8">
        <v>42934</v>
      </c>
      <c r="B2081" s="9">
        <v>0.53263888888888888</v>
      </c>
      <c r="C2081" s="10" t="str">
        <f>"FES1162563067"</f>
        <v>FES1162563067</v>
      </c>
      <c r="D2081" s="10" t="s">
        <v>19</v>
      </c>
      <c r="E2081" s="10" t="s">
        <v>99</v>
      </c>
      <c r="F2081" s="10" t="str">
        <f>"2170577426 "</f>
        <v xml:space="preserve">2170577426 </v>
      </c>
      <c r="G2081" s="10" t="str">
        <f t="shared" si="89"/>
        <v>ON1</v>
      </c>
      <c r="H2081" s="10" t="s">
        <v>21</v>
      </c>
      <c r="I2081" s="10" t="s">
        <v>100</v>
      </c>
      <c r="J2081" s="10" t="str">
        <f>""</f>
        <v/>
      </c>
      <c r="K2081" s="10" t="str">
        <f>"PFES1162563067_0001"</f>
        <v>PFES1162563067_0001</v>
      </c>
      <c r="L2081" s="10">
        <v>1</v>
      </c>
      <c r="M2081" s="10">
        <v>1</v>
      </c>
    </row>
    <row r="2082" spans="1:13">
      <c r="A2082" s="8">
        <v>42934</v>
      </c>
      <c r="B2082" s="9">
        <v>0.53263888888888888</v>
      </c>
      <c r="C2082" s="10" t="str">
        <f>"FES1162563126"</f>
        <v>FES1162563126</v>
      </c>
      <c r="D2082" s="10" t="s">
        <v>19</v>
      </c>
      <c r="E2082" s="10" t="s">
        <v>218</v>
      </c>
      <c r="F2082" s="10" t="str">
        <f>"2170578902 "</f>
        <v xml:space="preserve">2170578902 </v>
      </c>
      <c r="G2082" s="10" t="str">
        <f t="shared" si="89"/>
        <v>ON1</v>
      </c>
      <c r="H2082" s="10" t="s">
        <v>21</v>
      </c>
      <c r="I2082" s="10" t="s">
        <v>219</v>
      </c>
      <c r="J2082" s="10" t="str">
        <f>""</f>
        <v/>
      </c>
      <c r="K2082" s="10" t="str">
        <f>"PFES1162563126_0001"</f>
        <v>PFES1162563126_0001</v>
      </c>
      <c r="L2082" s="10">
        <v>1</v>
      </c>
      <c r="M2082" s="10">
        <v>1</v>
      </c>
    </row>
    <row r="2083" spans="1:13">
      <c r="A2083" s="8">
        <v>42934</v>
      </c>
      <c r="B2083" s="9">
        <v>0.53263888888888888</v>
      </c>
      <c r="C2083" s="10" t="str">
        <f>"FES1162563069"</f>
        <v>FES1162563069</v>
      </c>
      <c r="D2083" s="10" t="s">
        <v>19</v>
      </c>
      <c r="E2083" s="10" t="s">
        <v>299</v>
      </c>
      <c r="F2083" s="10" t="str">
        <f>"2170577454 "</f>
        <v xml:space="preserve">2170577454 </v>
      </c>
      <c r="G2083" s="10" t="str">
        <f t="shared" si="89"/>
        <v>ON1</v>
      </c>
      <c r="H2083" s="10" t="s">
        <v>21</v>
      </c>
      <c r="I2083" s="10" t="s">
        <v>183</v>
      </c>
      <c r="J2083" s="10" t="str">
        <f>""</f>
        <v/>
      </c>
      <c r="K2083" s="10" t="str">
        <f>"PFES1162563069_0001"</f>
        <v>PFES1162563069_0001</v>
      </c>
      <c r="L2083" s="10">
        <v>1</v>
      </c>
      <c r="M2083" s="10">
        <v>1</v>
      </c>
    </row>
    <row r="2084" spans="1:13">
      <c r="A2084" s="8">
        <v>42934</v>
      </c>
      <c r="B2084" s="9">
        <v>0.53194444444444444</v>
      </c>
      <c r="C2084" s="10" t="str">
        <f>"FES1162563027"</f>
        <v>FES1162563027</v>
      </c>
      <c r="D2084" s="10" t="s">
        <v>19</v>
      </c>
      <c r="E2084" s="10" t="s">
        <v>935</v>
      </c>
      <c r="F2084" s="10" t="str">
        <f>"2170577049 "</f>
        <v xml:space="preserve">2170577049 </v>
      </c>
      <c r="G2084" s="10" t="str">
        <f t="shared" si="89"/>
        <v>ON1</v>
      </c>
      <c r="H2084" s="10" t="s">
        <v>21</v>
      </c>
      <c r="I2084" s="10" t="s">
        <v>330</v>
      </c>
      <c r="J2084" s="10" t="str">
        <f>""</f>
        <v/>
      </c>
      <c r="K2084" s="10" t="str">
        <f>"PFES1162563027_0001"</f>
        <v>PFES1162563027_0001</v>
      </c>
      <c r="L2084" s="10">
        <v>1</v>
      </c>
      <c r="M2084" s="10">
        <v>1</v>
      </c>
    </row>
    <row r="2085" spans="1:13">
      <c r="A2085" s="8">
        <v>42934</v>
      </c>
      <c r="B2085" s="9">
        <v>0.53194444444444444</v>
      </c>
      <c r="C2085" s="10" t="str">
        <f>"FES1162563053"</f>
        <v>FES1162563053</v>
      </c>
      <c r="D2085" s="10" t="s">
        <v>19</v>
      </c>
      <c r="E2085" s="10" t="s">
        <v>180</v>
      </c>
      <c r="F2085" s="10" t="str">
        <f>"2170577335 "</f>
        <v xml:space="preserve">2170577335 </v>
      </c>
      <c r="G2085" s="10" t="str">
        <f t="shared" si="89"/>
        <v>ON1</v>
      </c>
      <c r="H2085" s="10" t="s">
        <v>21</v>
      </c>
      <c r="I2085" s="10" t="s">
        <v>168</v>
      </c>
      <c r="J2085" s="10" t="str">
        <f>""</f>
        <v/>
      </c>
      <c r="K2085" s="10" t="str">
        <f>"PFES1162563053_0001"</f>
        <v>PFES1162563053_0001</v>
      </c>
      <c r="L2085" s="10">
        <v>1</v>
      </c>
      <c r="M2085" s="10">
        <v>1</v>
      </c>
    </row>
    <row r="2086" spans="1:13">
      <c r="A2086" s="8">
        <v>42934</v>
      </c>
      <c r="B2086" s="9">
        <v>0.53125</v>
      </c>
      <c r="C2086" s="10" t="str">
        <f>"FES1162563041"</f>
        <v>FES1162563041</v>
      </c>
      <c r="D2086" s="10" t="s">
        <v>19</v>
      </c>
      <c r="E2086" s="10" t="s">
        <v>180</v>
      </c>
      <c r="F2086" s="10" t="str">
        <f>"2170577138 "</f>
        <v xml:space="preserve">2170577138 </v>
      </c>
      <c r="G2086" s="10" t="str">
        <f t="shared" si="89"/>
        <v>ON1</v>
      </c>
      <c r="H2086" s="10" t="s">
        <v>21</v>
      </c>
      <c r="I2086" s="10" t="s">
        <v>168</v>
      </c>
      <c r="J2086" s="10" t="str">
        <f>""</f>
        <v/>
      </c>
      <c r="K2086" s="10" t="str">
        <f>"PFES1162563041_0001"</f>
        <v>PFES1162563041_0001</v>
      </c>
      <c r="L2086" s="10">
        <v>1</v>
      </c>
      <c r="M2086" s="10">
        <v>1</v>
      </c>
    </row>
    <row r="2087" spans="1:13">
      <c r="A2087" s="8">
        <v>42934</v>
      </c>
      <c r="B2087" s="9">
        <v>0.53125</v>
      </c>
      <c r="C2087" s="10" t="str">
        <f>"FES116256256303"</f>
        <v>FES116256256303</v>
      </c>
      <c r="D2087" s="10" t="s">
        <v>19</v>
      </c>
      <c r="E2087" s="10" t="s">
        <v>408</v>
      </c>
      <c r="F2087" s="10" t="str">
        <f>"2170577120 "</f>
        <v xml:space="preserve">2170577120 </v>
      </c>
      <c r="G2087" s="10" t="str">
        <f t="shared" si="89"/>
        <v>ON1</v>
      </c>
      <c r="H2087" s="10" t="s">
        <v>21</v>
      </c>
      <c r="I2087" s="10" t="s">
        <v>177</v>
      </c>
      <c r="J2087" s="10" t="str">
        <f>""</f>
        <v/>
      </c>
      <c r="K2087" s="10" t="str">
        <f>"PFES116256256303_0001"</f>
        <v>PFES116256256303_0001</v>
      </c>
      <c r="L2087" s="10">
        <v>1</v>
      </c>
      <c r="M2087" s="10">
        <v>2</v>
      </c>
    </row>
    <row r="2088" spans="1:13">
      <c r="A2088" s="8">
        <v>42934</v>
      </c>
      <c r="B2088" s="9">
        <v>0.53125</v>
      </c>
      <c r="C2088" s="10" t="str">
        <f>"FES1162563204"</f>
        <v>FES1162563204</v>
      </c>
      <c r="D2088" s="10" t="s">
        <v>19</v>
      </c>
      <c r="E2088" s="10" t="s">
        <v>191</v>
      </c>
      <c r="F2088" s="10" t="str">
        <f>"2170579729 "</f>
        <v xml:space="preserve">2170579729 </v>
      </c>
      <c r="G2088" s="10" t="str">
        <f t="shared" si="89"/>
        <v>ON1</v>
      </c>
      <c r="H2088" s="10" t="s">
        <v>21</v>
      </c>
      <c r="I2088" s="10" t="s">
        <v>192</v>
      </c>
      <c r="J2088" s="10" t="str">
        <f>""</f>
        <v/>
      </c>
      <c r="K2088" s="10" t="str">
        <f>"PFES1162563204_0001"</f>
        <v>PFES1162563204_0001</v>
      </c>
      <c r="L2088" s="10">
        <v>1</v>
      </c>
      <c r="M2088" s="10">
        <v>1</v>
      </c>
    </row>
    <row r="2089" spans="1:13">
      <c r="A2089" s="8">
        <v>42934</v>
      </c>
      <c r="B2089" s="9">
        <v>0.53125</v>
      </c>
      <c r="C2089" s="10" t="str">
        <f>"FES1162563054"</f>
        <v>FES1162563054</v>
      </c>
      <c r="D2089" s="10" t="s">
        <v>19</v>
      </c>
      <c r="E2089" s="10" t="s">
        <v>333</v>
      </c>
      <c r="F2089" s="10" t="str">
        <f>"2170577341 "</f>
        <v xml:space="preserve">2170577341 </v>
      </c>
      <c r="G2089" s="10" t="str">
        <f t="shared" si="89"/>
        <v>ON1</v>
      </c>
      <c r="H2089" s="10" t="s">
        <v>21</v>
      </c>
      <c r="I2089" s="10" t="s">
        <v>334</v>
      </c>
      <c r="J2089" s="10" t="str">
        <f>""</f>
        <v/>
      </c>
      <c r="K2089" s="10" t="str">
        <f>"PFES1162563054_0001"</f>
        <v>PFES1162563054_0001</v>
      </c>
      <c r="L2089" s="10">
        <v>1</v>
      </c>
      <c r="M2089" s="10">
        <v>1</v>
      </c>
    </row>
    <row r="2090" spans="1:13">
      <c r="A2090" s="8">
        <v>42934</v>
      </c>
      <c r="B2090" s="9">
        <v>0.53055555555555556</v>
      </c>
      <c r="C2090" s="10" t="str">
        <f>"FES1162563022"</f>
        <v>FES1162563022</v>
      </c>
      <c r="D2090" s="10" t="s">
        <v>19</v>
      </c>
      <c r="E2090" s="10" t="s">
        <v>288</v>
      </c>
      <c r="F2090" s="10" t="str">
        <f>"2170577000 "</f>
        <v xml:space="preserve">2170577000 </v>
      </c>
      <c r="G2090" s="10" t="str">
        <f t="shared" si="89"/>
        <v>ON1</v>
      </c>
      <c r="H2090" s="10" t="s">
        <v>21</v>
      </c>
      <c r="I2090" s="10" t="s">
        <v>177</v>
      </c>
      <c r="J2090" s="10" t="str">
        <f>""</f>
        <v/>
      </c>
      <c r="K2090" s="10" t="str">
        <f>"PFES1162563022_0001"</f>
        <v>PFES1162563022_0001</v>
      </c>
      <c r="L2090" s="10">
        <v>1</v>
      </c>
      <c r="M2090" s="10">
        <v>2</v>
      </c>
    </row>
    <row r="2091" spans="1:13">
      <c r="A2091" s="8">
        <v>42934</v>
      </c>
      <c r="B2091" s="9">
        <v>0.53055555555555556</v>
      </c>
      <c r="C2091" s="10" t="str">
        <f>"FES1162563078"</f>
        <v>FES1162563078</v>
      </c>
      <c r="D2091" s="10" t="s">
        <v>19</v>
      </c>
      <c r="E2091" s="10" t="s">
        <v>464</v>
      </c>
      <c r="F2091" s="10" t="str">
        <f>"2170577583 "</f>
        <v xml:space="preserve">2170577583 </v>
      </c>
      <c r="G2091" s="10" t="str">
        <f t="shared" si="89"/>
        <v>ON1</v>
      </c>
      <c r="H2091" s="10" t="s">
        <v>21</v>
      </c>
      <c r="I2091" s="10" t="s">
        <v>330</v>
      </c>
      <c r="J2091" s="10" t="str">
        <f>""</f>
        <v/>
      </c>
      <c r="K2091" s="10" t="str">
        <f>"PFES1162563078_0001"</f>
        <v>PFES1162563078_0001</v>
      </c>
      <c r="L2091" s="10">
        <v>1</v>
      </c>
      <c r="M2091" s="10">
        <v>1</v>
      </c>
    </row>
    <row r="2092" spans="1:13">
      <c r="A2092" s="8">
        <v>42934</v>
      </c>
      <c r="B2092" s="9">
        <v>0.53055555555555556</v>
      </c>
      <c r="C2092" s="10" t="str">
        <f>"FES1162563092"</f>
        <v>FES1162563092</v>
      </c>
      <c r="D2092" s="10" t="s">
        <v>19</v>
      </c>
      <c r="E2092" s="10" t="s">
        <v>594</v>
      </c>
      <c r="F2092" s="10" t="str">
        <f>"2170577729 "</f>
        <v xml:space="preserve">2170577729 </v>
      </c>
      <c r="G2092" s="10" t="str">
        <f t="shared" si="89"/>
        <v>ON1</v>
      </c>
      <c r="H2092" s="10" t="s">
        <v>21</v>
      </c>
      <c r="I2092" s="10" t="s">
        <v>179</v>
      </c>
      <c r="J2092" s="10" t="str">
        <f>""</f>
        <v/>
      </c>
      <c r="K2092" s="10" t="str">
        <f>"PFES1162563092_0001"</f>
        <v>PFES1162563092_0001</v>
      </c>
      <c r="L2092" s="10">
        <v>1</v>
      </c>
      <c r="M2092" s="10">
        <v>1</v>
      </c>
    </row>
    <row r="2093" spans="1:13">
      <c r="A2093" s="8">
        <v>42934</v>
      </c>
      <c r="B2093" s="9">
        <v>0.52986111111111112</v>
      </c>
      <c r="C2093" s="10" t="str">
        <f>"FES1162563112"</f>
        <v>FES1162563112</v>
      </c>
      <c r="D2093" s="10" t="s">
        <v>19</v>
      </c>
      <c r="E2093" s="10" t="s">
        <v>288</v>
      </c>
      <c r="F2093" s="10" t="str">
        <f>"2170578215 "</f>
        <v xml:space="preserve">2170578215 </v>
      </c>
      <c r="G2093" s="10" t="str">
        <f>"ON2"</f>
        <v>ON2</v>
      </c>
      <c r="H2093" s="10" t="s">
        <v>21</v>
      </c>
      <c r="I2093" s="10" t="s">
        <v>177</v>
      </c>
      <c r="J2093" s="10" t="str">
        <f>""</f>
        <v/>
      </c>
      <c r="K2093" s="10" t="str">
        <f>"PFES1162563112_0001"</f>
        <v>PFES1162563112_0001</v>
      </c>
      <c r="L2093" s="10">
        <v>1</v>
      </c>
      <c r="M2093" s="10">
        <v>7</v>
      </c>
    </row>
    <row r="2094" spans="1:13">
      <c r="A2094" s="8">
        <v>42934</v>
      </c>
      <c r="B2094" s="9">
        <v>0.52986111111111112</v>
      </c>
      <c r="C2094" s="10" t="str">
        <f>"FES1162563118"</f>
        <v>FES1162563118</v>
      </c>
      <c r="D2094" s="10" t="s">
        <v>19</v>
      </c>
      <c r="E2094" s="10" t="s">
        <v>936</v>
      </c>
      <c r="F2094" s="10" t="str">
        <f>"2170578413 "</f>
        <v xml:space="preserve">2170578413 </v>
      </c>
      <c r="G2094" s="10" t="str">
        <f t="shared" ref="G2094:G2132" si="90">"ON1"</f>
        <v>ON1</v>
      </c>
      <c r="H2094" s="10" t="s">
        <v>21</v>
      </c>
      <c r="I2094" s="10" t="s">
        <v>22</v>
      </c>
      <c r="J2094" s="10" t="str">
        <f>""</f>
        <v/>
      </c>
      <c r="K2094" s="10" t="str">
        <f>"PFES1162563118_0001"</f>
        <v>PFES1162563118_0001</v>
      </c>
      <c r="L2094" s="10">
        <v>1</v>
      </c>
      <c r="M2094" s="10">
        <v>1.1100000000000001</v>
      </c>
    </row>
    <row r="2095" spans="1:13">
      <c r="A2095" s="8">
        <v>42934</v>
      </c>
      <c r="B2095" s="9">
        <v>0.52986111111111112</v>
      </c>
      <c r="C2095" s="10" t="str">
        <f>"FES1162563161"</f>
        <v>FES1162563161</v>
      </c>
      <c r="D2095" s="10" t="s">
        <v>19</v>
      </c>
      <c r="E2095" s="10" t="s">
        <v>99</v>
      </c>
      <c r="F2095" s="10" t="str">
        <f>"2170579675 "</f>
        <v xml:space="preserve">2170579675 </v>
      </c>
      <c r="G2095" s="10" t="str">
        <f t="shared" si="90"/>
        <v>ON1</v>
      </c>
      <c r="H2095" s="10" t="s">
        <v>21</v>
      </c>
      <c r="I2095" s="10" t="s">
        <v>100</v>
      </c>
      <c r="J2095" s="10" t="str">
        <f>""</f>
        <v/>
      </c>
      <c r="K2095" s="10" t="str">
        <f>"PFES1162563161_0001"</f>
        <v>PFES1162563161_0001</v>
      </c>
      <c r="L2095" s="10">
        <v>1</v>
      </c>
      <c r="M2095" s="10">
        <v>1</v>
      </c>
    </row>
    <row r="2096" spans="1:13">
      <c r="A2096" s="8">
        <v>42934</v>
      </c>
      <c r="B2096" s="9">
        <v>0.52916666666666667</v>
      </c>
      <c r="C2096" s="10" t="str">
        <f>"FES1162563200"</f>
        <v>FES1162563200</v>
      </c>
      <c r="D2096" s="10" t="s">
        <v>19</v>
      </c>
      <c r="E2096" s="10" t="s">
        <v>287</v>
      </c>
      <c r="F2096" s="10" t="str">
        <f>"2170579722 "</f>
        <v xml:space="preserve">2170579722 </v>
      </c>
      <c r="G2096" s="10" t="str">
        <f t="shared" si="90"/>
        <v>ON1</v>
      </c>
      <c r="H2096" s="10" t="s">
        <v>21</v>
      </c>
      <c r="I2096" s="10" t="s">
        <v>177</v>
      </c>
      <c r="J2096" s="10" t="str">
        <f>""</f>
        <v/>
      </c>
      <c r="K2096" s="10" t="str">
        <f>"PFES1162563200_0001"</f>
        <v>PFES1162563200_0001</v>
      </c>
      <c r="L2096" s="10">
        <v>1</v>
      </c>
      <c r="M2096" s="10">
        <v>6</v>
      </c>
    </row>
    <row r="2097" spans="1:13">
      <c r="A2097" s="8">
        <v>42934</v>
      </c>
      <c r="B2097" s="9">
        <v>0.52916666666666667</v>
      </c>
      <c r="C2097" s="10" t="str">
        <f>"FES1162563023"</f>
        <v>FES1162563023</v>
      </c>
      <c r="D2097" s="10" t="s">
        <v>19</v>
      </c>
      <c r="E2097" s="10" t="s">
        <v>197</v>
      </c>
      <c r="F2097" s="10" t="str">
        <f>"2170577023 "</f>
        <v xml:space="preserve">2170577023 </v>
      </c>
      <c r="G2097" s="10" t="str">
        <f t="shared" si="90"/>
        <v>ON1</v>
      </c>
      <c r="H2097" s="10" t="s">
        <v>21</v>
      </c>
      <c r="I2097" s="10" t="s">
        <v>198</v>
      </c>
      <c r="J2097" s="10" t="str">
        <f>""</f>
        <v/>
      </c>
      <c r="K2097" s="10" t="str">
        <f>"PFES1162563023_0001"</f>
        <v>PFES1162563023_0001</v>
      </c>
      <c r="L2097" s="10">
        <v>1</v>
      </c>
      <c r="M2097" s="10">
        <v>1</v>
      </c>
    </row>
    <row r="2098" spans="1:13">
      <c r="A2098" s="8">
        <v>42934</v>
      </c>
      <c r="B2098" s="9">
        <v>0.52916666666666667</v>
      </c>
      <c r="C2098" s="10" t="str">
        <f>"FES1162562991"</f>
        <v>FES1162562991</v>
      </c>
      <c r="D2098" s="10" t="s">
        <v>19</v>
      </c>
      <c r="E2098" s="10" t="s">
        <v>413</v>
      </c>
      <c r="F2098" s="10" t="str">
        <f>"2170579641 "</f>
        <v xml:space="preserve">2170579641 </v>
      </c>
      <c r="G2098" s="10" t="str">
        <f t="shared" si="90"/>
        <v>ON1</v>
      </c>
      <c r="H2098" s="10" t="s">
        <v>21</v>
      </c>
      <c r="I2098" s="10" t="s">
        <v>414</v>
      </c>
      <c r="J2098" s="10" t="str">
        <f>""</f>
        <v/>
      </c>
      <c r="K2098" s="10" t="str">
        <f>"PFES1162562991_0001"</f>
        <v>PFES1162562991_0001</v>
      </c>
      <c r="L2098" s="10">
        <v>1</v>
      </c>
      <c r="M2098" s="10">
        <v>1.75</v>
      </c>
    </row>
    <row r="2099" spans="1:13">
      <c r="A2099" s="8">
        <v>42934</v>
      </c>
      <c r="B2099" s="9">
        <v>0.52847222222222223</v>
      </c>
      <c r="C2099" s="10" t="str">
        <f>"FES1162563173"</f>
        <v>FES1162563173</v>
      </c>
      <c r="D2099" s="10" t="s">
        <v>19</v>
      </c>
      <c r="E2099" s="10" t="s">
        <v>107</v>
      </c>
      <c r="F2099" s="10" t="str">
        <f>"2170579692 "</f>
        <v xml:space="preserve">2170579692 </v>
      </c>
      <c r="G2099" s="10" t="str">
        <f t="shared" si="90"/>
        <v>ON1</v>
      </c>
      <c r="H2099" s="10" t="s">
        <v>21</v>
      </c>
      <c r="I2099" s="10" t="s">
        <v>75</v>
      </c>
      <c r="J2099" s="10" t="str">
        <f>""</f>
        <v/>
      </c>
      <c r="K2099" s="10" t="str">
        <f>"PFES1162563173_0001"</f>
        <v>PFES1162563173_0001</v>
      </c>
      <c r="L2099" s="10">
        <v>1</v>
      </c>
      <c r="M2099" s="10">
        <v>1</v>
      </c>
    </row>
    <row r="2100" spans="1:13">
      <c r="A2100" s="8">
        <v>42934</v>
      </c>
      <c r="B2100" s="9">
        <v>0.52847222222222223</v>
      </c>
      <c r="C2100" s="10" t="str">
        <f>"FES1162563132"</f>
        <v>FES1162563132</v>
      </c>
      <c r="D2100" s="10" t="s">
        <v>19</v>
      </c>
      <c r="E2100" s="10" t="s">
        <v>447</v>
      </c>
      <c r="F2100" s="10" t="str">
        <f>"2170579226 "</f>
        <v xml:space="preserve">2170579226 </v>
      </c>
      <c r="G2100" s="10" t="str">
        <f t="shared" si="90"/>
        <v>ON1</v>
      </c>
      <c r="H2100" s="10" t="s">
        <v>21</v>
      </c>
      <c r="I2100" s="10" t="s">
        <v>259</v>
      </c>
      <c r="J2100" s="10" t="str">
        <f>""</f>
        <v/>
      </c>
      <c r="K2100" s="10" t="str">
        <f>"PFES1162563132_0001"</f>
        <v>PFES1162563132_0001</v>
      </c>
      <c r="L2100" s="10">
        <v>1</v>
      </c>
      <c r="M2100" s="10">
        <v>1</v>
      </c>
    </row>
    <row r="2101" spans="1:13">
      <c r="A2101" s="8">
        <v>42934</v>
      </c>
      <c r="B2101" s="9">
        <v>0.52777777777777779</v>
      </c>
      <c r="C2101" s="10" t="str">
        <f>"FES1162563062"</f>
        <v>FES1162563062</v>
      </c>
      <c r="D2101" s="10" t="s">
        <v>19</v>
      </c>
      <c r="E2101" s="10" t="s">
        <v>707</v>
      </c>
      <c r="F2101" s="10" t="str">
        <f>"2170577379 "</f>
        <v xml:space="preserve">2170577379 </v>
      </c>
      <c r="G2101" s="10" t="str">
        <f t="shared" si="90"/>
        <v>ON1</v>
      </c>
      <c r="H2101" s="10" t="s">
        <v>21</v>
      </c>
      <c r="I2101" s="10" t="s">
        <v>402</v>
      </c>
      <c r="J2101" s="10" t="str">
        <f>""</f>
        <v/>
      </c>
      <c r="K2101" s="10" t="str">
        <f>"PFES1162563062_0001"</f>
        <v>PFES1162563062_0001</v>
      </c>
      <c r="L2101" s="10">
        <v>1</v>
      </c>
      <c r="M2101" s="10">
        <v>1</v>
      </c>
    </row>
    <row r="2102" spans="1:13">
      <c r="A2102" s="8">
        <v>42934</v>
      </c>
      <c r="B2102" s="9">
        <v>0.52777777777777779</v>
      </c>
      <c r="C2102" s="10" t="str">
        <f>"FES1162563107"</f>
        <v>FES1162563107</v>
      </c>
      <c r="D2102" s="10" t="s">
        <v>19</v>
      </c>
      <c r="E2102" s="10" t="s">
        <v>245</v>
      </c>
      <c r="F2102" s="10" t="str">
        <f>"2170578453 "</f>
        <v xml:space="preserve">2170578453 </v>
      </c>
      <c r="G2102" s="10" t="str">
        <f t="shared" si="90"/>
        <v>ON1</v>
      </c>
      <c r="H2102" s="10" t="s">
        <v>21</v>
      </c>
      <c r="I2102" s="10" t="s">
        <v>246</v>
      </c>
      <c r="J2102" s="10" t="str">
        <f>""</f>
        <v/>
      </c>
      <c r="K2102" s="10" t="str">
        <f>"PFES1162563107_0001"</f>
        <v>PFES1162563107_0001</v>
      </c>
      <c r="L2102" s="10">
        <v>1</v>
      </c>
      <c r="M2102" s="10">
        <v>1</v>
      </c>
    </row>
    <row r="2103" spans="1:13">
      <c r="A2103" s="8">
        <v>42934</v>
      </c>
      <c r="B2103" s="9">
        <v>0.52777777777777779</v>
      </c>
      <c r="C2103" s="10" t="str">
        <f>"FES1162563222"</f>
        <v>FES1162563222</v>
      </c>
      <c r="D2103" s="10" t="s">
        <v>19</v>
      </c>
      <c r="E2103" s="10" t="s">
        <v>39</v>
      </c>
      <c r="F2103" s="10" t="str">
        <f>"217057979747 "</f>
        <v xml:space="preserve">217057979747 </v>
      </c>
      <c r="G2103" s="10" t="str">
        <f t="shared" si="90"/>
        <v>ON1</v>
      </c>
      <c r="H2103" s="10" t="s">
        <v>21</v>
      </c>
      <c r="I2103" s="10" t="s">
        <v>40</v>
      </c>
      <c r="J2103" s="10" t="str">
        <f>""</f>
        <v/>
      </c>
      <c r="K2103" s="10" t="str">
        <f>"PFES1162563222_0001"</f>
        <v>PFES1162563222_0001</v>
      </c>
      <c r="L2103" s="10">
        <v>1</v>
      </c>
      <c r="M2103" s="10">
        <v>1</v>
      </c>
    </row>
    <row r="2104" spans="1:13">
      <c r="A2104" s="8">
        <v>42934</v>
      </c>
      <c r="B2104" s="9">
        <v>0.52708333333333335</v>
      </c>
      <c r="C2104" s="10" t="str">
        <f>"FES1162563109"</f>
        <v>FES1162563109</v>
      </c>
      <c r="D2104" s="10" t="s">
        <v>19</v>
      </c>
      <c r="E2104" s="10" t="s">
        <v>62</v>
      </c>
      <c r="F2104" s="10" t="str">
        <f>"2170578167 "</f>
        <v xml:space="preserve">2170578167 </v>
      </c>
      <c r="G2104" s="10" t="str">
        <f t="shared" si="90"/>
        <v>ON1</v>
      </c>
      <c r="H2104" s="10" t="s">
        <v>21</v>
      </c>
      <c r="I2104" s="10" t="s">
        <v>40</v>
      </c>
      <c r="J2104" s="10" t="str">
        <f>""</f>
        <v/>
      </c>
      <c r="K2104" s="10" t="str">
        <f>"PFES1162563109_0001"</f>
        <v>PFES1162563109_0001</v>
      </c>
      <c r="L2104" s="10">
        <v>1</v>
      </c>
      <c r="M2104" s="10">
        <v>1</v>
      </c>
    </row>
    <row r="2105" spans="1:13">
      <c r="A2105" s="8">
        <v>42934</v>
      </c>
      <c r="B2105" s="9">
        <v>0.52708333333333335</v>
      </c>
      <c r="C2105" s="10" t="str">
        <f>"FES1162563127"</f>
        <v>FES1162563127</v>
      </c>
      <c r="D2105" s="10" t="s">
        <v>19</v>
      </c>
      <c r="E2105" s="10" t="s">
        <v>148</v>
      </c>
      <c r="F2105" s="10" t="str">
        <f>"2170578954 "</f>
        <v xml:space="preserve">2170578954 </v>
      </c>
      <c r="G2105" s="10" t="str">
        <f t="shared" si="90"/>
        <v>ON1</v>
      </c>
      <c r="H2105" s="10" t="s">
        <v>21</v>
      </c>
      <c r="I2105" s="10" t="s">
        <v>149</v>
      </c>
      <c r="J2105" s="10" t="str">
        <f>""</f>
        <v/>
      </c>
      <c r="K2105" s="10" t="str">
        <f>"PFES1162563127_0001"</f>
        <v>PFES1162563127_0001</v>
      </c>
      <c r="L2105" s="10">
        <v>1</v>
      </c>
      <c r="M2105" s="10">
        <v>1</v>
      </c>
    </row>
    <row r="2106" spans="1:13">
      <c r="A2106" s="8">
        <v>42934</v>
      </c>
      <c r="B2106" s="9">
        <v>0.52638888888888891</v>
      </c>
      <c r="C2106" s="10" t="str">
        <f>"FES1162563166"</f>
        <v>FES1162563166</v>
      </c>
      <c r="D2106" s="10" t="s">
        <v>19</v>
      </c>
      <c r="E2106" s="10" t="s">
        <v>39</v>
      </c>
      <c r="F2106" s="10" t="str">
        <f>"2170576853 "</f>
        <v xml:space="preserve">2170576853 </v>
      </c>
      <c r="G2106" s="10" t="str">
        <f t="shared" si="90"/>
        <v>ON1</v>
      </c>
      <c r="H2106" s="10" t="s">
        <v>21</v>
      </c>
      <c r="I2106" s="10" t="s">
        <v>40</v>
      </c>
      <c r="J2106" s="10" t="str">
        <f>""</f>
        <v/>
      </c>
      <c r="K2106" s="10" t="str">
        <f>"PFES1162563166_0001"</f>
        <v>PFES1162563166_0001</v>
      </c>
      <c r="L2106" s="10">
        <v>1</v>
      </c>
      <c r="M2106" s="10">
        <v>1</v>
      </c>
    </row>
    <row r="2107" spans="1:13">
      <c r="A2107" s="8">
        <v>42934</v>
      </c>
      <c r="B2107" s="9">
        <v>0.52638888888888891</v>
      </c>
      <c r="C2107" s="10" t="str">
        <f>"FES1162563121"</f>
        <v>FES1162563121</v>
      </c>
      <c r="D2107" s="10" t="s">
        <v>19</v>
      </c>
      <c r="E2107" s="10" t="s">
        <v>148</v>
      </c>
      <c r="F2107" s="10" t="str">
        <f>"2170578454 "</f>
        <v xml:space="preserve">2170578454 </v>
      </c>
      <c r="G2107" s="10" t="str">
        <f t="shared" si="90"/>
        <v>ON1</v>
      </c>
      <c r="H2107" s="10" t="s">
        <v>21</v>
      </c>
      <c r="I2107" s="10" t="s">
        <v>149</v>
      </c>
      <c r="J2107" s="10" t="str">
        <f>""</f>
        <v/>
      </c>
      <c r="K2107" s="10" t="str">
        <f>"PFES1162563121_0001"</f>
        <v>PFES1162563121_0001</v>
      </c>
      <c r="L2107" s="10">
        <v>1</v>
      </c>
      <c r="M2107" s="10">
        <v>1</v>
      </c>
    </row>
    <row r="2108" spans="1:13">
      <c r="A2108" s="8">
        <v>42934</v>
      </c>
      <c r="B2108" s="9">
        <v>0.52638888888888891</v>
      </c>
      <c r="C2108" s="10" t="str">
        <f>"FES1162563117"</f>
        <v>FES1162563117</v>
      </c>
      <c r="D2108" s="10" t="s">
        <v>19</v>
      </c>
      <c r="E2108" s="10" t="s">
        <v>937</v>
      </c>
      <c r="F2108" s="10" t="str">
        <f>"2170578356 "</f>
        <v xml:space="preserve">2170578356 </v>
      </c>
      <c r="G2108" s="10" t="str">
        <f t="shared" si="90"/>
        <v>ON1</v>
      </c>
      <c r="H2108" s="10" t="s">
        <v>21</v>
      </c>
      <c r="I2108" s="10" t="s">
        <v>226</v>
      </c>
      <c r="J2108" s="10" t="str">
        <f>""</f>
        <v/>
      </c>
      <c r="K2108" s="10" t="str">
        <f>"PFES1162563117_0001"</f>
        <v>PFES1162563117_0001</v>
      </c>
      <c r="L2108" s="10">
        <v>1</v>
      </c>
      <c r="M2108" s="10">
        <v>1</v>
      </c>
    </row>
    <row r="2109" spans="1:13">
      <c r="A2109" s="8">
        <v>42934</v>
      </c>
      <c r="B2109" s="9">
        <v>0.52569444444444446</v>
      </c>
      <c r="C2109" s="10" t="str">
        <f>"FES1162563205"</f>
        <v>FES1162563205</v>
      </c>
      <c r="D2109" s="10" t="s">
        <v>19</v>
      </c>
      <c r="E2109" s="10" t="s">
        <v>62</v>
      </c>
      <c r="F2109" s="10" t="str">
        <f>"2170579730 "</f>
        <v xml:space="preserve">2170579730 </v>
      </c>
      <c r="G2109" s="10" t="str">
        <f t="shared" si="90"/>
        <v>ON1</v>
      </c>
      <c r="H2109" s="10" t="s">
        <v>21</v>
      </c>
      <c r="I2109" s="10" t="s">
        <v>402</v>
      </c>
      <c r="J2109" s="10" t="str">
        <f>""</f>
        <v/>
      </c>
      <c r="K2109" s="10" t="str">
        <f>"PFES1162563205_0001"</f>
        <v>PFES1162563205_0001</v>
      </c>
      <c r="L2109" s="10">
        <v>1</v>
      </c>
      <c r="M2109" s="10">
        <v>1.35</v>
      </c>
    </row>
    <row r="2110" spans="1:13">
      <c r="A2110" s="8">
        <v>42934</v>
      </c>
      <c r="B2110" s="9">
        <v>0.52569444444444446</v>
      </c>
      <c r="C2110" s="10" t="str">
        <f>"FES1162563123"</f>
        <v>FES1162563123</v>
      </c>
      <c r="D2110" s="10" t="s">
        <v>19</v>
      </c>
      <c r="E2110" s="10" t="s">
        <v>779</v>
      </c>
      <c r="F2110" s="10" t="str">
        <f>"2170578520 "</f>
        <v xml:space="preserve">2170578520 </v>
      </c>
      <c r="G2110" s="10" t="str">
        <f t="shared" si="90"/>
        <v>ON1</v>
      </c>
      <c r="H2110" s="10" t="s">
        <v>21</v>
      </c>
      <c r="I2110" s="10" t="s">
        <v>780</v>
      </c>
      <c r="J2110" s="10" t="str">
        <f>""</f>
        <v/>
      </c>
      <c r="K2110" s="10" t="str">
        <f>"PFES1162563123_0001"</f>
        <v>PFES1162563123_0001</v>
      </c>
      <c r="L2110" s="10">
        <v>1</v>
      </c>
      <c r="M2110" s="10">
        <v>1</v>
      </c>
    </row>
    <row r="2111" spans="1:13">
      <c r="A2111" s="8">
        <v>42934</v>
      </c>
      <c r="B2111" s="9">
        <v>0.52500000000000002</v>
      </c>
      <c r="C2111" s="10" t="str">
        <f>"FES1162563223"</f>
        <v>FES1162563223</v>
      </c>
      <c r="D2111" s="10" t="s">
        <v>19</v>
      </c>
      <c r="E2111" s="10" t="s">
        <v>39</v>
      </c>
      <c r="F2111" s="10" t="str">
        <f>"2170579749 "</f>
        <v xml:space="preserve">2170579749 </v>
      </c>
      <c r="G2111" s="10" t="str">
        <f t="shared" si="90"/>
        <v>ON1</v>
      </c>
      <c r="H2111" s="10" t="s">
        <v>21</v>
      </c>
      <c r="I2111" s="10" t="s">
        <v>40</v>
      </c>
      <c r="J2111" s="10" t="str">
        <f>""</f>
        <v/>
      </c>
      <c r="K2111" s="10" t="str">
        <f>"PFES1162563223_0001"</f>
        <v>PFES1162563223_0001</v>
      </c>
      <c r="L2111" s="10">
        <v>1</v>
      </c>
      <c r="M2111" s="10">
        <v>1</v>
      </c>
    </row>
    <row r="2112" spans="1:13">
      <c r="A2112" s="8">
        <v>42934</v>
      </c>
      <c r="B2112" s="9">
        <v>0.52500000000000002</v>
      </c>
      <c r="C2112" s="10" t="str">
        <f>"FES1162563084"</f>
        <v>FES1162563084</v>
      </c>
      <c r="D2112" s="10" t="s">
        <v>19</v>
      </c>
      <c r="E2112" s="10" t="s">
        <v>39</v>
      </c>
      <c r="F2112" s="10" t="str">
        <f>"2170577583 "</f>
        <v xml:space="preserve">2170577583 </v>
      </c>
      <c r="G2112" s="10" t="str">
        <f t="shared" si="90"/>
        <v>ON1</v>
      </c>
      <c r="H2112" s="10" t="s">
        <v>21</v>
      </c>
      <c r="I2112" s="10" t="s">
        <v>40</v>
      </c>
      <c r="J2112" s="10" t="str">
        <f>""</f>
        <v/>
      </c>
      <c r="K2112" s="10" t="str">
        <f>"PFES1162563084_0001"</f>
        <v>PFES1162563084_0001</v>
      </c>
      <c r="L2112" s="10">
        <v>1</v>
      </c>
      <c r="M2112" s="10">
        <v>1</v>
      </c>
    </row>
    <row r="2113" spans="1:13">
      <c r="A2113" s="8">
        <v>42934</v>
      </c>
      <c r="B2113" s="9">
        <v>0.52430555555555558</v>
      </c>
      <c r="C2113" s="10" t="str">
        <f>"FES1162563162"</f>
        <v>FES1162563162</v>
      </c>
      <c r="D2113" s="10" t="s">
        <v>19</v>
      </c>
      <c r="E2113" s="10" t="s">
        <v>938</v>
      </c>
      <c r="F2113" s="10" t="str">
        <f>"21705786339 "</f>
        <v xml:space="preserve">21705786339 </v>
      </c>
      <c r="G2113" s="10" t="str">
        <f t="shared" si="90"/>
        <v>ON1</v>
      </c>
      <c r="H2113" s="10" t="s">
        <v>21</v>
      </c>
      <c r="I2113" s="10" t="s">
        <v>400</v>
      </c>
      <c r="J2113" s="10" t="str">
        <f>""</f>
        <v/>
      </c>
      <c r="K2113" s="10" t="str">
        <f>"PFES1162563162_0001"</f>
        <v>PFES1162563162_0001</v>
      </c>
      <c r="L2113" s="10">
        <v>1</v>
      </c>
      <c r="M2113" s="10">
        <v>1</v>
      </c>
    </row>
    <row r="2114" spans="1:13">
      <c r="A2114" s="8">
        <v>42934</v>
      </c>
      <c r="B2114" s="9">
        <v>0.5229166666666667</v>
      </c>
      <c r="C2114" s="10" t="str">
        <f>"FES1162563157"</f>
        <v>FES1162563157</v>
      </c>
      <c r="D2114" s="10" t="s">
        <v>19</v>
      </c>
      <c r="E2114" s="10" t="s">
        <v>939</v>
      </c>
      <c r="F2114" s="10" t="str">
        <f>"2170579669 "</f>
        <v xml:space="preserve">2170579669 </v>
      </c>
      <c r="G2114" s="10" t="str">
        <f t="shared" si="90"/>
        <v>ON1</v>
      </c>
      <c r="H2114" s="10" t="s">
        <v>21</v>
      </c>
      <c r="I2114" s="10" t="s">
        <v>940</v>
      </c>
      <c r="J2114" s="10" t="str">
        <f>""</f>
        <v/>
      </c>
      <c r="K2114" s="10" t="str">
        <f>"PFES1162563157_0001"</f>
        <v>PFES1162563157_0001</v>
      </c>
      <c r="L2114" s="10">
        <v>1</v>
      </c>
      <c r="M2114" s="10">
        <v>1</v>
      </c>
    </row>
    <row r="2115" spans="1:13">
      <c r="A2115" s="8">
        <v>42934</v>
      </c>
      <c r="B2115" s="9">
        <v>0.52222222222222225</v>
      </c>
      <c r="C2115" s="10" t="str">
        <f>"FES1162562988"</f>
        <v>FES1162562988</v>
      </c>
      <c r="D2115" s="10" t="s">
        <v>19</v>
      </c>
      <c r="E2115" s="10" t="s">
        <v>269</v>
      </c>
      <c r="F2115" s="10" t="str">
        <f>"2170576398 "</f>
        <v xml:space="preserve">2170576398 </v>
      </c>
      <c r="G2115" s="10" t="str">
        <f t="shared" si="90"/>
        <v>ON1</v>
      </c>
      <c r="H2115" s="10" t="s">
        <v>21</v>
      </c>
      <c r="I2115" s="10" t="s">
        <v>405</v>
      </c>
      <c r="J2115" s="10" t="str">
        <f>""</f>
        <v/>
      </c>
      <c r="K2115" s="10" t="str">
        <f>"PFES1162562988_0001"</f>
        <v>PFES1162562988_0001</v>
      </c>
      <c r="L2115" s="10">
        <v>1</v>
      </c>
      <c r="M2115" s="10">
        <v>1</v>
      </c>
    </row>
    <row r="2116" spans="1:13">
      <c r="A2116" s="8">
        <v>42934</v>
      </c>
      <c r="B2116" s="9">
        <v>0.52152777777777781</v>
      </c>
      <c r="C2116" s="10" t="str">
        <f>"FES1162563156"</f>
        <v>FES1162563156</v>
      </c>
      <c r="D2116" s="10" t="s">
        <v>19</v>
      </c>
      <c r="E2116" s="10" t="s">
        <v>381</v>
      </c>
      <c r="F2116" s="10" t="str">
        <f>"2170579673 "</f>
        <v xml:space="preserve">2170579673 </v>
      </c>
      <c r="G2116" s="10" t="str">
        <f t="shared" si="90"/>
        <v>ON1</v>
      </c>
      <c r="H2116" s="10" t="s">
        <v>21</v>
      </c>
      <c r="I2116" s="10" t="s">
        <v>149</v>
      </c>
      <c r="J2116" s="10" t="str">
        <f>""</f>
        <v/>
      </c>
      <c r="K2116" s="10" t="str">
        <f>"PFES1162563156_0001"</f>
        <v>PFES1162563156_0001</v>
      </c>
      <c r="L2116" s="10">
        <v>1</v>
      </c>
      <c r="M2116" s="10">
        <v>2</v>
      </c>
    </row>
    <row r="2117" spans="1:13">
      <c r="A2117" s="8">
        <v>42934</v>
      </c>
      <c r="B2117" s="9">
        <v>0.52013888888888882</v>
      </c>
      <c r="C2117" s="10" t="str">
        <f>"FES1162563098"</f>
        <v>FES1162563098</v>
      </c>
      <c r="D2117" s="10" t="s">
        <v>19</v>
      </c>
      <c r="E2117" s="10" t="s">
        <v>551</v>
      </c>
      <c r="F2117" s="10" t="str">
        <f>"2170577790 "</f>
        <v xml:space="preserve">2170577790 </v>
      </c>
      <c r="G2117" s="10" t="str">
        <f t="shared" si="90"/>
        <v>ON1</v>
      </c>
      <c r="H2117" s="10" t="s">
        <v>21</v>
      </c>
      <c r="I2117" s="10" t="s">
        <v>163</v>
      </c>
      <c r="J2117" s="10" t="str">
        <f>""</f>
        <v/>
      </c>
      <c r="K2117" s="10" t="str">
        <f>"PFES1162563098_0001"</f>
        <v>PFES1162563098_0001</v>
      </c>
      <c r="L2117" s="10">
        <v>1</v>
      </c>
      <c r="M2117" s="10">
        <v>4</v>
      </c>
    </row>
    <row r="2118" spans="1:13">
      <c r="A2118" s="8">
        <v>42934</v>
      </c>
      <c r="B2118" s="9">
        <v>0.51874999999999993</v>
      </c>
      <c r="C2118" s="10" t="str">
        <f>"FES1162563177"</f>
        <v>FES1162563177</v>
      </c>
      <c r="D2118" s="10" t="s">
        <v>19</v>
      </c>
      <c r="E2118" s="10" t="s">
        <v>403</v>
      </c>
      <c r="F2118" s="10" t="str">
        <f>"2170579699 "</f>
        <v xml:space="preserve">2170579699 </v>
      </c>
      <c r="G2118" s="10" t="str">
        <f t="shared" si="90"/>
        <v>ON1</v>
      </c>
      <c r="H2118" s="10" t="s">
        <v>21</v>
      </c>
      <c r="I2118" s="10" t="s">
        <v>222</v>
      </c>
      <c r="J2118" s="10" t="str">
        <f>""</f>
        <v/>
      </c>
      <c r="K2118" s="10" t="str">
        <f>"PFES1162563177_0001"</f>
        <v>PFES1162563177_0001</v>
      </c>
      <c r="L2118" s="10">
        <v>1</v>
      </c>
      <c r="M2118" s="10">
        <v>3</v>
      </c>
    </row>
    <row r="2119" spans="1:13">
      <c r="A2119" s="8">
        <v>42934</v>
      </c>
      <c r="B2119" s="9">
        <v>0.50694444444444442</v>
      </c>
      <c r="C2119" s="10" t="str">
        <f>"FES1162563160"</f>
        <v>FES1162563160</v>
      </c>
      <c r="D2119" s="10" t="s">
        <v>19</v>
      </c>
      <c r="E2119" s="10" t="s">
        <v>78</v>
      </c>
      <c r="F2119" s="10" t="str">
        <f>"2170579672 "</f>
        <v xml:space="preserve">2170579672 </v>
      </c>
      <c r="G2119" s="10" t="str">
        <f t="shared" si="90"/>
        <v>ON1</v>
      </c>
      <c r="H2119" s="10" t="s">
        <v>21</v>
      </c>
      <c r="I2119" s="10" t="s">
        <v>79</v>
      </c>
      <c r="J2119" s="10" t="str">
        <f>""</f>
        <v/>
      </c>
      <c r="K2119" s="10" t="str">
        <f>"PFES1162563160_0001"</f>
        <v>PFES1162563160_0001</v>
      </c>
      <c r="L2119" s="10">
        <v>1</v>
      </c>
      <c r="M2119" s="10">
        <v>1</v>
      </c>
    </row>
    <row r="2120" spans="1:13">
      <c r="A2120" s="8">
        <v>42934</v>
      </c>
      <c r="B2120" s="9">
        <v>0.50624999999999998</v>
      </c>
      <c r="C2120" s="10" t="str">
        <f>"FES1162563007"</f>
        <v>FES1162563007</v>
      </c>
      <c r="D2120" s="10" t="s">
        <v>19</v>
      </c>
      <c r="E2120" s="10" t="s">
        <v>272</v>
      </c>
      <c r="F2120" s="10" t="str">
        <f>"2170574760 "</f>
        <v xml:space="preserve">2170574760 </v>
      </c>
      <c r="G2120" s="10" t="str">
        <f t="shared" si="90"/>
        <v>ON1</v>
      </c>
      <c r="H2120" s="10" t="s">
        <v>21</v>
      </c>
      <c r="I2120" s="10" t="s">
        <v>166</v>
      </c>
      <c r="J2120" s="10" t="str">
        <f>""</f>
        <v/>
      </c>
      <c r="K2120" s="10" t="str">
        <f>"PFES1162563007_0001"</f>
        <v>PFES1162563007_0001</v>
      </c>
      <c r="L2120" s="10">
        <v>1</v>
      </c>
      <c r="M2120" s="10">
        <v>1</v>
      </c>
    </row>
    <row r="2121" spans="1:13">
      <c r="A2121" s="8">
        <v>42934</v>
      </c>
      <c r="B2121" s="9">
        <v>0.50486111111111109</v>
      </c>
      <c r="C2121" s="10" t="str">
        <f>"FES1162563172"</f>
        <v>FES1162563172</v>
      </c>
      <c r="D2121" s="10" t="s">
        <v>19</v>
      </c>
      <c r="E2121" s="10" t="s">
        <v>269</v>
      </c>
      <c r="F2121" s="10" t="str">
        <f>"2170579691 "</f>
        <v xml:space="preserve">2170579691 </v>
      </c>
      <c r="G2121" s="10" t="str">
        <f t="shared" si="90"/>
        <v>ON1</v>
      </c>
      <c r="H2121" s="10" t="s">
        <v>21</v>
      </c>
      <c r="I2121" s="10" t="s">
        <v>52</v>
      </c>
      <c r="J2121" s="10" t="str">
        <f>""</f>
        <v/>
      </c>
      <c r="K2121" s="10" t="str">
        <f>"PFES1162563172_0001"</f>
        <v>PFES1162563172_0001</v>
      </c>
      <c r="L2121" s="10">
        <v>1</v>
      </c>
      <c r="M2121" s="10">
        <v>1</v>
      </c>
    </row>
    <row r="2122" spans="1:13">
      <c r="A2122" s="8">
        <v>42934</v>
      </c>
      <c r="B2122" s="9">
        <v>0.50416666666666665</v>
      </c>
      <c r="C2122" s="10" t="str">
        <f>"FES1162563232"</f>
        <v>FES1162563232</v>
      </c>
      <c r="D2122" s="10" t="s">
        <v>19</v>
      </c>
      <c r="E2122" s="10" t="s">
        <v>941</v>
      </c>
      <c r="F2122" s="10" t="str">
        <f>"2170579191 "</f>
        <v xml:space="preserve">2170579191 </v>
      </c>
      <c r="G2122" s="10" t="str">
        <f t="shared" si="90"/>
        <v>ON1</v>
      </c>
      <c r="H2122" s="10" t="s">
        <v>21</v>
      </c>
      <c r="I2122" s="10" t="s">
        <v>942</v>
      </c>
      <c r="J2122" s="10" t="str">
        <f>""</f>
        <v/>
      </c>
      <c r="K2122" s="10" t="str">
        <f>"PFES1162563232_0001"</f>
        <v>PFES1162563232_0001</v>
      </c>
      <c r="L2122" s="10">
        <v>1</v>
      </c>
      <c r="M2122" s="10">
        <v>1</v>
      </c>
    </row>
    <row r="2123" spans="1:13">
      <c r="A2123" s="8">
        <v>42934</v>
      </c>
      <c r="B2123" s="9">
        <v>0.50277777777777777</v>
      </c>
      <c r="C2123" s="10" t="str">
        <f>"FES1162563108"</f>
        <v>FES1162563108</v>
      </c>
      <c r="D2123" s="10" t="s">
        <v>19</v>
      </c>
      <c r="E2123" s="10" t="s">
        <v>366</v>
      </c>
      <c r="F2123" s="10" t="str">
        <f>"2170578165 "</f>
        <v xml:space="preserve">2170578165 </v>
      </c>
      <c r="G2123" s="10" t="str">
        <f t="shared" si="90"/>
        <v>ON1</v>
      </c>
      <c r="H2123" s="10" t="s">
        <v>21</v>
      </c>
      <c r="I2123" s="10" t="s">
        <v>234</v>
      </c>
      <c r="J2123" s="10" t="str">
        <f>""</f>
        <v/>
      </c>
      <c r="K2123" s="10" t="str">
        <f>"PFES1162563108_0001"</f>
        <v>PFES1162563108_0001</v>
      </c>
      <c r="L2123" s="10">
        <v>1</v>
      </c>
      <c r="M2123" s="10">
        <v>1</v>
      </c>
    </row>
    <row r="2124" spans="1:13">
      <c r="A2124" s="8">
        <v>42934</v>
      </c>
      <c r="B2124" s="9">
        <v>0.50208333333333333</v>
      </c>
      <c r="C2124" s="10" t="str">
        <f>"FES1162563077"</f>
        <v>FES1162563077</v>
      </c>
      <c r="D2124" s="10" t="s">
        <v>19</v>
      </c>
      <c r="E2124" s="10" t="s">
        <v>78</v>
      </c>
      <c r="F2124" s="10" t="str">
        <f>"2170577533 "</f>
        <v xml:space="preserve">2170577533 </v>
      </c>
      <c r="G2124" s="10" t="str">
        <f t="shared" si="90"/>
        <v>ON1</v>
      </c>
      <c r="H2124" s="10" t="s">
        <v>21</v>
      </c>
      <c r="I2124" s="10" t="s">
        <v>79</v>
      </c>
      <c r="J2124" s="10" t="str">
        <f>""</f>
        <v/>
      </c>
      <c r="K2124" s="10" t="str">
        <f>"PFES1162563077_0001"</f>
        <v>PFES1162563077_0001</v>
      </c>
      <c r="L2124" s="10">
        <v>1</v>
      </c>
      <c r="M2124" s="10">
        <v>1</v>
      </c>
    </row>
    <row r="2125" spans="1:13">
      <c r="A2125" s="8">
        <v>42934</v>
      </c>
      <c r="B2125" s="9">
        <v>0.50208333333333333</v>
      </c>
      <c r="C2125" s="10" t="str">
        <f>"FES1162563131"</f>
        <v>FES1162563131</v>
      </c>
      <c r="D2125" s="10" t="s">
        <v>19</v>
      </c>
      <c r="E2125" s="10" t="s">
        <v>190</v>
      </c>
      <c r="F2125" s="10" t="str">
        <f>"2170579217 "</f>
        <v xml:space="preserve">2170579217 </v>
      </c>
      <c r="G2125" s="10" t="str">
        <f t="shared" si="90"/>
        <v>ON1</v>
      </c>
      <c r="H2125" s="10" t="s">
        <v>21</v>
      </c>
      <c r="I2125" s="10" t="s">
        <v>52</v>
      </c>
      <c r="J2125" s="10" t="str">
        <f>""</f>
        <v/>
      </c>
      <c r="K2125" s="10" t="str">
        <f>"PFES1162563131_0001"</f>
        <v>PFES1162563131_0001</v>
      </c>
      <c r="L2125" s="10">
        <v>1</v>
      </c>
      <c r="M2125" s="10">
        <v>4</v>
      </c>
    </row>
    <row r="2126" spans="1:13">
      <c r="A2126" s="8">
        <v>42934</v>
      </c>
      <c r="B2126" s="9">
        <v>0.50138888888888888</v>
      </c>
      <c r="C2126" s="10" t="str">
        <f>"FES1162563217"</f>
        <v>FES1162563217</v>
      </c>
      <c r="D2126" s="10" t="s">
        <v>19</v>
      </c>
      <c r="E2126" s="10" t="s">
        <v>366</v>
      </c>
      <c r="F2126" s="10" t="str">
        <f>"2170579726 "</f>
        <v xml:space="preserve">2170579726 </v>
      </c>
      <c r="G2126" s="10" t="str">
        <f t="shared" si="90"/>
        <v>ON1</v>
      </c>
      <c r="H2126" s="10" t="s">
        <v>21</v>
      </c>
      <c r="I2126" s="10" t="s">
        <v>234</v>
      </c>
      <c r="J2126" s="10" t="str">
        <f>""</f>
        <v/>
      </c>
      <c r="K2126" s="10" t="str">
        <f>"PFES1162563217_0001"</f>
        <v>PFES1162563217_0001</v>
      </c>
      <c r="L2126" s="10">
        <v>1</v>
      </c>
      <c r="M2126" s="10">
        <v>2</v>
      </c>
    </row>
    <row r="2127" spans="1:13">
      <c r="A2127" s="8">
        <v>42934</v>
      </c>
      <c r="B2127" s="9">
        <v>0.50069444444444444</v>
      </c>
      <c r="C2127" s="10" t="str">
        <f>"FES1162563099"</f>
        <v>FES1162563099</v>
      </c>
      <c r="D2127" s="10" t="s">
        <v>19</v>
      </c>
      <c r="E2127" s="10" t="s">
        <v>255</v>
      </c>
      <c r="F2127" s="10" t="str">
        <f>"2170577846 "</f>
        <v xml:space="preserve">2170577846 </v>
      </c>
      <c r="G2127" s="10" t="str">
        <f t="shared" si="90"/>
        <v>ON1</v>
      </c>
      <c r="H2127" s="10" t="s">
        <v>21</v>
      </c>
      <c r="I2127" s="10" t="s">
        <v>256</v>
      </c>
      <c r="J2127" s="10" t="str">
        <f>""</f>
        <v/>
      </c>
      <c r="K2127" s="10" t="str">
        <f>"PFES1162563099_0001"</f>
        <v>PFES1162563099_0001</v>
      </c>
      <c r="L2127" s="10">
        <v>1</v>
      </c>
      <c r="M2127" s="10">
        <v>3</v>
      </c>
    </row>
    <row r="2128" spans="1:13">
      <c r="A2128" s="8">
        <v>42934</v>
      </c>
      <c r="B2128" s="9">
        <v>0.50069444444444444</v>
      </c>
      <c r="C2128" s="10" t="str">
        <f>"FES1162563080"</f>
        <v>FES1162563080</v>
      </c>
      <c r="D2128" s="10" t="s">
        <v>19</v>
      </c>
      <c r="E2128" s="10" t="s">
        <v>264</v>
      </c>
      <c r="F2128" s="10" t="str">
        <f>"217057555 "</f>
        <v xml:space="preserve">217057555 </v>
      </c>
      <c r="G2128" s="10" t="str">
        <f t="shared" si="90"/>
        <v>ON1</v>
      </c>
      <c r="H2128" s="10" t="s">
        <v>21</v>
      </c>
      <c r="I2128" s="10" t="s">
        <v>240</v>
      </c>
      <c r="J2128" s="10" t="str">
        <f>""</f>
        <v/>
      </c>
      <c r="K2128" s="10" t="str">
        <f>"PFES1162563080_0001"</f>
        <v>PFES1162563080_0001</v>
      </c>
      <c r="L2128" s="10">
        <v>1</v>
      </c>
      <c r="M2128" s="10">
        <v>1</v>
      </c>
    </row>
    <row r="2129" spans="1:13">
      <c r="A2129" s="8">
        <v>42934</v>
      </c>
      <c r="B2129" s="9">
        <v>0.5</v>
      </c>
      <c r="C2129" s="10" t="str">
        <f>"FES1162563176"</f>
        <v>FES1162563176</v>
      </c>
      <c r="D2129" s="10" t="s">
        <v>19</v>
      </c>
      <c r="E2129" s="10" t="s">
        <v>922</v>
      </c>
      <c r="F2129" s="10" t="str">
        <f>"2170579689 "</f>
        <v xml:space="preserve">2170579689 </v>
      </c>
      <c r="G2129" s="10" t="str">
        <f t="shared" si="90"/>
        <v>ON1</v>
      </c>
      <c r="H2129" s="10" t="s">
        <v>21</v>
      </c>
      <c r="I2129" s="10" t="s">
        <v>923</v>
      </c>
      <c r="J2129" s="10" t="str">
        <f>""</f>
        <v/>
      </c>
      <c r="K2129" s="10" t="str">
        <f>"PFES1162563176_0001"</f>
        <v>PFES1162563176_0001</v>
      </c>
      <c r="L2129" s="10">
        <v>1</v>
      </c>
      <c r="M2129" s="10">
        <v>1</v>
      </c>
    </row>
    <row r="2130" spans="1:13">
      <c r="A2130" s="8">
        <v>42934</v>
      </c>
      <c r="B2130" s="9">
        <v>0.5</v>
      </c>
      <c r="C2130" s="10" t="str">
        <f>"FES1162563106"</f>
        <v>FES1162563106</v>
      </c>
      <c r="D2130" s="10" t="s">
        <v>19</v>
      </c>
      <c r="E2130" s="10" t="s">
        <v>255</v>
      </c>
      <c r="F2130" s="10" t="str">
        <f>"2170578144 "</f>
        <v xml:space="preserve">2170578144 </v>
      </c>
      <c r="G2130" s="10" t="str">
        <f t="shared" si="90"/>
        <v>ON1</v>
      </c>
      <c r="H2130" s="10" t="s">
        <v>21</v>
      </c>
      <c r="I2130" s="10" t="s">
        <v>256</v>
      </c>
      <c r="J2130" s="10" t="str">
        <f>""</f>
        <v/>
      </c>
      <c r="K2130" s="10" t="str">
        <f>"PFES1162563106_0001"</f>
        <v>PFES1162563106_0001</v>
      </c>
      <c r="L2130" s="10">
        <v>1</v>
      </c>
      <c r="M2130" s="10">
        <v>1</v>
      </c>
    </row>
    <row r="2131" spans="1:13">
      <c r="A2131" s="8">
        <v>42934</v>
      </c>
      <c r="B2131" s="9">
        <v>0.4993055555555555</v>
      </c>
      <c r="C2131" s="10" t="str">
        <f>"FES1162563210"</f>
        <v>FES1162563210</v>
      </c>
      <c r="D2131" s="10" t="s">
        <v>19</v>
      </c>
      <c r="E2131" s="10" t="s">
        <v>255</v>
      </c>
      <c r="F2131" s="10" t="str">
        <f>"2170579791 "</f>
        <v xml:space="preserve">2170579791 </v>
      </c>
      <c r="G2131" s="10" t="str">
        <f t="shared" si="90"/>
        <v>ON1</v>
      </c>
      <c r="H2131" s="10" t="s">
        <v>21</v>
      </c>
      <c r="I2131" s="10" t="s">
        <v>256</v>
      </c>
      <c r="J2131" s="10" t="str">
        <f>""</f>
        <v/>
      </c>
      <c r="K2131" s="10" t="str">
        <f>"PFES1162563210_0001"</f>
        <v>PFES1162563210_0001</v>
      </c>
      <c r="L2131" s="10">
        <v>1</v>
      </c>
      <c r="M2131" s="10">
        <v>1</v>
      </c>
    </row>
    <row r="2132" spans="1:13">
      <c r="A2132" s="8">
        <v>42934</v>
      </c>
      <c r="B2132" s="9">
        <v>0.4993055555555555</v>
      </c>
      <c r="C2132" s="10" t="str">
        <f>"FES1162563231"</f>
        <v>FES1162563231</v>
      </c>
      <c r="D2132" s="10" t="s">
        <v>19</v>
      </c>
      <c r="E2132" s="10" t="s">
        <v>943</v>
      </c>
      <c r="F2132" s="10" t="str">
        <f>"21757957 "</f>
        <v xml:space="preserve">21757957 </v>
      </c>
      <c r="G2132" s="10" t="str">
        <f t="shared" si="90"/>
        <v>ON1</v>
      </c>
      <c r="H2132" s="10" t="s">
        <v>21</v>
      </c>
      <c r="I2132" s="10" t="s">
        <v>68</v>
      </c>
      <c r="J2132" s="10" t="str">
        <f>""</f>
        <v/>
      </c>
      <c r="K2132" s="10" t="str">
        <f>"PFES1162563231_0001"</f>
        <v>PFES1162563231_0001</v>
      </c>
      <c r="L2132" s="10">
        <v>1</v>
      </c>
      <c r="M2132" s="10">
        <v>1</v>
      </c>
    </row>
    <row r="2133" spans="1:13">
      <c r="A2133" s="8">
        <v>42934</v>
      </c>
      <c r="B2133" s="9">
        <v>0.4826388888888889</v>
      </c>
      <c r="C2133" s="10" t="str">
        <f>"009935791620"</f>
        <v>009935791620</v>
      </c>
      <c r="D2133" s="10" t="s">
        <v>362</v>
      </c>
      <c r="E2133" s="10" t="s">
        <v>39</v>
      </c>
      <c r="F2133" s="10" t="str">
        <f>"1162553558 "</f>
        <v xml:space="preserve">1162553558 </v>
      </c>
      <c r="G2133" s="10" t="str">
        <f>"DBC"</f>
        <v>DBC</v>
      </c>
      <c r="H2133" s="10" t="s">
        <v>21</v>
      </c>
      <c r="I2133" s="10" t="s">
        <v>40</v>
      </c>
      <c r="J2133" s="10" t="str">
        <f>""</f>
        <v/>
      </c>
      <c r="K2133" s="10" t="str">
        <f>"P009935791620_0001"</f>
        <v>P009935791620_0001</v>
      </c>
      <c r="L2133" s="10">
        <v>1</v>
      </c>
      <c r="M2133" s="10">
        <v>5</v>
      </c>
    </row>
    <row r="2134" spans="1:13">
      <c r="A2134" s="8">
        <v>42934</v>
      </c>
      <c r="B2134" s="9">
        <v>0.4777777777777778</v>
      </c>
      <c r="C2134" s="10" t="str">
        <f>"FES1162563008"</f>
        <v>FES1162563008</v>
      </c>
      <c r="D2134" s="10" t="s">
        <v>19</v>
      </c>
      <c r="E2134" s="10" t="s">
        <v>249</v>
      </c>
      <c r="F2134" s="10" t="str">
        <f>"2170574772 "</f>
        <v xml:space="preserve">2170574772 </v>
      </c>
      <c r="G2134" s="10" t="str">
        <f>"ON1"</f>
        <v>ON1</v>
      </c>
      <c r="H2134" s="10" t="s">
        <v>21</v>
      </c>
      <c r="I2134" s="10" t="s">
        <v>166</v>
      </c>
      <c r="J2134" s="10" t="str">
        <f>""</f>
        <v/>
      </c>
      <c r="K2134" s="10" t="str">
        <f>"PFES1162563008_0001"</f>
        <v>PFES1162563008_0001</v>
      </c>
      <c r="L2134" s="10">
        <v>1</v>
      </c>
      <c r="M2134" s="10">
        <v>12</v>
      </c>
    </row>
    <row r="2135" spans="1:13">
      <c r="A2135" s="8">
        <v>42934</v>
      </c>
      <c r="B2135" s="9">
        <v>0.47638888888888892</v>
      </c>
      <c r="C2135" s="10" t="str">
        <f>"FES1162562970"</f>
        <v>FES1162562970</v>
      </c>
      <c r="D2135" s="10" t="s">
        <v>19</v>
      </c>
      <c r="E2135" s="10" t="s">
        <v>379</v>
      </c>
      <c r="F2135" s="10" t="str">
        <f>"2170576978 "</f>
        <v xml:space="preserve">2170576978 </v>
      </c>
      <c r="G2135" s="10" t="str">
        <f>"ON2"</f>
        <v>ON2</v>
      </c>
      <c r="H2135" s="10" t="s">
        <v>21</v>
      </c>
      <c r="I2135" s="10" t="s">
        <v>380</v>
      </c>
      <c r="J2135" s="10" t="str">
        <f>""</f>
        <v/>
      </c>
      <c r="K2135" s="10" t="str">
        <f>"PFES1162562970_0001"</f>
        <v>PFES1162562970_0001</v>
      </c>
      <c r="L2135" s="10">
        <v>1</v>
      </c>
      <c r="M2135" s="10">
        <v>9</v>
      </c>
    </row>
    <row r="2136" spans="1:13">
      <c r="A2136" s="8">
        <v>42934</v>
      </c>
      <c r="B2136" s="9">
        <v>0.47569444444444442</v>
      </c>
      <c r="C2136" s="10" t="str">
        <f>"FES1162563034"</f>
        <v>FES1162563034</v>
      </c>
      <c r="D2136" s="10" t="s">
        <v>19</v>
      </c>
      <c r="E2136" s="10" t="s">
        <v>944</v>
      </c>
      <c r="F2136" s="10" t="str">
        <f>"2170577091 "</f>
        <v xml:space="preserve">2170577091 </v>
      </c>
      <c r="G2136" s="10" t="str">
        <f t="shared" ref="G2136:G2147" si="91">"ON1"</f>
        <v>ON1</v>
      </c>
      <c r="H2136" s="10" t="s">
        <v>21</v>
      </c>
      <c r="I2136" s="10" t="s">
        <v>52</v>
      </c>
      <c r="J2136" s="10" t="str">
        <f>""</f>
        <v/>
      </c>
      <c r="K2136" s="10" t="str">
        <f>"PFES1162563034_0001"</f>
        <v>PFES1162563034_0001</v>
      </c>
      <c r="L2136" s="10">
        <v>1</v>
      </c>
      <c r="M2136" s="10">
        <v>4</v>
      </c>
    </row>
    <row r="2137" spans="1:13">
      <c r="A2137" s="8">
        <v>42934</v>
      </c>
      <c r="B2137" s="9">
        <v>0.47430555555555554</v>
      </c>
      <c r="C2137" s="10" t="str">
        <f>"FES1162562972"</f>
        <v>FES1162562972</v>
      </c>
      <c r="D2137" s="10" t="s">
        <v>19</v>
      </c>
      <c r="E2137" s="10" t="s">
        <v>268</v>
      </c>
      <c r="F2137" s="10" t="str">
        <f>"2170574755 "</f>
        <v xml:space="preserve">2170574755 </v>
      </c>
      <c r="G2137" s="10" t="str">
        <f t="shared" si="91"/>
        <v>ON1</v>
      </c>
      <c r="H2137" s="10" t="s">
        <v>21</v>
      </c>
      <c r="I2137" s="10" t="s">
        <v>185</v>
      </c>
      <c r="J2137" s="10" t="str">
        <f>""</f>
        <v/>
      </c>
      <c r="K2137" s="10" t="str">
        <f>"PFES1162562972_0001"</f>
        <v>PFES1162562972_0001</v>
      </c>
      <c r="L2137" s="10">
        <v>1</v>
      </c>
      <c r="M2137" s="10">
        <v>13</v>
      </c>
    </row>
    <row r="2138" spans="1:13">
      <c r="A2138" s="8">
        <v>42934</v>
      </c>
      <c r="B2138" s="9">
        <v>0.47222222222222227</v>
      </c>
      <c r="C2138" s="10" t="str">
        <f>"FES1162563093"</f>
        <v>FES1162563093</v>
      </c>
      <c r="D2138" s="10" t="s">
        <v>19</v>
      </c>
      <c r="E2138" s="10" t="s">
        <v>184</v>
      </c>
      <c r="F2138" s="10" t="str">
        <f>"2170577740 "</f>
        <v xml:space="preserve">2170577740 </v>
      </c>
      <c r="G2138" s="10" t="str">
        <f t="shared" si="91"/>
        <v>ON1</v>
      </c>
      <c r="H2138" s="10" t="s">
        <v>21</v>
      </c>
      <c r="I2138" s="10" t="s">
        <v>185</v>
      </c>
      <c r="J2138" s="10" t="str">
        <f>""</f>
        <v/>
      </c>
      <c r="K2138" s="10" t="str">
        <f>"PFES1162563093_0001"</f>
        <v>PFES1162563093_0001</v>
      </c>
      <c r="L2138" s="10">
        <v>1</v>
      </c>
      <c r="M2138" s="10">
        <v>1</v>
      </c>
    </row>
    <row r="2139" spans="1:13">
      <c r="A2139" s="8">
        <v>42934</v>
      </c>
      <c r="B2139" s="9">
        <v>0.47152777777777777</v>
      </c>
      <c r="C2139" s="10" t="str">
        <f>"FES1162563003"</f>
        <v>FES1162563003</v>
      </c>
      <c r="D2139" s="10" t="s">
        <v>19</v>
      </c>
      <c r="E2139" s="10" t="s">
        <v>945</v>
      </c>
      <c r="F2139" s="10" t="str">
        <f>"2170574207 "</f>
        <v xml:space="preserve">2170574207 </v>
      </c>
      <c r="G2139" s="10" t="str">
        <f t="shared" si="91"/>
        <v>ON1</v>
      </c>
      <c r="H2139" s="10" t="s">
        <v>21</v>
      </c>
      <c r="I2139" s="10" t="s">
        <v>433</v>
      </c>
      <c r="J2139" s="10" t="str">
        <f>""</f>
        <v/>
      </c>
      <c r="K2139" s="10" t="str">
        <f>"PFES1162563003_0001"</f>
        <v>PFES1162563003_0001</v>
      </c>
      <c r="L2139" s="10">
        <v>1</v>
      </c>
      <c r="M2139" s="10">
        <v>1</v>
      </c>
    </row>
    <row r="2140" spans="1:13">
      <c r="A2140" s="8">
        <v>42934</v>
      </c>
      <c r="B2140" s="9">
        <v>0.47013888888888888</v>
      </c>
      <c r="C2140" s="10" t="str">
        <f>"FES1162563015"</f>
        <v>FES1162563015</v>
      </c>
      <c r="D2140" s="10" t="s">
        <v>19</v>
      </c>
      <c r="E2140" s="10" t="s">
        <v>184</v>
      </c>
      <c r="F2140" s="10" t="str">
        <f>"2170575880 "</f>
        <v xml:space="preserve">2170575880 </v>
      </c>
      <c r="G2140" s="10" t="str">
        <f t="shared" si="91"/>
        <v>ON1</v>
      </c>
      <c r="H2140" s="10" t="s">
        <v>21</v>
      </c>
      <c r="I2140" s="10" t="s">
        <v>185</v>
      </c>
      <c r="J2140" s="10" t="str">
        <f>""</f>
        <v/>
      </c>
      <c r="K2140" s="10" t="str">
        <f>"PFES1162563015_0001"</f>
        <v>PFES1162563015_0001</v>
      </c>
      <c r="L2140" s="10">
        <v>1</v>
      </c>
      <c r="M2140" s="10">
        <v>1</v>
      </c>
    </row>
    <row r="2141" spans="1:13">
      <c r="A2141" s="8">
        <v>42934</v>
      </c>
      <c r="B2141" s="9">
        <v>0.4694444444444445</v>
      </c>
      <c r="C2141" s="10" t="str">
        <f>"FES1162563002"</f>
        <v>FES1162563002</v>
      </c>
      <c r="D2141" s="10" t="s">
        <v>19</v>
      </c>
      <c r="E2141" s="10" t="s">
        <v>268</v>
      </c>
      <c r="F2141" s="10" t="str">
        <f>"2170574206 "</f>
        <v xml:space="preserve">2170574206 </v>
      </c>
      <c r="G2141" s="10" t="str">
        <f t="shared" si="91"/>
        <v>ON1</v>
      </c>
      <c r="H2141" s="10" t="s">
        <v>21</v>
      </c>
      <c r="I2141" s="10" t="s">
        <v>185</v>
      </c>
      <c r="J2141" s="10" t="str">
        <f>""</f>
        <v/>
      </c>
      <c r="K2141" s="10" t="str">
        <f>"PFES1162563002_0001"</f>
        <v>PFES1162563002_0001</v>
      </c>
      <c r="L2141" s="10">
        <v>1</v>
      </c>
      <c r="M2141" s="10">
        <v>1</v>
      </c>
    </row>
    <row r="2142" spans="1:13">
      <c r="A2142" s="8">
        <v>42934</v>
      </c>
      <c r="B2142" s="9">
        <v>0.4680555555555555</v>
      </c>
      <c r="C2142" s="10" t="str">
        <f>"FES1162562997"</f>
        <v>FES1162562997</v>
      </c>
      <c r="D2142" s="10" t="s">
        <v>19</v>
      </c>
      <c r="E2142" s="10" t="s">
        <v>184</v>
      </c>
      <c r="F2142" s="10" t="str">
        <f>"2170573103 "</f>
        <v xml:space="preserve">2170573103 </v>
      </c>
      <c r="G2142" s="10" t="str">
        <f t="shared" si="91"/>
        <v>ON1</v>
      </c>
      <c r="H2142" s="10" t="s">
        <v>21</v>
      </c>
      <c r="I2142" s="10" t="s">
        <v>185</v>
      </c>
      <c r="J2142" s="10" t="str">
        <f>""</f>
        <v/>
      </c>
      <c r="K2142" s="10" t="str">
        <f>"PFES1162562997_0001"</f>
        <v>PFES1162562997_0001</v>
      </c>
      <c r="L2142" s="10">
        <v>1</v>
      </c>
      <c r="M2142" s="10">
        <v>1</v>
      </c>
    </row>
    <row r="2143" spans="1:13">
      <c r="A2143" s="8">
        <v>42934</v>
      </c>
      <c r="B2143" s="9">
        <v>0.46736111111111112</v>
      </c>
      <c r="C2143" s="10" t="str">
        <f>"FES1162563095"</f>
        <v>FES1162563095</v>
      </c>
      <c r="D2143" s="10" t="s">
        <v>19</v>
      </c>
      <c r="E2143" s="10" t="s">
        <v>25</v>
      </c>
      <c r="F2143" s="10" t="str">
        <f>"2170577771 "</f>
        <v xml:space="preserve">2170577771 </v>
      </c>
      <c r="G2143" s="10" t="str">
        <f t="shared" si="91"/>
        <v>ON1</v>
      </c>
      <c r="H2143" s="10" t="s">
        <v>21</v>
      </c>
      <c r="I2143" s="10" t="s">
        <v>26</v>
      </c>
      <c r="J2143" s="10" t="str">
        <f>""</f>
        <v/>
      </c>
      <c r="K2143" s="10" t="str">
        <f>"PFES1162563095_0001"</f>
        <v>PFES1162563095_0001</v>
      </c>
      <c r="L2143" s="10">
        <v>1</v>
      </c>
      <c r="M2143" s="10">
        <v>1</v>
      </c>
    </row>
    <row r="2144" spans="1:13">
      <c r="A2144" s="8">
        <v>42934</v>
      </c>
      <c r="B2144" s="9">
        <v>0.46666666666666662</v>
      </c>
      <c r="C2144" s="10" t="str">
        <f>"FES1162563047"</f>
        <v>FES1162563047</v>
      </c>
      <c r="D2144" s="10" t="s">
        <v>19</v>
      </c>
      <c r="E2144" s="10" t="s">
        <v>535</v>
      </c>
      <c r="F2144" s="10" t="str">
        <f>"2170577226 "</f>
        <v xml:space="preserve">2170577226 </v>
      </c>
      <c r="G2144" s="10" t="str">
        <f t="shared" si="91"/>
        <v>ON1</v>
      </c>
      <c r="H2144" s="10" t="s">
        <v>21</v>
      </c>
      <c r="I2144" s="10" t="s">
        <v>240</v>
      </c>
      <c r="J2144" s="10" t="str">
        <f>""</f>
        <v/>
      </c>
      <c r="K2144" s="10" t="str">
        <f>"PFES1162563047_0001"</f>
        <v>PFES1162563047_0001</v>
      </c>
      <c r="L2144" s="10">
        <v>1</v>
      </c>
      <c r="M2144" s="10">
        <v>1</v>
      </c>
    </row>
    <row r="2145" spans="1:13">
      <c r="A2145" s="8">
        <v>42934</v>
      </c>
      <c r="B2145" s="9">
        <v>0.46597222222222223</v>
      </c>
      <c r="C2145" s="10" t="str">
        <f>"FES1162562994"</f>
        <v>FES1162562994</v>
      </c>
      <c r="D2145" s="10" t="s">
        <v>19</v>
      </c>
      <c r="E2145" s="10" t="s">
        <v>560</v>
      </c>
      <c r="F2145" s="10" t="str">
        <f>"2170579651 "</f>
        <v xml:space="preserve">2170579651 </v>
      </c>
      <c r="G2145" s="10" t="str">
        <f t="shared" si="91"/>
        <v>ON1</v>
      </c>
      <c r="H2145" s="10" t="s">
        <v>21</v>
      </c>
      <c r="I2145" s="10" t="s">
        <v>561</v>
      </c>
      <c r="J2145" s="10" t="str">
        <f>""</f>
        <v/>
      </c>
      <c r="K2145" s="10" t="str">
        <f>"PFES1162562994_0001"</f>
        <v>PFES1162562994_0001</v>
      </c>
      <c r="L2145" s="10">
        <v>1</v>
      </c>
      <c r="M2145" s="10">
        <v>1</v>
      </c>
    </row>
    <row r="2146" spans="1:13">
      <c r="A2146" s="8">
        <v>42934</v>
      </c>
      <c r="B2146" s="9">
        <v>0.46527777777777773</v>
      </c>
      <c r="C2146" s="10" t="str">
        <f>"FES1162562993"</f>
        <v>FES1162562993</v>
      </c>
      <c r="D2146" s="10" t="s">
        <v>19</v>
      </c>
      <c r="E2146" s="10" t="s">
        <v>560</v>
      </c>
      <c r="F2146" s="10" t="str">
        <f>"2170579650 "</f>
        <v xml:space="preserve">2170579650 </v>
      </c>
      <c r="G2146" s="10" t="str">
        <f t="shared" si="91"/>
        <v>ON1</v>
      </c>
      <c r="H2146" s="10" t="s">
        <v>21</v>
      </c>
      <c r="I2146" s="10" t="s">
        <v>561</v>
      </c>
      <c r="J2146" s="10" t="str">
        <f>""</f>
        <v/>
      </c>
      <c r="K2146" s="10" t="str">
        <f>"PFES1162562993_0001"</f>
        <v>PFES1162562993_0001</v>
      </c>
      <c r="L2146" s="10">
        <v>1</v>
      </c>
      <c r="M2146" s="10">
        <v>1</v>
      </c>
    </row>
    <row r="2147" spans="1:13">
      <c r="A2147" s="8">
        <v>42934</v>
      </c>
      <c r="B2147" s="9">
        <v>0.46458333333333335</v>
      </c>
      <c r="C2147" s="10" t="str">
        <f>"FES1162562985"</f>
        <v>FES1162562985</v>
      </c>
      <c r="D2147" s="10" t="s">
        <v>19</v>
      </c>
      <c r="E2147" s="10" t="s">
        <v>772</v>
      </c>
      <c r="F2147" s="10" t="str">
        <f>"2170579634 "</f>
        <v xml:space="preserve">2170579634 </v>
      </c>
      <c r="G2147" s="10" t="str">
        <f t="shared" si="91"/>
        <v>ON1</v>
      </c>
      <c r="H2147" s="10" t="s">
        <v>21</v>
      </c>
      <c r="I2147" s="10" t="s">
        <v>540</v>
      </c>
      <c r="J2147" s="10" t="str">
        <f>""</f>
        <v/>
      </c>
      <c r="K2147" s="10" t="str">
        <f>"PFES1162562985_0001"</f>
        <v>PFES1162562985_0001</v>
      </c>
      <c r="L2147" s="10">
        <v>1</v>
      </c>
      <c r="M2147" s="10">
        <v>2</v>
      </c>
    </row>
    <row r="2148" spans="1:13">
      <c r="A2148" s="8">
        <v>42934</v>
      </c>
      <c r="B2148" s="9">
        <v>0.45347222222222222</v>
      </c>
      <c r="C2148" s="10" t="str">
        <f>"FES1162563209"</f>
        <v>FES1162563209</v>
      </c>
      <c r="D2148" s="10" t="s">
        <v>19</v>
      </c>
      <c r="E2148" s="10" t="s">
        <v>365</v>
      </c>
      <c r="F2148" s="10" t="str">
        <f>"2170579739 "</f>
        <v xml:space="preserve">2170579739 </v>
      </c>
      <c r="G2148" s="10" t="str">
        <f>"SDX"</f>
        <v>SDX</v>
      </c>
      <c r="H2148" s="10" t="s">
        <v>21</v>
      </c>
      <c r="I2148" s="10" t="s">
        <v>330</v>
      </c>
      <c r="J2148" s="10" t="str">
        <f>""</f>
        <v/>
      </c>
      <c r="K2148" s="10" t="str">
        <f>"PFES1162563209_0001"</f>
        <v>PFES1162563209_0001</v>
      </c>
      <c r="L2148" s="10">
        <v>1</v>
      </c>
      <c r="M2148" s="10">
        <v>1</v>
      </c>
    </row>
    <row r="2149" spans="1:13">
      <c r="A2149" s="8">
        <v>42934</v>
      </c>
      <c r="B2149" s="9">
        <v>0.43124999999999997</v>
      </c>
      <c r="C2149" s="10" t="str">
        <f>"FES1162563029"</f>
        <v>FES1162563029</v>
      </c>
      <c r="D2149" s="10" t="s">
        <v>19</v>
      </c>
      <c r="E2149" s="10" t="s">
        <v>237</v>
      </c>
      <c r="F2149" s="10" t="str">
        <f>"2170577073 "</f>
        <v xml:space="preserve">2170577073 </v>
      </c>
      <c r="G2149" s="10" t="str">
        <f>"ON1"</f>
        <v>ON1</v>
      </c>
      <c r="H2149" s="10" t="s">
        <v>21</v>
      </c>
      <c r="I2149" s="10" t="s">
        <v>238</v>
      </c>
      <c r="J2149" s="10" t="str">
        <f>""</f>
        <v/>
      </c>
      <c r="K2149" s="10" t="str">
        <f>"PFES1162563029_0001"</f>
        <v>PFES1162563029_0001</v>
      </c>
      <c r="L2149" s="10">
        <v>1</v>
      </c>
      <c r="M2149" s="10">
        <v>2</v>
      </c>
    </row>
    <row r="2150" spans="1:13">
      <c r="A2150" s="8">
        <v>42934</v>
      </c>
      <c r="B2150" s="9">
        <v>0.43055555555555558</v>
      </c>
      <c r="C2150" s="10" t="str">
        <f>"FES1162563026"</f>
        <v>FES1162563026</v>
      </c>
      <c r="D2150" s="10" t="s">
        <v>19</v>
      </c>
      <c r="E2150" s="10" t="s">
        <v>239</v>
      </c>
      <c r="F2150" s="10" t="str">
        <f>"2170577038 "</f>
        <v xml:space="preserve">2170577038 </v>
      </c>
      <c r="G2150" s="10" t="str">
        <f>"ON1"</f>
        <v>ON1</v>
      </c>
      <c r="H2150" s="10" t="s">
        <v>21</v>
      </c>
      <c r="I2150" s="10" t="s">
        <v>240</v>
      </c>
      <c r="J2150" s="10" t="str">
        <f>""</f>
        <v/>
      </c>
      <c r="K2150" s="10" t="str">
        <f>"PFES1162563026_0001"</f>
        <v>PFES1162563026_0001</v>
      </c>
      <c r="L2150" s="10">
        <v>1</v>
      </c>
      <c r="M2150" s="10">
        <v>3</v>
      </c>
    </row>
    <row r="2151" spans="1:13">
      <c r="A2151" s="8">
        <v>42934</v>
      </c>
      <c r="B2151" s="9">
        <v>0.38750000000000001</v>
      </c>
      <c r="C2151" s="10" t="str">
        <f>"FES1162562893"</f>
        <v>FES1162562893</v>
      </c>
      <c r="D2151" s="10" t="s">
        <v>19</v>
      </c>
      <c r="E2151" s="10" t="s">
        <v>371</v>
      </c>
      <c r="F2151" s="10" t="str">
        <f>"2170577396 "</f>
        <v xml:space="preserve">2170577396 </v>
      </c>
      <c r="G2151" s="10" t="str">
        <f>"ON2"</f>
        <v>ON2</v>
      </c>
      <c r="H2151" s="10" t="s">
        <v>21</v>
      </c>
      <c r="I2151" s="10" t="s">
        <v>202</v>
      </c>
      <c r="J2151" s="10" t="str">
        <f>""</f>
        <v/>
      </c>
      <c r="K2151" s="10" t="str">
        <f>"PFES1162562893_0001"</f>
        <v>PFES1162562893_0001</v>
      </c>
      <c r="L2151" s="10">
        <v>1</v>
      </c>
      <c r="M2151" s="10">
        <v>15</v>
      </c>
    </row>
    <row r="2152" spans="1:13">
      <c r="A2152" s="8">
        <v>42934</v>
      </c>
      <c r="B2152" s="9">
        <v>0.38611111111111113</v>
      </c>
      <c r="C2152" s="10" t="str">
        <f>"FES1162562956"</f>
        <v>FES1162562956</v>
      </c>
      <c r="D2152" s="10" t="s">
        <v>19</v>
      </c>
      <c r="E2152" s="10" t="s">
        <v>946</v>
      </c>
      <c r="F2152" s="10" t="str">
        <f>"2170579598 "</f>
        <v xml:space="preserve">2170579598 </v>
      </c>
      <c r="G2152" s="10" t="str">
        <f>"ON1"</f>
        <v>ON1</v>
      </c>
      <c r="H2152" s="10" t="s">
        <v>21</v>
      </c>
      <c r="I2152" s="10" t="s">
        <v>168</v>
      </c>
      <c r="J2152" s="10" t="str">
        <f>""</f>
        <v/>
      </c>
      <c r="K2152" s="10" t="str">
        <f>"PFES1162562956_0001"</f>
        <v>PFES1162562956_0001</v>
      </c>
      <c r="L2152" s="10">
        <v>1</v>
      </c>
      <c r="M2152" s="10">
        <v>4</v>
      </c>
    </row>
    <row r="2153" spans="1:13">
      <c r="A2153" s="8">
        <v>42934</v>
      </c>
      <c r="B2153" s="9">
        <v>0.38472222222222219</v>
      </c>
      <c r="C2153" s="10" t="str">
        <f>"FES1162562982"</f>
        <v>FES1162562982</v>
      </c>
      <c r="D2153" s="10" t="s">
        <v>19</v>
      </c>
      <c r="E2153" s="10" t="s">
        <v>329</v>
      </c>
      <c r="F2153" s="10" t="str">
        <f>"2170575907 "</f>
        <v xml:space="preserve">2170575907 </v>
      </c>
      <c r="G2153" s="10" t="str">
        <f>"ON1"</f>
        <v>ON1</v>
      </c>
      <c r="H2153" s="10" t="s">
        <v>21</v>
      </c>
      <c r="I2153" s="10" t="s">
        <v>330</v>
      </c>
      <c r="J2153" s="10" t="str">
        <f>""</f>
        <v/>
      </c>
      <c r="K2153" s="10" t="str">
        <f>"PFES1162562982_0001"</f>
        <v>PFES1162562982_0001</v>
      </c>
      <c r="L2153" s="10">
        <v>1</v>
      </c>
      <c r="M2153" s="10">
        <v>4</v>
      </c>
    </row>
    <row r="2154" spans="1:13">
      <c r="A2154" s="8">
        <v>42934</v>
      </c>
      <c r="B2154" s="9">
        <v>0.65138888888888891</v>
      </c>
      <c r="C2154" s="10" t="str">
        <f>"FES1162563238"</f>
        <v>FES1162563238</v>
      </c>
      <c r="D2154" s="10" t="s">
        <v>19</v>
      </c>
      <c r="E2154" s="10" t="s">
        <v>947</v>
      </c>
      <c r="F2154" s="10" t="str">
        <f>"2170579764 "</f>
        <v xml:space="preserve">2170579764 </v>
      </c>
      <c r="G2154" s="10" t="str">
        <f>"ON1"</f>
        <v>ON1</v>
      </c>
      <c r="H2154" s="10" t="s">
        <v>21</v>
      </c>
      <c r="I2154" s="10" t="s">
        <v>147</v>
      </c>
      <c r="J2154" s="10" t="str">
        <f>""</f>
        <v/>
      </c>
      <c r="K2154" s="10" t="str">
        <f>"PFES1162563238_0001"</f>
        <v>PFES1162563238_0001</v>
      </c>
      <c r="L2154" s="10">
        <v>2</v>
      </c>
      <c r="M2154" s="10">
        <v>8</v>
      </c>
    </row>
    <row r="2155" spans="1:13">
      <c r="A2155" s="8">
        <v>42934</v>
      </c>
      <c r="B2155" s="9">
        <v>0.65138888888888891</v>
      </c>
      <c r="C2155" s="10" t="str">
        <f>"FES1162563238"</f>
        <v>FES1162563238</v>
      </c>
      <c r="D2155" s="10" t="s">
        <v>19</v>
      </c>
      <c r="E2155" s="10" t="s">
        <v>947</v>
      </c>
      <c r="F2155" s="10" t="str">
        <f>"2170579764 "</f>
        <v xml:space="preserve">2170579764 </v>
      </c>
      <c r="G2155" s="10" t="str">
        <f>"ON1"</f>
        <v>ON1</v>
      </c>
      <c r="H2155" s="10" t="s">
        <v>21</v>
      </c>
      <c r="I2155" s="10" t="s">
        <v>147</v>
      </c>
      <c r="J2155" s="10"/>
      <c r="K2155" s="10" t="str">
        <f>"PFES1162563238_0002"</f>
        <v>PFES1162563238_0002</v>
      </c>
      <c r="L2155" s="10">
        <v>2</v>
      </c>
      <c r="M2155" s="10">
        <v>8</v>
      </c>
    </row>
    <row r="2156" spans="1:13">
      <c r="A2156" s="8">
        <v>42934</v>
      </c>
      <c r="B2156" s="9">
        <v>0.65069444444444446</v>
      </c>
      <c r="C2156" s="10" t="str">
        <f>"FES1162563196"</f>
        <v>FES1162563196</v>
      </c>
      <c r="D2156" s="10" t="s">
        <v>19</v>
      </c>
      <c r="E2156" s="10" t="s">
        <v>948</v>
      </c>
      <c r="F2156" s="10" t="str">
        <f>"2170577963 "</f>
        <v xml:space="preserve">2170577963 </v>
      </c>
      <c r="G2156" s="10" t="str">
        <f>"DBC"</f>
        <v>DBC</v>
      </c>
      <c r="H2156" s="10" t="s">
        <v>21</v>
      </c>
      <c r="I2156" s="10" t="s">
        <v>177</v>
      </c>
      <c r="J2156" s="10" t="str">
        <f>""</f>
        <v/>
      </c>
      <c r="K2156" s="10" t="str">
        <f>"PFES1162563196_0001"</f>
        <v>PFES1162563196_0001</v>
      </c>
      <c r="L2156" s="10">
        <v>1</v>
      </c>
      <c r="M2156" s="10">
        <v>21</v>
      </c>
    </row>
    <row r="2157" spans="1:13">
      <c r="A2157" s="8">
        <v>42934</v>
      </c>
      <c r="B2157" s="9">
        <v>0.64930555555555558</v>
      </c>
      <c r="C2157" s="10" t="str">
        <f>"FES1162563294"</f>
        <v>FES1162563294</v>
      </c>
      <c r="D2157" s="10" t="s">
        <v>19</v>
      </c>
      <c r="E2157" s="10" t="s">
        <v>39</v>
      </c>
      <c r="F2157" s="10" t="str">
        <f>"2170579818 "</f>
        <v xml:space="preserve">2170579818 </v>
      </c>
      <c r="G2157" s="10" t="str">
        <f>"ON1"</f>
        <v>ON1</v>
      </c>
      <c r="H2157" s="10" t="s">
        <v>21</v>
      </c>
      <c r="I2157" s="10" t="s">
        <v>40</v>
      </c>
      <c r="J2157" s="10" t="str">
        <f>""</f>
        <v/>
      </c>
      <c r="K2157" s="10" t="str">
        <f>"PFES1162563294_0001"</f>
        <v>PFES1162563294_0001</v>
      </c>
      <c r="L2157" s="10">
        <v>1</v>
      </c>
      <c r="M2157" s="10">
        <v>1</v>
      </c>
    </row>
    <row r="2158" spans="1:13">
      <c r="A2158" s="8">
        <v>42934</v>
      </c>
      <c r="B2158" s="9">
        <v>0.6479166666666667</v>
      </c>
      <c r="C2158" s="10" t="str">
        <f>"FES1162563315"</f>
        <v>FES1162563315</v>
      </c>
      <c r="D2158" s="10" t="s">
        <v>19</v>
      </c>
      <c r="E2158" s="10" t="s">
        <v>220</v>
      </c>
      <c r="F2158" s="10" t="str">
        <f>"2170579614 "</f>
        <v xml:space="preserve">2170579614 </v>
      </c>
      <c r="G2158" s="10" t="str">
        <f>"DBC"</f>
        <v>DBC</v>
      </c>
      <c r="H2158" s="10" t="s">
        <v>21</v>
      </c>
      <c r="I2158" s="10" t="s">
        <v>949</v>
      </c>
      <c r="J2158" s="10" t="str">
        <f>""</f>
        <v/>
      </c>
      <c r="K2158" s="10" t="str">
        <f>"PFES1162563315_0001"</f>
        <v>PFES1162563315_0001</v>
      </c>
      <c r="L2158" s="10">
        <v>1</v>
      </c>
      <c r="M2158" s="10">
        <v>20</v>
      </c>
    </row>
    <row r="2159" spans="1:13">
      <c r="A2159" s="8">
        <v>42934</v>
      </c>
      <c r="B2159" s="9">
        <v>0.63958333333333328</v>
      </c>
      <c r="C2159" s="10" t="str">
        <f>"FES1162563070"</f>
        <v>FES1162563070</v>
      </c>
      <c r="D2159" s="10" t="s">
        <v>19</v>
      </c>
      <c r="E2159" s="10" t="s">
        <v>458</v>
      </c>
      <c r="F2159" s="10" t="str">
        <f>"2170577461 "</f>
        <v xml:space="preserve">2170577461 </v>
      </c>
      <c r="G2159" s="10" t="str">
        <f>"ON1"</f>
        <v>ON1</v>
      </c>
      <c r="H2159" s="10" t="s">
        <v>21</v>
      </c>
      <c r="I2159" s="10" t="s">
        <v>393</v>
      </c>
      <c r="J2159" s="10" t="str">
        <f>""</f>
        <v/>
      </c>
      <c r="K2159" s="10" t="str">
        <f>"PFES1162563070_0001"</f>
        <v>PFES1162563070_0001</v>
      </c>
      <c r="L2159" s="10">
        <v>1</v>
      </c>
      <c r="M2159" s="10">
        <v>4</v>
      </c>
    </row>
    <row r="2160" spans="1:13">
      <c r="A2160" s="8">
        <v>42934</v>
      </c>
      <c r="B2160" s="9">
        <v>0.6381944444444444</v>
      </c>
      <c r="C2160" s="10" t="str">
        <f>"FES1162563322"</f>
        <v>FES1162563322</v>
      </c>
      <c r="D2160" s="10" t="s">
        <v>19</v>
      </c>
      <c r="E2160" s="10" t="s">
        <v>220</v>
      </c>
      <c r="F2160" s="10" t="str">
        <f>"2170579608 "</f>
        <v xml:space="preserve">2170579608 </v>
      </c>
      <c r="G2160" s="10" t="str">
        <f>"DBC"</f>
        <v>DBC</v>
      </c>
      <c r="H2160" s="10" t="s">
        <v>21</v>
      </c>
      <c r="I2160" s="10" t="s">
        <v>949</v>
      </c>
      <c r="J2160" s="10" t="str">
        <f>""</f>
        <v/>
      </c>
      <c r="K2160" s="10" t="str">
        <f>"PFES1162563322_0001"</f>
        <v>PFES1162563322_0001</v>
      </c>
      <c r="L2160" s="10">
        <v>1</v>
      </c>
      <c r="M2160" s="10">
        <v>20</v>
      </c>
    </row>
    <row r="2161" spans="1:13">
      <c r="A2161" s="8">
        <v>42934</v>
      </c>
      <c r="B2161" s="9">
        <v>0.63750000000000007</v>
      </c>
      <c r="C2161" s="10" t="str">
        <f>"FES1162563317"</f>
        <v>FES1162563317</v>
      </c>
      <c r="D2161" s="10" t="s">
        <v>19</v>
      </c>
      <c r="E2161" s="10" t="s">
        <v>848</v>
      </c>
      <c r="F2161" s="10" t="str">
        <f>"2170579654 "</f>
        <v xml:space="preserve">2170579654 </v>
      </c>
      <c r="G2161" s="10" t="str">
        <f t="shared" ref="G2161:G2203" si="92">"ON1"</f>
        <v>ON1</v>
      </c>
      <c r="H2161" s="10" t="s">
        <v>21</v>
      </c>
      <c r="I2161" s="10" t="s">
        <v>569</v>
      </c>
      <c r="J2161" s="10" t="str">
        <f>""</f>
        <v/>
      </c>
      <c r="K2161" s="10" t="str">
        <f>"PFES1162563317_0001"</f>
        <v>PFES1162563317_0001</v>
      </c>
      <c r="L2161" s="10">
        <v>1</v>
      </c>
      <c r="M2161" s="10">
        <v>4</v>
      </c>
    </row>
    <row r="2162" spans="1:13">
      <c r="A2162" s="8">
        <v>42934</v>
      </c>
      <c r="B2162" s="9">
        <v>0.63680555555555551</v>
      </c>
      <c r="C2162" s="10" t="str">
        <f>"FES1162563224"</f>
        <v>FES1162563224</v>
      </c>
      <c r="D2162" s="10" t="s">
        <v>19</v>
      </c>
      <c r="E2162" s="10" t="s">
        <v>162</v>
      </c>
      <c r="F2162" s="10" t="str">
        <f>"2170579750 "</f>
        <v xml:space="preserve">2170579750 </v>
      </c>
      <c r="G2162" s="10" t="str">
        <f t="shared" si="92"/>
        <v>ON1</v>
      </c>
      <c r="H2162" s="10" t="s">
        <v>21</v>
      </c>
      <c r="I2162" s="10" t="s">
        <v>163</v>
      </c>
      <c r="J2162" s="10" t="str">
        <f>""</f>
        <v/>
      </c>
      <c r="K2162" s="10" t="str">
        <f>"PFES1162563224_0001"</f>
        <v>PFES1162563224_0001</v>
      </c>
      <c r="L2162" s="10">
        <v>1</v>
      </c>
      <c r="M2162" s="10">
        <v>1</v>
      </c>
    </row>
    <row r="2163" spans="1:13">
      <c r="A2163" s="8">
        <v>42934</v>
      </c>
      <c r="B2163" s="9">
        <v>0.63680555555555551</v>
      </c>
      <c r="C2163" s="10" t="str">
        <f>"FES1162563009"</f>
        <v>FES1162563009</v>
      </c>
      <c r="D2163" s="10" t="s">
        <v>19</v>
      </c>
      <c r="E2163" s="10" t="s">
        <v>108</v>
      </c>
      <c r="F2163" s="10" t="str">
        <f>"2170574862 "</f>
        <v xml:space="preserve">2170574862 </v>
      </c>
      <c r="G2163" s="10" t="str">
        <f t="shared" si="92"/>
        <v>ON1</v>
      </c>
      <c r="H2163" s="10" t="s">
        <v>21</v>
      </c>
      <c r="I2163" s="10" t="s">
        <v>109</v>
      </c>
      <c r="J2163" s="10" t="str">
        <f>""</f>
        <v/>
      </c>
      <c r="K2163" s="10" t="str">
        <f>"PFES1162563009_0001"</f>
        <v>PFES1162563009_0001</v>
      </c>
      <c r="L2163" s="10">
        <v>1</v>
      </c>
      <c r="M2163" s="10">
        <v>1</v>
      </c>
    </row>
    <row r="2164" spans="1:13">
      <c r="A2164" s="8">
        <v>42934</v>
      </c>
      <c r="B2164" s="9">
        <v>0.63611111111111118</v>
      </c>
      <c r="C2164" s="10" t="str">
        <f>"FES1162563229"</f>
        <v>FES1162563229</v>
      </c>
      <c r="D2164" s="10" t="s">
        <v>19</v>
      </c>
      <c r="E2164" s="10" t="s">
        <v>110</v>
      </c>
      <c r="F2164" s="10" t="str">
        <f>"2170579753 "</f>
        <v xml:space="preserve">2170579753 </v>
      </c>
      <c r="G2164" s="10" t="str">
        <f t="shared" si="92"/>
        <v>ON1</v>
      </c>
      <c r="H2164" s="10" t="s">
        <v>21</v>
      </c>
      <c r="I2164" s="10" t="s">
        <v>111</v>
      </c>
      <c r="J2164" s="10" t="str">
        <f>""</f>
        <v/>
      </c>
      <c r="K2164" s="10" t="str">
        <f>"PFES1162563229_0001"</f>
        <v>PFES1162563229_0001</v>
      </c>
      <c r="L2164" s="10">
        <v>1</v>
      </c>
      <c r="M2164" s="10">
        <v>1</v>
      </c>
    </row>
    <row r="2165" spans="1:13">
      <c r="A2165" s="8">
        <v>42934</v>
      </c>
      <c r="B2165" s="9">
        <v>0.63611111111111118</v>
      </c>
      <c r="C2165" s="10" t="str">
        <f>"FES1162563043"</f>
        <v>FES1162563043</v>
      </c>
      <c r="D2165" s="10" t="s">
        <v>19</v>
      </c>
      <c r="E2165" s="10" t="s">
        <v>305</v>
      </c>
      <c r="F2165" s="10" t="str">
        <f>"2170577149 "</f>
        <v xml:space="preserve">2170577149 </v>
      </c>
      <c r="G2165" s="10" t="str">
        <f t="shared" si="92"/>
        <v>ON1</v>
      </c>
      <c r="H2165" s="10" t="s">
        <v>21</v>
      </c>
      <c r="I2165" s="10" t="s">
        <v>202</v>
      </c>
      <c r="J2165" s="10" t="str">
        <f>""</f>
        <v/>
      </c>
      <c r="K2165" s="10" t="str">
        <f>"PFES1162563043_0001"</f>
        <v>PFES1162563043_0001</v>
      </c>
      <c r="L2165" s="10">
        <v>1</v>
      </c>
      <c r="M2165" s="10">
        <v>1</v>
      </c>
    </row>
    <row r="2166" spans="1:13">
      <c r="A2166" s="8">
        <v>42934</v>
      </c>
      <c r="B2166" s="9">
        <v>0.63611111111111118</v>
      </c>
      <c r="C2166" s="10" t="str">
        <f>"FES1162563094"</f>
        <v>FES1162563094</v>
      </c>
      <c r="D2166" s="10" t="s">
        <v>19</v>
      </c>
      <c r="E2166" s="10" t="s">
        <v>99</v>
      </c>
      <c r="F2166" s="10" t="str">
        <f>"2170577741 "</f>
        <v xml:space="preserve">2170577741 </v>
      </c>
      <c r="G2166" s="10" t="str">
        <f t="shared" si="92"/>
        <v>ON1</v>
      </c>
      <c r="H2166" s="10" t="s">
        <v>21</v>
      </c>
      <c r="I2166" s="10" t="s">
        <v>100</v>
      </c>
      <c r="J2166" s="10" t="str">
        <f>""</f>
        <v/>
      </c>
      <c r="K2166" s="10" t="str">
        <f>"PFES1162563094_0001"</f>
        <v>PFES1162563094_0001</v>
      </c>
      <c r="L2166" s="10">
        <v>1</v>
      </c>
      <c r="M2166" s="10">
        <v>1</v>
      </c>
    </row>
    <row r="2167" spans="1:13">
      <c r="A2167" s="8">
        <v>42934</v>
      </c>
      <c r="B2167" s="9">
        <v>0.63541666666666663</v>
      </c>
      <c r="C2167" s="10" t="str">
        <f>"FES1162563068"</f>
        <v>FES1162563068</v>
      </c>
      <c r="D2167" s="10" t="s">
        <v>19</v>
      </c>
      <c r="E2167" s="10" t="s">
        <v>108</v>
      </c>
      <c r="F2167" s="10" t="str">
        <f>"2170577432 "</f>
        <v xml:space="preserve">2170577432 </v>
      </c>
      <c r="G2167" s="10" t="str">
        <f t="shared" si="92"/>
        <v>ON1</v>
      </c>
      <c r="H2167" s="10" t="s">
        <v>21</v>
      </c>
      <c r="I2167" s="10" t="s">
        <v>109</v>
      </c>
      <c r="J2167" s="10" t="str">
        <f>""</f>
        <v/>
      </c>
      <c r="K2167" s="10" t="str">
        <f>"PFES1162563068_0001"</f>
        <v>PFES1162563068_0001</v>
      </c>
      <c r="L2167" s="10">
        <v>1</v>
      </c>
      <c r="M2167" s="10">
        <v>1</v>
      </c>
    </row>
    <row r="2168" spans="1:13">
      <c r="A2168" s="8">
        <v>42934</v>
      </c>
      <c r="B2168" s="9">
        <v>0.63472222222222219</v>
      </c>
      <c r="C2168" s="10" t="str">
        <f>"FES1162563154"</f>
        <v>FES1162563154</v>
      </c>
      <c r="D2168" s="10" t="s">
        <v>19</v>
      </c>
      <c r="E2168" s="10" t="s">
        <v>303</v>
      </c>
      <c r="F2168" s="10" t="str">
        <f>"2170579667 "</f>
        <v xml:space="preserve">2170579667 </v>
      </c>
      <c r="G2168" s="10" t="str">
        <f t="shared" si="92"/>
        <v>ON1</v>
      </c>
      <c r="H2168" s="10" t="s">
        <v>21</v>
      </c>
      <c r="I2168" s="10" t="s">
        <v>119</v>
      </c>
      <c r="J2168" s="10" t="str">
        <f>""</f>
        <v/>
      </c>
      <c r="K2168" s="10" t="str">
        <f>"PFES1162563154_0001"</f>
        <v>PFES1162563154_0001</v>
      </c>
      <c r="L2168" s="10">
        <v>1</v>
      </c>
      <c r="M2168" s="10">
        <v>1</v>
      </c>
    </row>
    <row r="2169" spans="1:13">
      <c r="A2169" s="8">
        <v>42934</v>
      </c>
      <c r="B2169" s="9">
        <v>0.63472222222222219</v>
      </c>
      <c r="C2169" s="10" t="str">
        <f>"FES1162563254"</f>
        <v>FES1162563254</v>
      </c>
      <c r="D2169" s="10" t="s">
        <v>19</v>
      </c>
      <c r="E2169" s="10" t="s">
        <v>158</v>
      </c>
      <c r="F2169" s="10" t="str">
        <f>"2170579787 "</f>
        <v xml:space="preserve">2170579787 </v>
      </c>
      <c r="G2169" s="10" t="str">
        <f t="shared" si="92"/>
        <v>ON1</v>
      </c>
      <c r="H2169" s="10" t="s">
        <v>21</v>
      </c>
      <c r="I2169" s="10" t="s">
        <v>159</v>
      </c>
      <c r="J2169" s="10" t="str">
        <f>""</f>
        <v/>
      </c>
      <c r="K2169" s="10" t="str">
        <f>"PFES1162563254_0001"</f>
        <v>PFES1162563254_0001</v>
      </c>
      <c r="L2169" s="10">
        <v>1</v>
      </c>
      <c r="M2169" s="10">
        <v>2</v>
      </c>
    </row>
    <row r="2170" spans="1:13">
      <c r="A2170" s="8">
        <v>42934</v>
      </c>
      <c r="B2170" s="9">
        <v>0.63472222222222219</v>
      </c>
      <c r="C2170" s="10" t="str">
        <f>"FES1162563148"</f>
        <v>FES1162563148</v>
      </c>
      <c r="D2170" s="10" t="s">
        <v>19</v>
      </c>
      <c r="E2170" s="10" t="s">
        <v>450</v>
      </c>
      <c r="F2170" s="10" t="str">
        <f>"21705797657 "</f>
        <v xml:space="preserve">21705797657 </v>
      </c>
      <c r="G2170" s="10" t="str">
        <f t="shared" si="92"/>
        <v>ON1</v>
      </c>
      <c r="H2170" s="10" t="s">
        <v>21</v>
      </c>
      <c r="I2170" s="10" t="s">
        <v>259</v>
      </c>
      <c r="J2170" s="10" t="str">
        <f>""</f>
        <v/>
      </c>
      <c r="K2170" s="10" t="str">
        <f>"PFES1162563148_0001"</f>
        <v>PFES1162563148_0001</v>
      </c>
      <c r="L2170" s="10">
        <v>1</v>
      </c>
      <c r="M2170" s="10">
        <v>2</v>
      </c>
    </row>
    <row r="2171" spans="1:13">
      <c r="A2171" s="8">
        <v>42934</v>
      </c>
      <c r="B2171" s="9">
        <v>0.63402777777777775</v>
      </c>
      <c r="C2171" s="10" t="str">
        <f>"FES1162563081"</f>
        <v>FES1162563081</v>
      </c>
      <c r="D2171" s="10" t="s">
        <v>19</v>
      </c>
      <c r="E2171" s="10" t="s">
        <v>521</v>
      </c>
      <c r="F2171" s="10" t="str">
        <f>"217057757 "</f>
        <v xml:space="preserve">217057757 </v>
      </c>
      <c r="G2171" s="10" t="str">
        <f t="shared" si="92"/>
        <v>ON1</v>
      </c>
      <c r="H2171" s="10" t="s">
        <v>21</v>
      </c>
      <c r="I2171" s="10" t="s">
        <v>215</v>
      </c>
      <c r="J2171" s="10" t="str">
        <f>""</f>
        <v/>
      </c>
      <c r="K2171" s="10" t="str">
        <f>"PFES1162563081_0001"</f>
        <v>PFES1162563081_0001</v>
      </c>
      <c r="L2171" s="10">
        <v>1</v>
      </c>
      <c r="M2171" s="10">
        <v>16</v>
      </c>
    </row>
    <row r="2172" spans="1:13">
      <c r="A2172" s="8">
        <v>42934</v>
      </c>
      <c r="B2172" s="9">
        <v>0.63402777777777775</v>
      </c>
      <c r="C2172" s="10" t="str">
        <f>"FES1162563237"</f>
        <v>FES1162563237</v>
      </c>
      <c r="D2172" s="10" t="s">
        <v>19</v>
      </c>
      <c r="E2172" s="10" t="s">
        <v>329</v>
      </c>
      <c r="F2172" s="10" t="str">
        <f>"2170579762 "</f>
        <v xml:space="preserve">2170579762 </v>
      </c>
      <c r="G2172" s="10" t="str">
        <f t="shared" si="92"/>
        <v>ON1</v>
      </c>
      <c r="H2172" s="10" t="s">
        <v>21</v>
      </c>
      <c r="I2172" s="10" t="s">
        <v>330</v>
      </c>
      <c r="J2172" s="10" t="str">
        <f>""</f>
        <v/>
      </c>
      <c r="K2172" s="10" t="str">
        <f>"PFES1162563237_0001"</f>
        <v>PFES1162563237_0001</v>
      </c>
      <c r="L2172" s="10">
        <v>1</v>
      </c>
      <c r="M2172" s="10">
        <v>1</v>
      </c>
    </row>
    <row r="2173" spans="1:13">
      <c r="A2173" s="8">
        <v>42934</v>
      </c>
      <c r="B2173" s="9">
        <v>0.6333333333333333</v>
      </c>
      <c r="C2173" s="10" t="str">
        <f>"FES1162563214"</f>
        <v>FES1162563214</v>
      </c>
      <c r="D2173" s="10" t="s">
        <v>19</v>
      </c>
      <c r="E2173" s="10" t="s">
        <v>62</v>
      </c>
      <c r="F2173" s="10" t="str">
        <f>"2170579738 "</f>
        <v xml:space="preserve">2170579738 </v>
      </c>
      <c r="G2173" s="10" t="str">
        <f t="shared" si="92"/>
        <v>ON1</v>
      </c>
      <c r="H2173" s="10" t="s">
        <v>21</v>
      </c>
      <c r="I2173" s="10" t="s">
        <v>40</v>
      </c>
      <c r="J2173" s="10" t="str">
        <f>""</f>
        <v/>
      </c>
      <c r="K2173" s="10" t="str">
        <f>"PFES1162563214_0001"</f>
        <v>PFES1162563214_0001</v>
      </c>
      <c r="L2173" s="10">
        <v>1</v>
      </c>
      <c r="M2173" s="10">
        <v>1</v>
      </c>
    </row>
    <row r="2174" spans="1:13">
      <c r="A2174" s="8">
        <v>42934</v>
      </c>
      <c r="B2174" s="9">
        <v>0.6333333333333333</v>
      </c>
      <c r="C2174" s="10" t="str">
        <f>"FES1162563178"</f>
        <v>FES1162563178</v>
      </c>
      <c r="D2174" s="10" t="s">
        <v>19</v>
      </c>
      <c r="E2174" s="10" t="s">
        <v>355</v>
      </c>
      <c r="F2174" s="10" t="str">
        <f>"2170579700 "</f>
        <v xml:space="preserve">2170579700 </v>
      </c>
      <c r="G2174" s="10" t="str">
        <f t="shared" si="92"/>
        <v>ON1</v>
      </c>
      <c r="H2174" s="10" t="s">
        <v>21</v>
      </c>
      <c r="I2174" s="10" t="s">
        <v>330</v>
      </c>
      <c r="J2174" s="10" t="str">
        <f>""</f>
        <v/>
      </c>
      <c r="K2174" s="10" t="str">
        <f>"PFES1162563178_0001"</f>
        <v>PFES1162563178_0001</v>
      </c>
      <c r="L2174" s="10">
        <v>1</v>
      </c>
      <c r="M2174" s="10">
        <v>1</v>
      </c>
    </row>
    <row r="2175" spans="1:13">
      <c r="A2175" s="8">
        <v>42934</v>
      </c>
      <c r="B2175" s="9">
        <v>0.6333333333333333</v>
      </c>
      <c r="C2175" s="10" t="str">
        <f>"FES1162563236"</f>
        <v>FES1162563236</v>
      </c>
      <c r="D2175" s="10" t="s">
        <v>19</v>
      </c>
      <c r="E2175" s="10" t="s">
        <v>737</v>
      </c>
      <c r="F2175" s="10" t="str">
        <f>"2170579760 "</f>
        <v xml:space="preserve">2170579760 </v>
      </c>
      <c r="G2175" s="10" t="str">
        <f t="shared" si="92"/>
        <v>ON1</v>
      </c>
      <c r="H2175" s="10" t="s">
        <v>21</v>
      </c>
      <c r="I2175" s="10" t="s">
        <v>330</v>
      </c>
      <c r="J2175" s="10" t="str">
        <f>""</f>
        <v/>
      </c>
      <c r="K2175" s="10" t="str">
        <f>"PFES1162563236_0001"</f>
        <v>PFES1162563236_0001</v>
      </c>
      <c r="L2175" s="10">
        <v>1</v>
      </c>
      <c r="M2175" s="10">
        <v>1</v>
      </c>
    </row>
    <row r="2176" spans="1:13">
      <c r="A2176" s="8">
        <v>42934</v>
      </c>
      <c r="B2176" s="9">
        <v>0.63263888888888886</v>
      </c>
      <c r="C2176" s="10" t="str">
        <f>"FES1162563116"</f>
        <v>FES1162563116</v>
      </c>
      <c r="D2176" s="10" t="s">
        <v>19</v>
      </c>
      <c r="E2176" s="10" t="s">
        <v>696</v>
      </c>
      <c r="F2176" s="10" t="str">
        <f>"2170578353 "</f>
        <v xml:space="preserve">2170578353 </v>
      </c>
      <c r="G2176" s="10" t="str">
        <f t="shared" si="92"/>
        <v>ON1</v>
      </c>
      <c r="H2176" s="10" t="s">
        <v>21</v>
      </c>
      <c r="I2176" s="10" t="s">
        <v>697</v>
      </c>
      <c r="J2176" s="10" t="str">
        <f>""</f>
        <v/>
      </c>
      <c r="K2176" s="10" t="str">
        <f>"PFES1162563116_0001"</f>
        <v>PFES1162563116_0001</v>
      </c>
      <c r="L2176" s="10">
        <v>1</v>
      </c>
      <c r="M2176" s="10">
        <v>2</v>
      </c>
    </row>
    <row r="2177" spans="1:13">
      <c r="A2177" s="8">
        <v>42934</v>
      </c>
      <c r="B2177" s="9">
        <v>0.63263888888888886</v>
      </c>
      <c r="C2177" s="10" t="str">
        <f>"FES1162563208"</f>
        <v>FES1162563208</v>
      </c>
      <c r="D2177" s="10" t="s">
        <v>19</v>
      </c>
      <c r="E2177" s="10" t="s">
        <v>427</v>
      </c>
      <c r="F2177" s="10" t="str">
        <f>"2170579708 "</f>
        <v xml:space="preserve">2170579708 </v>
      </c>
      <c r="G2177" s="10" t="str">
        <f t="shared" si="92"/>
        <v>ON1</v>
      </c>
      <c r="H2177" s="10" t="s">
        <v>21</v>
      </c>
      <c r="I2177" s="10" t="s">
        <v>50</v>
      </c>
      <c r="J2177" s="10" t="str">
        <f>""</f>
        <v/>
      </c>
      <c r="K2177" s="10" t="str">
        <f>"PFES1162563208_0001"</f>
        <v>PFES1162563208_0001</v>
      </c>
      <c r="L2177" s="10">
        <v>1</v>
      </c>
      <c r="M2177" s="10">
        <v>1.74</v>
      </c>
    </row>
    <row r="2178" spans="1:13">
      <c r="A2178" s="8">
        <v>42934</v>
      </c>
      <c r="B2178" s="9">
        <v>0.63263888888888886</v>
      </c>
      <c r="C2178" s="10" t="str">
        <f>"FES1162563133"</f>
        <v>FES1162563133</v>
      </c>
      <c r="D2178" s="10" t="s">
        <v>19</v>
      </c>
      <c r="E2178" s="10" t="s">
        <v>574</v>
      </c>
      <c r="F2178" s="10" t="str">
        <f>"2170579287 "</f>
        <v xml:space="preserve">2170579287 </v>
      </c>
      <c r="G2178" s="10" t="str">
        <f t="shared" si="92"/>
        <v>ON1</v>
      </c>
      <c r="H2178" s="10" t="s">
        <v>21</v>
      </c>
      <c r="I2178" s="10" t="s">
        <v>213</v>
      </c>
      <c r="J2178" s="10" t="str">
        <f>""</f>
        <v/>
      </c>
      <c r="K2178" s="10" t="str">
        <f>"PFES1162563133_0001"</f>
        <v>PFES1162563133_0001</v>
      </c>
      <c r="L2178" s="10">
        <v>1</v>
      </c>
      <c r="M2178" s="10">
        <v>1</v>
      </c>
    </row>
    <row r="2179" spans="1:13">
      <c r="A2179" s="8">
        <v>42934</v>
      </c>
      <c r="B2179" s="9">
        <v>0.63194444444444442</v>
      </c>
      <c r="C2179" s="10" t="str">
        <f>"FES1162563158"</f>
        <v>FES1162563158</v>
      </c>
      <c r="D2179" s="10" t="s">
        <v>19</v>
      </c>
      <c r="E2179" s="10" t="s">
        <v>99</v>
      </c>
      <c r="F2179" s="10" t="str">
        <f>"2170579760 "</f>
        <v xml:space="preserve">2170579760 </v>
      </c>
      <c r="G2179" s="10" t="str">
        <f t="shared" si="92"/>
        <v>ON1</v>
      </c>
      <c r="H2179" s="10" t="s">
        <v>21</v>
      </c>
      <c r="I2179" s="10" t="s">
        <v>100</v>
      </c>
      <c r="J2179" s="10" t="str">
        <f>""</f>
        <v/>
      </c>
      <c r="K2179" s="10" t="str">
        <f>"PFES1162563158_0001"</f>
        <v>PFES1162563158_0001</v>
      </c>
      <c r="L2179" s="10">
        <v>1</v>
      </c>
      <c r="M2179" s="10">
        <v>1</v>
      </c>
    </row>
    <row r="2180" spans="1:13">
      <c r="A2180" s="8">
        <v>42934</v>
      </c>
      <c r="B2180" s="9">
        <v>0.63194444444444442</v>
      </c>
      <c r="C2180" s="10" t="str">
        <f>"FES1162563083"</f>
        <v>FES1162563083</v>
      </c>
      <c r="D2180" s="10" t="s">
        <v>19</v>
      </c>
      <c r="E2180" s="10" t="s">
        <v>173</v>
      </c>
      <c r="F2180" s="10" t="str">
        <f>"2170577575 "</f>
        <v xml:space="preserve">2170577575 </v>
      </c>
      <c r="G2180" s="10" t="str">
        <f t="shared" si="92"/>
        <v>ON1</v>
      </c>
      <c r="H2180" s="10" t="s">
        <v>21</v>
      </c>
      <c r="I2180" s="10" t="s">
        <v>174</v>
      </c>
      <c r="J2180" s="10" t="str">
        <f>""</f>
        <v/>
      </c>
      <c r="K2180" s="10" t="str">
        <f>"PFES1162563083_0001"</f>
        <v>PFES1162563083_0001</v>
      </c>
      <c r="L2180" s="10">
        <v>1</v>
      </c>
      <c r="M2180" s="10">
        <v>1</v>
      </c>
    </row>
    <row r="2181" spans="1:13">
      <c r="A2181" s="8">
        <v>42934</v>
      </c>
      <c r="B2181" s="9">
        <v>0.63194444444444442</v>
      </c>
      <c r="C2181" s="10" t="str">
        <f>"FES1162563097"</f>
        <v>FES1162563097</v>
      </c>
      <c r="D2181" s="10" t="s">
        <v>19</v>
      </c>
      <c r="E2181" s="10" t="s">
        <v>305</v>
      </c>
      <c r="F2181" s="10" t="str">
        <f>"2170577787 "</f>
        <v xml:space="preserve">2170577787 </v>
      </c>
      <c r="G2181" s="10" t="str">
        <f t="shared" si="92"/>
        <v>ON1</v>
      </c>
      <c r="H2181" s="10" t="s">
        <v>21</v>
      </c>
      <c r="I2181" s="10" t="s">
        <v>202</v>
      </c>
      <c r="J2181" s="10" t="str">
        <f>""</f>
        <v/>
      </c>
      <c r="K2181" s="10" t="str">
        <f>"PFES1162563097_0001"</f>
        <v>PFES1162563097_0001</v>
      </c>
      <c r="L2181" s="10">
        <v>1</v>
      </c>
      <c r="M2181" s="10">
        <v>1</v>
      </c>
    </row>
    <row r="2182" spans="1:13">
      <c r="A2182" s="8">
        <v>42934</v>
      </c>
      <c r="B2182" s="9">
        <v>0.63124999999999998</v>
      </c>
      <c r="C2182" s="10" t="str">
        <f>"FES1162563321"</f>
        <v>FES1162563321</v>
      </c>
      <c r="D2182" s="10" t="s">
        <v>19</v>
      </c>
      <c r="E2182" s="10" t="s">
        <v>950</v>
      </c>
      <c r="F2182" s="10" t="str">
        <f>"2170579848 "</f>
        <v xml:space="preserve">2170579848 </v>
      </c>
      <c r="G2182" s="10" t="str">
        <f t="shared" si="92"/>
        <v>ON1</v>
      </c>
      <c r="H2182" s="10" t="s">
        <v>21</v>
      </c>
      <c r="I2182" s="10" t="s">
        <v>951</v>
      </c>
      <c r="J2182" s="10" t="str">
        <f>""</f>
        <v/>
      </c>
      <c r="K2182" s="10" t="str">
        <f>"PFES1162563321_0001"</f>
        <v>PFES1162563321_0001</v>
      </c>
      <c r="L2182" s="10">
        <v>1</v>
      </c>
      <c r="M2182" s="10">
        <v>1</v>
      </c>
    </row>
    <row r="2183" spans="1:13">
      <c r="A2183" s="8">
        <v>42934</v>
      </c>
      <c r="B2183" s="9">
        <v>0.63124999999999998</v>
      </c>
      <c r="C2183" s="10" t="str">
        <f>"FES1162563323"</f>
        <v>FES1162563323</v>
      </c>
      <c r="D2183" s="10" t="s">
        <v>19</v>
      </c>
      <c r="E2183" s="10" t="s">
        <v>436</v>
      </c>
      <c r="F2183" s="10" t="str">
        <f>"2170579851 "</f>
        <v xml:space="preserve">2170579851 </v>
      </c>
      <c r="G2183" s="10" t="str">
        <f t="shared" si="92"/>
        <v>ON1</v>
      </c>
      <c r="H2183" s="10" t="s">
        <v>21</v>
      </c>
      <c r="I2183" s="10" t="s">
        <v>252</v>
      </c>
      <c r="J2183" s="10" t="str">
        <f>""</f>
        <v/>
      </c>
      <c r="K2183" s="10" t="str">
        <f>"PFES1162563323_0001"</f>
        <v>PFES1162563323_0001</v>
      </c>
      <c r="L2183" s="10">
        <v>1</v>
      </c>
      <c r="M2183" s="10">
        <v>1</v>
      </c>
    </row>
    <row r="2184" spans="1:13">
      <c r="A2184" s="8">
        <v>42934</v>
      </c>
      <c r="B2184" s="9">
        <v>0.63055555555555554</v>
      </c>
      <c r="C2184" s="10" t="str">
        <f>"FES1162563130"</f>
        <v>FES1162563130</v>
      </c>
      <c r="D2184" s="10" t="s">
        <v>19</v>
      </c>
      <c r="E2184" s="10" t="s">
        <v>952</v>
      </c>
      <c r="F2184" s="10" t="str">
        <f>"2170579050 "</f>
        <v xml:space="preserve">2170579050 </v>
      </c>
      <c r="G2184" s="10" t="str">
        <f t="shared" si="92"/>
        <v>ON1</v>
      </c>
      <c r="H2184" s="10" t="s">
        <v>21</v>
      </c>
      <c r="I2184" s="10" t="s">
        <v>364</v>
      </c>
      <c r="J2184" s="10" t="str">
        <f>""</f>
        <v/>
      </c>
      <c r="K2184" s="10" t="str">
        <f>"PFES1162563130_0001"</f>
        <v>PFES1162563130_0001</v>
      </c>
      <c r="L2184" s="10">
        <v>1</v>
      </c>
      <c r="M2184" s="10">
        <v>1</v>
      </c>
    </row>
    <row r="2185" spans="1:13">
      <c r="A2185" s="8">
        <v>42934</v>
      </c>
      <c r="B2185" s="9">
        <v>0.63055555555555554</v>
      </c>
      <c r="C2185" s="10" t="str">
        <f>"FES1162563086"</f>
        <v>FES1162563086</v>
      </c>
      <c r="D2185" s="10" t="s">
        <v>19</v>
      </c>
      <c r="E2185" s="10" t="s">
        <v>528</v>
      </c>
      <c r="F2185" s="10" t="str">
        <f>"2170577625 "</f>
        <v xml:space="preserve">2170577625 </v>
      </c>
      <c r="G2185" s="10" t="str">
        <f t="shared" si="92"/>
        <v>ON1</v>
      </c>
      <c r="H2185" s="10" t="s">
        <v>21</v>
      </c>
      <c r="I2185" s="10" t="s">
        <v>32</v>
      </c>
      <c r="J2185" s="10" t="str">
        <f>""</f>
        <v/>
      </c>
      <c r="K2185" s="10" t="str">
        <f>"PFES1162563086_0001"</f>
        <v>PFES1162563086_0001</v>
      </c>
      <c r="L2185" s="10">
        <v>1</v>
      </c>
      <c r="M2185" s="10">
        <v>1</v>
      </c>
    </row>
    <row r="2186" spans="1:13">
      <c r="A2186" s="8">
        <v>42934</v>
      </c>
      <c r="B2186" s="9">
        <v>0.62916666666666665</v>
      </c>
      <c r="C2186" s="10" t="str">
        <f>"FES1162563216"</f>
        <v>FES1162563216</v>
      </c>
      <c r="D2186" s="10" t="s">
        <v>19</v>
      </c>
      <c r="E2186" s="10" t="s">
        <v>366</v>
      </c>
      <c r="F2186" s="10" t="str">
        <f>"2170579742 "</f>
        <v xml:space="preserve">2170579742 </v>
      </c>
      <c r="G2186" s="10" t="str">
        <f t="shared" si="92"/>
        <v>ON1</v>
      </c>
      <c r="H2186" s="10" t="s">
        <v>21</v>
      </c>
      <c r="I2186" s="10" t="s">
        <v>128</v>
      </c>
      <c r="J2186" s="10" t="str">
        <f>""</f>
        <v/>
      </c>
      <c r="K2186" s="10" t="str">
        <f>"PFES1162563216_0001"</f>
        <v>PFES1162563216_0001</v>
      </c>
      <c r="L2186" s="10">
        <v>1</v>
      </c>
      <c r="M2186" s="10">
        <v>2</v>
      </c>
    </row>
    <row r="2187" spans="1:13">
      <c r="A2187" s="8">
        <v>42934</v>
      </c>
      <c r="B2187" s="9">
        <v>0.61875000000000002</v>
      </c>
      <c r="C2187" s="10" t="str">
        <f>"009935791618"</f>
        <v>009935791618</v>
      </c>
      <c r="D2187" s="10" t="s">
        <v>19</v>
      </c>
      <c r="E2187" s="10" t="s">
        <v>953</v>
      </c>
      <c r="F2187" s="10" t="str">
        <f>"1162556842 "</f>
        <v xml:space="preserve">1162556842 </v>
      </c>
      <c r="G2187" s="10" t="str">
        <f t="shared" si="92"/>
        <v>ON1</v>
      </c>
      <c r="H2187" s="10" t="s">
        <v>21</v>
      </c>
      <c r="I2187" s="10" t="s">
        <v>954</v>
      </c>
      <c r="J2187" s="10" t="str">
        <f>"2ND PARCEL,1ST PARCEL DELIVERED"</f>
        <v>2ND PARCEL,1ST PARCEL DELIVERED</v>
      </c>
      <c r="K2187" s="10" t="str">
        <f>"P009935791618_0001"</f>
        <v>P009935791618_0001</v>
      </c>
      <c r="L2187" s="10">
        <v>1</v>
      </c>
      <c r="M2187" s="10">
        <v>14</v>
      </c>
    </row>
    <row r="2188" spans="1:13">
      <c r="A2188" s="8">
        <v>42935</v>
      </c>
      <c r="B2188" s="9">
        <v>0.61458333333333337</v>
      </c>
      <c r="C2188" s="10" t="str">
        <f>"FES1162563416"</f>
        <v>FES1162563416</v>
      </c>
      <c r="D2188" s="10" t="s">
        <v>19</v>
      </c>
      <c r="E2188" s="10" t="s">
        <v>867</v>
      </c>
      <c r="F2188" s="10" t="str">
        <f>"2170577937 "</f>
        <v xml:space="preserve">2170577937 </v>
      </c>
      <c r="G2188" s="10" t="str">
        <f t="shared" si="92"/>
        <v>ON1</v>
      </c>
      <c r="H2188" s="10" t="s">
        <v>21</v>
      </c>
      <c r="I2188" s="10" t="s">
        <v>514</v>
      </c>
      <c r="J2188" s="10" t="str">
        <f>""</f>
        <v/>
      </c>
      <c r="K2188" s="10" t="str">
        <f>"PFES1162563416_0001"</f>
        <v>PFES1162563416_0001</v>
      </c>
      <c r="L2188" s="10">
        <v>1</v>
      </c>
      <c r="M2188" s="10">
        <v>2</v>
      </c>
    </row>
    <row r="2189" spans="1:13">
      <c r="A2189" s="8">
        <v>42935</v>
      </c>
      <c r="B2189" s="9">
        <v>0.61388888888888882</v>
      </c>
      <c r="C2189" s="10" t="str">
        <f>"FES1162563464"</f>
        <v>FES1162563464</v>
      </c>
      <c r="D2189" s="10" t="s">
        <v>19</v>
      </c>
      <c r="E2189" s="10" t="s">
        <v>376</v>
      </c>
      <c r="F2189" s="10" t="str">
        <f>"217057792 "</f>
        <v xml:space="preserve">217057792 </v>
      </c>
      <c r="G2189" s="10" t="str">
        <f t="shared" si="92"/>
        <v>ON1</v>
      </c>
      <c r="H2189" s="10" t="s">
        <v>21</v>
      </c>
      <c r="I2189" s="10" t="s">
        <v>377</v>
      </c>
      <c r="J2189" s="10" t="str">
        <f>""</f>
        <v/>
      </c>
      <c r="K2189" s="10" t="str">
        <f>"PFES1162563464_0001"</f>
        <v>PFES1162563464_0001</v>
      </c>
      <c r="L2189" s="10">
        <v>1</v>
      </c>
      <c r="M2189" s="10">
        <v>2</v>
      </c>
    </row>
    <row r="2190" spans="1:13">
      <c r="A2190" s="8">
        <v>42935</v>
      </c>
      <c r="B2190" s="9">
        <v>0.61388888888888882</v>
      </c>
      <c r="C2190" s="10" t="str">
        <f>"FES1162563547"</f>
        <v>FES1162563547</v>
      </c>
      <c r="D2190" s="10" t="s">
        <v>19</v>
      </c>
      <c r="E2190" s="10" t="s">
        <v>468</v>
      </c>
      <c r="F2190" s="10" t="str">
        <f>"2170579558 "</f>
        <v xml:space="preserve">2170579558 </v>
      </c>
      <c r="G2190" s="10" t="str">
        <f t="shared" si="92"/>
        <v>ON1</v>
      </c>
      <c r="H2190" s="10" t="s">
        <v>21</v>
      </c>
      <c r="I2190" s="10" t="s">
        <v>469</v>
      </c>
      <c r="J2190" s="10" t="str">
        <f>""</f>
        <v/>
      </c>
      <c r="K2190" s="10" t="str">
        <f>"PFES1162563547_0001"</f>
        <v>PFES1162563547_0001</v>
      </c>
      <c r="L2190" s="10">
        <v>1</v>
      </c>
      <c r="M2190" s="10">
        <v>2</v>
      </c>
    </row>
    <row r="2191" spans="1:13">
      <c r="A2191" s="8">
        <v>42935</v>
      </c>
      <c r="B2191" s="9">
        <v>0.61319444444444449</v>
      </c>
      <c r="C2191" s="10" t="str">
        <f>"FES1162563627"</f>
        <v>FES1162563627</v>
      </c>
      <c r="D2191" s="10" t="s">
        <v>19</v>
      </c>
      <c r="E2191" s="10" t="s">
        <v>280</v>
      </c>
      <c r="F2191" s="10" t="str">
        <f>"2170580139 "</f>
        <v xml:space="preserve">2170580139 </v>
      </c>
      <c r="G2191" s="10" t="str">
        <f t="shared" si="92"/>
        <v>ON1</v>
      </c>
      <c r="H2191" s="10" t="s">
        <v>21</v>
      </c>
      <c r="I2191" s="10" t="s">
        <v>281</v>
      </c>
      <c r="J2191" s="10" t="str">
        <f>""</f>
        <v/>
      </c>
      <c r="K2191" s="10" t="str">
        <f>"PFES1162563627_0001"</f>
        <v>PFES1162563627_0001</v>
      </c>
      <c r="L2191" s="10">
        <v>1</v>
      </c>
      <c r="M2191" s="10">
        <v>4</v>
      </c>
    </row>
    <row r="2192" spans="1:13">
      <c r="A2192" s="8">
        <v>42935</v>
      </c>
      <c r="B2192" s="9">
        <v>0.61319444444444449</v>
      </c>
      <c r="C2192" s="10" t="str">
        <f>"FES1162563618"</f>
        <v>FES1162563618</v>
      </c>
      <c r="D2192" s="10" t="s">
        <v>19</v>
      </c>
      <c r="E2192" s="10" t="s">
        <v>946</v>
      </c>
      <c r="F2192" s="10" t="str">
        <f>"2170580126 "</f>
        <v xml:space="preserve">2170580126 </v>
      </c>
      <c r="G2192" s="10" t="str">
        <f t="shared" si="92"/>
        <v>ON1</v>
      </c>
      <c r="H2192" s="10" t="s">
        <v>21</v>
      </c>
      <c r="I2192" s="10" t="s">
        <v>168</v>
      </c>
      <c r="J2192" s="10" t="str">
        <f>""</f>
        <v/>
      </c>
      <c r="K2192" s="10" t="str">
        <f>"PFES1162563618_0001"</f>
        <v>PFES1162563618_0001</v>
      </c>
      <c r="L2192" s="10">
        <v>1</v>
      </c>
      <c r="M2192" s="10">
        <v>3</v>
      </c>
    </row>
    <row r="2193" spans="1:13">
      <c r="A2193" s="8">
        <v>42935</v>
      </c>
      <c r="B2193" s="9">
        <v>0.61319444444444449</v>
      </c>
      <c r="C2193" s="10" t="str">
        <f>"FES1162563578"</f>
        <v>FES1162563578</v>
      </c>
      <c r="D2193" s="10" t="s">
        <v>19</v>
      </c>
      <c r="E2193" s="10" t="s">
        <v>57</v>
      </c>
      <c r="F2193" s="10" t="str">
        <f>"21705780056 "</f>
        <v xml:space="preserve">21705780056 </v>
      </c>
      <c r="G2193" s="10" t="str">
        <f t="shared" si="92"/>
        <v>ON1</v>
      </c>
      <c r="H2193" s="10" t="s">
        <v>21</v>
      </c>
      <c r="I2193" s="10" t="s">
        <v>58</v>
      </c>
      <c r="J2193" s="10" t="str">
        <f>""</f>
        <v/>
      </c>
      <c r="K2193" s="10" t="str">
        <f>"PFES1162563578_0001"</f>
        <v>PFES1162563578_0001</v>
      </c>
      <c r="L2193" s="10">
        <v>1</v>
      </c>
      <c r="M2193" s="10">
        <v>2</v>
      </c>
    </row>
    <row r="2194" spans="1:13">
      <c r="A2194" s="8">
        <v>42935</v>
      </c>
      <c r="B2194" s="9">
        <v>0.60833333333333328</v>
      </c>
      <c r="C2194" s="10" t="str">
        <f>"FES1162563392"</f>
        <v>FES1162563392</v>
      </c>
      <c r="D2194" s="10" t="s">
        <v>19</v>
      </c>
      <c r="E2194" s="10" t="s">
        <v>955</v>
      </c>
      <c r="F2194" s="10" t="str">
        <f>"2170577443 "</f>
        <v xml:space="preserve">2170577443 </v>
      </c>
      <c r="G2194" s="10" t="str">
        <f t="shared" si="92"/>
        <v>ON1</v>
      </c>
      <c r="H2194" s="10" t="s">
        <v>21</v>
      </c>
      <c r="I2194" s="10" t="s">
        <v>90</v>
      </c>
      <c r="J2194" s="10" t="str">
        <f>""</f>
        <v/>
      </c>
      <c r="K2194" s="10" t="str">
        <f>"PFES1162563392_0001"</f>
        <v>PFES1162563392_0001</v>
      </c>
      <c r="L2194" s="10">
        <v>1</v>
      </c>
      <c r="M2194" s="10">
        <v>1</v>
      </c>
    </row>
    <row r="2195" spans="1:13">
      <c r="A2195" s="8">
        <v>42935</v>
      </c>
      <c r="B2195" s="9">
        <v>0.6069444444444444</v>
      </c>
      <c r="C2195" s="10" t="str">
        <f>"FES1162563622"</f>
        <v>FES1162563622</v>
      </c>
      <c r="D2195" s="10" t="s">
        <v>19</v>
      </c>
      <c r="E2195" s="10" t="s">
        <v>384</v>
      </c>
      <c r="F2195" s="10" t="str">
        <f>"2170780131 "</f>
        <v xml:space="preserve">2170780131 </v>
      </c>
      <c r="G2195" s="10" t="str">
        <f t="shared" si="92"/>
        <v>ON1</v>
      </c>
      <c r="H2195" s="10" t="s">
        <v>21</v>
      </c>
      <c r="I2195" s="10" t="s">
        <v>228</v>
      </c>
      <c r="J2195" s="10" t="str">
        <f>""</f>
        <v/>
      </c>
      <c r="K2195" s="10" t="str">
        <f>"PFES1162563622_0001"</f>
        <v>PFES1162563622_0001</v>
      </c>
      <c r="L2195" s="10">
        <v>1</v>
      </c>
      <c r="M2195" s="10">
        <v>1</v>
      </c>
    </row>
    <row r="2196" spans="1:13">
      <c r="A2196" s="8">
        <v>42935</v>
      </c>
      <c r="B2196" s="9">
        <v>0.60625000000000007</v>
      </c>
      <c r="C2196" s="10" t="str">
        <f>"FES1162563387"</f>
        <v>FES1162563387</v>
      </c>
      <c r="D2196" s="10" t="s">
        <v>19</v>
      </c>
      <c r="E2196" s="10" t="s">
        <v>605</v>
      </c>
      <c r="F2196" s="10" t="str">
        <f>"2170579922 "</f>
        <v xml:space="preserve">2170579922 </v>
      </c>
      <c r="G2196" s="10" t="str">
        <f t="shared" si="92"/>
        <v>ON1</v>
      </c>
      <c r="H2196" s="10" t="s">
        <v>21</v>
      </c>
      <c r="I2196" s="10" t="s">
        <v>567</v>
      </c>
      <c r="J2196" s="10" t="str">
        <f>""</f>
        <v/>
      </c>
      <c r="K2196" s="10" t="str">
        <f>"PFES1162563387_0001"</f>
        <v>PFES1162563387_0001</v>
      </c>
      <c r="L2196" s="10">
        <v>1</v>
      </c>
      <c r="M2196" s="10">
        <v>1</v>
      </c>
    </row>
    <row r="2197" spans="1:13">
      <c r="A2197" s="8">
        <v>42935</v>
      </c>
      <c r="B2197" s="9">
        <v>0.60625000000000007</v>
      </c>
      <c r="C2197" s="10" t="str">
        <f>"FES1162563625"</f>
        <v>FES1162563625</v>
      </c>
      <c r="D2197" s="10" t="s">
        <v>19</v>
      </c>
      <c r="E2197" s="10" t="s">
        <v>384</v>
      </c>
      <c r="F2197" s="10" t="str">
        <f>"2170580136 "</f>
        <v xml:space="preserve">2170580136 </v>
      </c>
      <c r="G2197" s="10" t="str">
        <f t="shared" si="92"/>
        <v>ON1</v>
      </c>
      <c r="H2197" s="10" t="s">
        <v>21</v>
      </c>
      <c r="I2197" s="10" t="s">
        <v>228</v>
      </c>
      <c r="J2197" s="10" t="str">
        <f>""</f>
        <v/>
      </c>
      <c r="K2197" s="10" t="str">
        <f>"PFES1162563625_0001"</f>
        <v>PFES1162563625_0001</v>
      </c>
      <c r="L2197" s="10">
        <v>1</v>
      </c>
      <c r="M2197" s="10">
        <v>1</v>
      </c>
    </row>
    <row r="2198" spans="1:13">
      <c r="A2198" s="8">
        <v>42935</v>
      </c>
      <c r="B2198" s="9">
        <v>0.60625000000000007</v>
      </c>
      <c r="C2198" s="10" t="str">
        <f>"FES1162563381"</f>
        <v>FES1162563381</v>
      </c>
      <c r="D2198" s="10" t="s">
        <v>19</v>
      </c>
      <c r="E2198" s="10" t="s">
        <v>879</v>
      </c>
      <c r="F2198" s="10" t="str">
        <f>"2170579912 "</f>
        <v xml:space="preserve">2170579912 </v>
      </c>
      <c r="G2198" s="10" t="str">
        <f t="shared" si="92"/>
        <v>ON1</v>
      </c>
      <c r="H2198" s="10" t="s">
        <v>21</v>
      </c>
      <c r="I2198" s="10" t="s">
        <v>412</v>
      </c>
      <c r="J2198" s="10" t="str">
        <f>""</f>
        <v/>
      </c>
      <c r="K2198" s="10" t="str">
        <f>"PFES1162563381_0001"</f>
        <v>PFES1162563381_0001</v>
      </c>
      <c r="L2198" s="10">
        <v>1</v>
      </c>
      <c r="M2198" s="10">
        <v>1</v>
      </c>
    </row>
    <row r="2199" spans="1:13">
      <c r="A2199" s="8">
        <v>42935</v>
      </c>
      <c r="B2199" s="9">
        <v>0.60555555555555551</v>
      </c>
      <c r="C2199" s="10" t="str">
        <f>"FES1162563432"</f>
        <v>FES1162563432</v>
      </c>
      <c r="D2199" s="10" t="s">
        <v>19</v>
      </c>
      <c r="E2199" s="10" t="s">
        <v>83</v>
      </c>
      <c r="F2199" s="10" t="str">
        <f>"2170578336 "</f>
        <v xml:space="preserve">2170578336 </v>
      </c>
      <c r="G2199" s="10" t="str">
        <f t="shared" si="92"/>
        <v>ON1</v>
      </c>
      <c r="H2199" s="10" t="s">
        <v>21</v>
      </c>
      <c r="I2199" s="10" t="s">
        <v>84</v>
      </c>
      <c r="J2199" s="10" t="str">
        <f>""</f>
        <v/>
      </c>
      <c r="K2199" s="10" t="str">
        <f>"PFES1162563432_0001"</f>
        <v>PFES1162563432_0001</v>
      </c>
      <c r="L2199" s="10">
        <v>1</v>
      </c>
      <c r="M2199" s="10">
        <v>1</v>
      </c>
    </row>
    <row r="2200" spans="1:13">
      <c r="A2200" s="8">
        <v>42935</v>
      </c>
      <c r="B2200" s="9">
        <v>0.60486111111111118</v>
      </c>
      <c r="C2200" s="10" t="str">
        <f>"FES1162563612"</f>
        <v>FES1162563612</v>
      </c>
      <c r="D2200" s="10" t="s">
        <v>19</v>
      </c>
      <c r="E2200" s="10" t="s">
        <v>815</v>
      </c>
      <c r="F2200" s="10" t="str">
        <f>"2170580117 "</f>
        <v xml:space="preserve">2170580117 </v>
      </c>
      <c r="G2200" s="10" t="str">
        <f t="shared" si="92"/>
        <v>ON1</v>
      </c>
      <c r="H2200" s="10" t="s">
        <v>21</v>
      </c>
      <c r="I2200" s="10" t="s">
        <v>130</v>
      </c>
      <c r="J2200" s="10" t="str">
        <f>""</f>
        <v/>
      </c>
      <c r="K2200" s="10" t="str">
        <f>"PFES1162563612_0001"</f>
        <v>PFES1162563612_0001</v>
      </c>
      <c r="L2200" s="10">
        <v>1</v>
      </c>
      <c r="M2200" s="10">
        <v>1</v>
      </c>
    </row>
    <row r="2201" spans="1:13">
      <c r="A2201" s="8">
        <v>42935</v>
      </c>
      <c r="B2201" s="9">
        <v>0.60486111111111118</v>
      </c>
      <c r="C2201" s="10" t="str">
        <f>"FES1162563391"</f>
        <v>FES1162563391</v>
      </c>
      <c r="D2201" s="10" t="s">
        <v>19</v>
      </c>
      <c r="E2201" s="10" t="s">
        <v>456</v>
      </c>
      <c r="F2201" s="10" t="str">
        <f>"2170575152 "</f>
        <v xml:space="preserve">2170575152 </v>
      </c>
      <c r="G2201" s="10" t="str">
        <f t="shared" si="92"/>
        <v>ON1</v>
      </c>
      <c r="H2201" s="10" t="s">
        <v>21</v>
      </c>
      <c r="I2201" s="10" t="s">
        <v>36</v>
      </c>
      <c r="J2201" s="10" t="str">
        <f>""</f>
        <v/>
      </c>
      <c r="K2201" s="10" t="str">
        <f>"PFES1162563391_0001"</f>
        <v>PFES1162563391_0001</v>
      </c>
      <c r="L2201" s="10">
        <v>1</v>
      </c>
      <c r="M2201" s="10">
        <v>1</v>
      </c>
    </row>
    <row r="2202" spans="1:13">
      <c r="A2202" s="8">
        <v>42935</v>
      </c>
      <c r="B2202" s="9">
        <v>0.60416666666666663</v>
      </c>
      <c r="C2202" s="10" t="str">
        <f>"FES1162563626"</f>
        <v>FES1162563626</v>
      </c>
      <c r="D2202" s="10" t="s">
        <v>19</v>
      </c>
      <c r="E2202" s="10" t="s">
        <v>384</v>
      </c>
      <c r="F2202" s="10" t="str">
        <f>"2170580137 "</f>
        <v xml:space="preserve">2170580137 </v>
      </c>
      <c r="G2202" s="10" t="str">
        <f t="shared" si="92"/>
        <v>ON1</v>
      </c>
      <c r="H2202" s="10" t="s">
        <v>21</v>
      </c>
      <c r="I2202" s="10" t="s">
        <v>228</v>
      </c>
      <c r="J2202" s="10" t="str">
        <f>""</f>
        <v/>
      </c>
      <c r="K2202" s="10" t="str">
        <f>"PFES1162563626_0001"</f>
        <v>PFES1162563626_0001</v>
      </c>
      <c r="L2202" s="10">
        <v>1</v>
      </c>
      <c r="M2202" s="10">
        <v>1</v>
      </c>
    </row>
    <row r="2203" spans="1:13">
      <c r="A2203" s="8">
        <v>42935</v>
      </c>
      <c r="B2203" s="9">
        <v>0.60347222222222219</v>
      </c>
      <c r="C2203" s="10" t="str">
        <f>"FES1162563535"</f>
        <v>FES1162563535</v>
      </c>
      <c r="D2203" s="10" t="s">
        <v>19</v>
      </c>
      <c r="E2203" s="10" t="s">
        <v>956</v>
      </c>
      <c r="F2203" s="10" t="str">
        <f>"2170579196 "</f>
        <v xml:space="preserve">2170579196 </v>
      </c>
      <c r="G2203" s="10" t="str">
        <f t="shared" si="92"/>
        <v>ON1</v>
      </c>
      <c r="H2203" s="10" t="s">
        <v>21</v>
      </c>
      <c r="I2203" s="10" t="s">
        <v>455</v>
      </c>
      <c r="J2203" s="10" t="str">
        <f>""</f>
        <v/>
      </c>
      <c r="K2203" s="10" t="str">
        <f>"PFES1162563535_0001"</f>
        <v>PFES1162563535_0001</v>
      </c>
      <c r="L2203" s="10">
        <v>1</v>
      </c>
      <c r="M2203" s="10">
        <v>1</v>
      </c>
    </row>
    <row r="2204" spans="1:13">
      <c r="A2204" s="8">
        <v>42935</v>
      </c>
      <c r="B2204" s="9">
        <v>0.60069444444444442</v>
      </c>
      <c r="C2204" s="10" t="str">
        <f>"FES1162563379"</f>
        <v>FES1162563379</v>
      </c>
      <c r="D2204" s="10" t="s">
        <v>19</v>
      </c>
      <c r="E2204" s="10" t="s">
        <v>957</v>
      </c>
      <c r="F2204" s="10" t="str">
        <f>"2170579910 "</f>
        <v xml:space="preserve">2170579910 </v>
      </c>
      <c r="G2204" s="10" t="str">
        <f>"DBC"</f>
        <v>DBC</v>
      </c>
      <c r="H2204" s="10" t="s">
        <v>21</v>
      </c>
      <c r="I2204" s="10" t="s">
        <v>745</v>
      </c>
      <c r="J2204" s="10" t="str">
        <f>""</f>
        <v/>
      </c>
      <c r="K2204" s="10" t="str">
        <f>"PFES1162563379_0001"</f>
        <v>PFES1162563379_0001</v>
      </c>
      <c r="L2204" s="10">
        <v>3</v>
      </c>
      <c r="M2204" s="10">
        <v>27</v>
      </c>
    </row>
    <row r="2205" spans="1:13">
      <c r="A2205" s="8">
        <v>42935</v>
      </c>
      <c r="B2205" s="9">
        <v>0.60069444444444442</v>
      </c>
      <c r="C2205" s="10" t="str">
        <f>"FES1162563379"</f>
        <v>FES1162563379</v>
      </c>
      <c r="D2205" s="10" t="s">
        <v>19</v>
      </c>
      <c r="E2205" s="10" t="s">
        <v>957</v>
      </c>
      <c r="F2205" s="10" t="str">
        <f t="shared" ref="F2205:F2206" si="93">"2170579910 "</f>
        <v xml:space="preserve">2170579910 </v>
      </c>
      <c r="G2205" s="10" t="str">
        <f t="shared" ref="G2205:G2206" si="94">"DBC"</f>
        <v>DBC</v>
      </c>
      <c r="H2205" s="10" t="s">
        <v>21</v>
      </c>
      <c r="I2205" s="10" t="s">
        <v>745</v>
      </c>
      <c r="J2205" s="10"/>
      <c r="K2205" s="10" t="str">
        <f>"PFES1162563379_0002"</f>
        <v>PFES1162563379_0002</v>
      </c>
      <c r="L2205" s="10">
        <v>3</v>
      </c>
      <c r="M2205" s="10">
        <v>27</v>
      </c>
    </row>
    <row r="2206" spans="1:13">
      <c r="A2206" s="8">
        <v>42935</v>
      </c>
      <c r="B2206" s="9">
        <v>0.60069444444444442</v>
      </c>
      <c r="C2206" s="10" t="str">
        <f>"FES1162563379"</f>
        <v>FES1162563379</v>
      </c>
      <c r="D2206" s="10" t="s">
        <v>19</v>
      </c>
      <c r="E2206" s="10" t="s">
        <v>957</v>
      </c>
      <c r="F2206" s="10" t="str">
        <f t="shared" si="93"/>
        <v xml:space="preserve">2170579910 </v>
      </c>
      <c r="G2206" s="10" t="str">
        <f t="shared" si="94"/>
        <v>DBC</v>
      </c>
      <c r="H2206" s="10" t="s">
        <v>21</v>
      </c>
      <c r="I2206" s="10" t="s">
        <v>745</v>
      </c>
      <c r="J2206" s="10"/>
      <c r="K2206" s="10" t="str">
        <f>"PFES1162563379_0003"</f>
        <v>PFES1162563379_0003</v>
      </c>
      <c r="L2206" s="10">
        <v>3</v>
      </c>
      <c r="M2206" s="10">
        <v>27</v>
      </c>
    </row>
    <row r="2207" spans="1:13">
      <c r="A2207" s="8">
        <v>42935</v>
      </c>
      <c r="B2207" s="9">
        <v>0.59791666666666665</v>
      </c>
      <c r="C2207" s="10" t="str">
        <f>"FES1162563585"</f>
        <v>FES1162563585</v>
      </c>
      <c r="D2207" s="10" t="s">
        <v>19</v>
      </c>
      <c r="E2207" s="10" t="s">
        <v>333</v>
      </c>
      <c r="F2207" s="10" t="str">
        <f>"2170579886 "</f>
        <v xml:space="preserve">2170579886 </v>
      </c>
      <c r="G2207" s="10" t="str">
        <f t="shared" ref="G2207:G2229" si="95">"ON1"</f>
        <v>ON1</v>
      </c>
      <c r="H2207" s="10" t="s">
        <v>21</v>
      </c>
      <c r="I2207" s="10" t="s">
        <v>334</v>
      </c>
      <c r="J2207" s="10" t="str">
        <f>""</f>
        <v/>
      </c>
      <c r="K2207" s="10" t="str">
        <f>"PFES1162563585_0001"</f>
        <v>PFES1162563585_0001</v>
      </c>
      <c r="L2207" s="10">
        <v>1</v>
      </c>
      <c r="M2207" s="10">
        <v>3</v>
      </c>
    </row>
    <row r="2208" spans="1:13">
      <c r="A2208" s="8">
        <v>42935</v>
      </c>
      <c r="B2208" s="9">
        <v>0.59722222222222221</v>
      </c>
      <c r="C2208" s="10" t="str">
        <f>"FES1162563525"</f>
        <v>FES1162563525</v>
      </c>
      <c r="D2208" s="10" t="s">
        <v>19</v>
      </c>
      <c r="E2208" s="10" t="s">
        <v>958</v>
      </c>
      <c r="F2208" s="10" t="str">
        <f>"2170579992 "</f>
        <v xml:space="preserve">2170579992 </v>
      </c>
      <c r="G2208" s="10" t="str">
        <f t="shared" si="95"/>
        <v>ON1</v>
      </c>
      <c r="H2208" s="10" t="s">
        <v>21</v>
      </c>
      <c r="I2208" s="10" t="s">
        <v>443</v>
      </c>
      <c r="J2208" s="10" t="str">
        <f>""</f>
        <v/>
      </c>
      <c r="K2208" s="10" t="str">
        <f>"PFES1162563525_0001"</f>
        <v>PFES1162563525_0001</v>
      </c>
      <c r="L2208" s="10">
        <v>1</v>
      </c>
      <c r="M2208" s="10">
        <v>7</v>
      </c>
    </row>
    <row r="2209" spans="1:13">
      <c r="A2209" s="8">
        <v>42935</v>
      </c>
      <c r="B2209" s="9">
        <v>0.59583333333333333</v>
      </c>
      <c r="C2209" s="10" t="str">
        <f>"FES1162563382"</f>
        <v>FES1162563382</v>
      </c>
      <c r="D2209" s="10" t="s">
        <v>19</v>
      </c>
      <c r="E2209" s="10" t="s">
        <v>63</v>
      </c>
      <c r="F2209" s="10" t="str">
        <f>"2170579913 "</f>
        <v xml:space="preserve">2170579913 </v>
      </c>
      <c r="G2209" s="10" t="str">
        <f t="shared" si="95"/>
        <v>ON1</v>
      </c>
      <c r="H2209" s="10" t="s">
        <v>21</v>
      </c>
      <c r="I2209" s="10" t="s">
        <v>64</v>
      </c>
      <c r="J2209" s="10" t="str">
        <f>""</f>
        <v/>
      </c>
      <c r="K2209" s="10" t="str">
        <f>"PFES1162563382_0001"</f>
        <v>PFES1162563382_0001</v>
      </c>
      <c r="L2209" s="10">
        <v>1</v>
      </c>
      <c r="M2209" s="10">
        <v>1</v>
      </c>
    </row>
    <row r="2210" spans="1:13">
      <c r="A2210" s="8">
        <v>42935</v>
      </c>
      <c r="B2210" s="9">
        <v>0.59444444444444444</v>
      </c>
      <c r="C2210" s="10" t="str">
        <f>"FES1162563448"</f>
        <v>FES1162563448</v>
      </c>
      <c r="D2210" s="10" t="s">
        <v>19</v>
      </c>
      <c r="E2210" s="10" t="s">
        <v>959</v>
      </c>
      <c r="F2210" s="10" t="str">
        <f>"2170579103 "</f>
        <v xml:space="preserve">2170579103 </v>
      </c>
      <c r="G2210" s="10" t="str">
        <f t="shared" si="95"/>
        <v>ON1</v>
      </c>
      <c r="H2210" s="10" t="s">
        <v>21</v>
      </c>
      <c r="I2210" s="10" t="s">
        <v>960</v>
      </c>
      <c r="J2210" s="10" t="str">
        <f>""</f>
        <v/>
      </c>
      <c r="K2210" s="10" t="str">
        <f>"PFES1162563448_0001"</f>
        <v>PFES1162563448_0001</v>
      </c>
      <c r="L2210" s="10">
        <v>1</v>
      </c>
      <c r="M2210" s="10">
        <v>1</v>
      </c>
    </row>
    <row r="2211" spans="1:13">
      <c r="A2211" s="8">
        <v>42935</v>
      </c>
      <c r="B2211" s="9">
        <v>0.59375</v>
      </c>
      <c r="C2211" s="10" t="str">
        <f>"FES1162563469"</f>
        <v>FES1162563469</v>
      </c>
      <c r="D2211" s="10" t="s">
        <v>19</v>
      </c>
      <c r="E2211" s="10" t="s">
        <v>133</v>
      </c>
      <c r="F2211" s="10" t="str">
        <f>"2170579926 "</f>
        <v xml:space="preserve">2170579926 </v>
      </c>
      <c r="G2211" s="10" t="str">
        <f t="shared" si="95"/>
        <v>ON1</v>
      </c>
      <c r="H2211" s="10" t="s">
        <v>21</v>
      </c>
      <c r="I2211" s="10" t="s">
        <v>134</v>
      </c>
      <c r="J2211" s="10" t="str">
        <f>""</f>
        <v/>
      </c>
      <c r="K2211" s="10" t="str">
        <f>"PFES1162563469_0001"</f>
        <v>PFES1162563469_0001</v>
      </c>
      <c r="L2211" s="10">
        <v>1</v>
      </c>
      <c r="M2211" s="10">
        <v>1</v>
      </c>
    </row>
    <row r="2212" spans="1:13">
      <c r="A2212" s="8">
        <v>42935</v>
      </c>
      <c r="B2212" s="9">
        <v>0.59236111111111112</v>
      </c>
      <c r="C2212" s="10" t="str">
        <f>"FES1162563573"</f>
        <v>FES1162563573</v>
      </c>
      <c r="D2212" s="10" t="s">
        <v>19</v>
      </c>
      <c r="E2212" s="10" t="s">
        <v>154</v>
      </c>
      <c r="F2212" s="10" t="str">
        <f>"2170580057 "</f>
        <v xml:space="preserve">2170580057 </v>
      </c>
      <c r="G2212" s="10" t="str">
        <f t="shared" si="95"/>
        <v>ON1</v>
      </c>
      <c r="H2212" s="10" t="s">
        <v>21</v>
      </c>
      <c r="I2212" s="10" t="s">
        <v>130</v>
      </c>
      <c r="J2212" s="10" t="str">
        <f>""</f>
        <v/>
      </c>
      <c r="K2212" s="10" t="str">
        <f>"PFES1162563573_0001"</f>
        <v>PFES1162563573_0001</v>
      </c>
      <c r="L2212" s="10">
        <v>1</v>
      </c>
      <c r="M2212" s="10">
        <v>1</v>
      </c>
    </row>
    <row r="2213" spans="1:13">
      <c r="A2213" s="8">
        <v>42935</v>
      </c>
      <c r="B2213" s="9">
        <v>0.59166666666666667</v>
      </c>
      <c r="C2213" s="10" t="str">
        <f>"FES1162563572"</f>
        <v>FES1162563572</v>
      </c>
      <c r="D2213" s="10" t="s">
        <v>19</v>
      </c>
      <c r="E2213" s="10" t="s">
        <v>154</v>
      </c>
      <c r="F2213" s="10" t="str">
        <f>"2170580051 "</f>
        <v xml:space="preserve">2170580051 </v>
      </c>
      <c r="G2213" s="10" t="str">
        <f t="shared" si="95"/>
        <v>ON1</v>
      </c>
      <c r="H2213" s="10" t="s">
        <v>21</v>
      </c>
      <c r="I2213" s="10" t="s">
        <v>130</v>
      </c>
      <c r="J2213" s="10" t="str">
        <f>""</f>
        <v/>
      </c>
      <c r="K2213" s="10" t="str">
        <f>"PFES1162563572_0001"</f>
        <v>PFES1162563572_0001</v>
      </c>
      <c r="L2213" s="10">
        <v>1</v>
      </c>
      <c r="M2213" s="10">
        <v>1</v>
      </c>
    </row>
    <row r="2214" spans="1:13">
      <c r="A2214" s="8">
        <v>42935</v>
      </c>
      <c r="B2214" s="9">
        <v>0.59166666666666667</v>
      </c>
      <c r="C2214" s="10" t="str">
        <f>"FES1162563609"</f>
        <v>FES1162563609</v>
      </c>
      <c r="D2214" s="10" t="s">
        <v>19</v>
      </c>
      <c r="E2214" s="10" t="s">
        <v>146</v>
      </c>
      <c r="F2214" s="10" t="str">
        <f>"2170580112 "</f>
        <v xml:space="preserve">2170580112 </v>
      </c>
      <c r="G2214" s="10" t="str">
        <f t="shared" si="95"/>
        <v>ON1</v>
      </c>
      <c r="H2214" s="10" t="s">
        <v>21</v>
      </c>
      <c r="I2214" s="10" t="s">
        <v>147</v>
      </c>
      <c r="J2214" s="10" t="str">
        <f>""</f>
        <v/>
      </c>
      <c r="K2214" s="10" t="str">
        <f>"PFES1162563609_0001"</f>
        <v>PFES1162563609_0001</v>
      </c>
      <c r="L2214" s="10">
        <v>1</v>
      </c>
      <c r="M2214" s="10">
        <v>2</v>
      </c>
    </row>
    <row r="2215" spans="1:13">
      <c r="A2215" s="8">
        <v>42935</v>
      </c>
      <c r="B2215" s="9">
        <v>0.5805555555555556</v>
      </c>
      <c r="C2215" s="10" t="str">
        <f>"FES1162563444"</f>
        <v>FES1162563444</v>
      </c>
      <c r="D2215" s="10" t="s">
        <v>19</v>
      </c>
      <c r="E2215" s="10" t="s">
        <v>99</v>
      </c>
      <c r="F2215" s="10" t="str">
        <f>"2170579036 "</f>
        <v xml:space="preserve">2170579036 </v>
      </c>
      <c r="G2215" s="10" t="str">
        <f t="shared" si="95"/>
        <v>ON1</v>
      </c>
      <c r="H2215" s="10" t="s">
        <v>21</v>
      </c>
      <c r="I2215" s="10" t="s">
        <v>100</v>
      </c>
      <c r="J2215" s="10" t="str">
        <f>""</f>
        <v/>
      </c>
      <c r="K2215" s="10" t="str">
        <f>"PFES1162563444_0001"</f>
        <v>PFES1162563444_0001</v>
      </c>
      <c r="L2215" s="10">
        <v>1</v>
      </c>
      <c r="M2215" s="10">
        <v>1</v>
      </c>
    </row>
    <row r="2216" spans="1:13">
      <c r="A2216" s="8">
        <v>42935</v>
      </c>
      <c r="B2216" s="9">
        <v>0.5805555555555556</v>
      </c>
      <c r="C2216" s="10" t="str">
        <f>"FES1162563561"</f>
        <v>FES1162563561</v>
      </c>
      <c r="D2216" s="10" t="s">
        <v>19</v>
      </c>
      <c r="E2216" s="10" t="s">
        <v>39</v>
      </c>
      <c r="F2216" s="10" t="str">
        <f>"21705780039 "</f>
        <v xml:space="preserve">21705780039 </v>
      </c>
      <c r="G2216" s="10" t="str">
        <f t="shared" si="95"/>
        <v>ON1</v>
      </c>
      <c r="H2216" s="10" t="s">
        <v>21</v>
      </c>
      <c r="I2216" s="10" t="s">
        <v>40</v>
      </c>
      <c r="J2216" s="10" t="str">
        <f>""</f>
        <v/>
      </c>
      <c r="K2216" s="10" t="str">
        <f>"PFES1162563561_0001"</f>
        <v>PFES1162563561_0001</v>
      </c>
      <c r="L2216" s="10">
        <v>1</v>
      </c>
      <c r="M2216" s="10">
        <v>1</v>
      </c>
    </row>
    <row r="2217" spans="1:13">
      <c r="A2217" s="8">
        <v>42935</v>
      </c>
      <c r="B2217" s="9">
        <v>0.57986111111111105</v>
      </c>
      <c r="C2217" s="10" t="str">
        <f>"FES1162563565"</f>
        <v>FES1162563565</v>
      </c>
      <c r="D2217" s="10" t="s">
        <v>19</v>
      </c>
      <c r="E2217" s="10" t="s">
        <v>403</v>
      </c>
      <c r="F2217" s="10" t="str">
        <f>"21705780043 "</f>
        <v xml:space="preserve">21705780043 </v>
      </c>
      <c r="G2217" s="10" t="str">
        <f t="shared" si="95"/>
        <v>ON1</v>
      </c>
      <c r="H2217" s="10" t="s">
        <v>21</v>
      </c>
      <c r="I2217" s="10" t="s">
        <v>222</v>
      </c>
      <c r="J2217" s="10" t="str">
        <f>""</f>
        <v/>
      </c>
      <c r="K2217" s="10" t="str">
        <f>"PFES1162563565_0001"</f>
        <v>PFES1162563565_0001</v>
      </c>
      <c r="L2217" s="10">
        <v>1</v>
      </c>
      <c r="M2217" s="10">
        <v>1</v>
      </c>
    </row>
    <row r="2218" spans="1:13">
      <c r="A2218" s="8">
        <v>42935</v>
      </c>
      <c r="B2218" s="9">
        <v>0.57986111111111105</v>
      </c>
      <c r="C2218" s="10" t="str">
        <f>"FES1162563589"</f>
        <v>FES1162563589</v>
      </c>
      <c r="D2218" s="10" t="s">
        <v>19</v>
      </c>
      <c r="E2218" s="10" t="s">
        <v>381</v>
      </c>
      <c r="F2218" s="10" t="str">
        <f>"21705780071 "</f>
        <v xml:space="preserve">21705780071 </v>
      </c>
      <c r="G2218" s="10" t="str">
        <f t="shared" si="95"/>
        <v>ON1</v>
      </c>
      <c r="H2218" s="10" t="s">
        <v>21</v>
      </c>
      <c r="I2218" s="10" t="s">
        <v>149</v>
      </c>
      <c r="J2218" s="10" t="str">
        <f>""</f>
        <v/>
      </c>
      <c r="K2218" s="10" t="str">
        <f>"PFES1162563589_0001"</f>
        <v>PFES1162563589_0001</v>
      </c>
      <c r="L2218" s="10">
        <v>1</v>
      </c>
      <c r="M2218" s="10">
        <v>1</v>
      </c>
    </row>
    <row r="2219" spans="1:13">
      <c r="A2219" s="8">
        <v>42935</v>
      </c>
      <c r="B2219" s="9">
        <v>0.57916666666666672</v>
      </c>
      <c r="C2219" s="10" t="str">
        <f>"FES1162563595"</f>
        <v>FES1162563595</v>
      </c>
      <c r="D2219" s="10" t="s">
        <v>19</v>
      </c>
      <c r="E2219" s="10" t="s">
        <v>497</v>
      </c>
      <c r="F2219" s="10" t="str">
        <f>"2170580080 "</f>
        <v xml:space="preserve">2170580080 </v>
      </c>
      <c r="G2219" s="10" t="str">
        <f t="shared" si="95"/>
        <v>ON1</v>
      </c>
      <c r="H2219" s="10" t="s">
        <v>21</v>
      </c>
      <c r="I2219" s="10" t="s">
        <v>307</v>
      </c>
      <c r="J2219" s="10" t="str">
        <f>""</f>
        <v/>
      </c>
      <c r="K2219" s="10" t="str">
        <f>"PFES1162563595_0001"</f>
        <v>PFES1162563595_0001</v>
      </c>
      <c r="L2219" s="10">
        <v>1</v>
      </c>
      <c r="M2219" s="10">
        <v>1</v>
      </c>
    </row>
    <row r="2220" spans="1:13">
      <c r="A2220" s="8">
        <v>42935</v>
      </c>
      <c r="B2220" s="9">
        <v>0.57916666666666672</v>
      </c>
      <c r="C2220" s="10" t="str">
        <f>"FES1162563549"</f>
        <v>FES1162563549</v>
      </c>
      <c r="D2220" s="10" t="s">
        <v>19</v>
      </c>
      <c r="E2220" s="10" t="s">
        <v>62</v>
      </c>
      <c r="F2220" s="10" t="str">
        <f>"21705780020 "</f>
        <v xml:space="preserve">21705780020 </v>
      </c>
      <c r="G2220" s="10" t="str">
        <f t="shared" si="95"/>
        <v>ON1</v>
      </c>
      <c r="H2220" s="10" t="s">
        <v>21</v>
      </c>
      <c r="I2220" s="10" t="s">
        <v>402</v>
      </c>
      <c r="J2220" s="10" t="str">
        <f>""</f>
        <v/>
      </c>
      <c r="K2220" s="10" t="str">
        <f>"PFES1162563549_0001"</f>
        <v>PFES1162563549_0001</v>
      </c>
      <c r="L2220" s="10">
        <v>1</v>
      </c>
      <c r="M2220" s="10">
        <v>1</v>
      </c>
    </row>
    <row r="2221" spans="1:13">
      <c r="A2221" s="8">
        <v>42935</v>
      </c>
      <c r="B2221" s="9">
        <v>0.57916666666666672</v>
      </c>
      <c r="C2221" s="10" t="str">
        <f>"FES1162563604"</f>
        <v>FES1162563604</v>
      </c>
      <c r="D2221" s="10" t="s">
        <v>19</v>
      </c>
      <c r="E2221" s="10" t="s">
        <v>549</v>
      </c>
      <c r="F2221" s="10" t="str">
        <f>"21705780100 "</f>
        <v xml:space="preserve">21705780100 </v>
      </c>
      <c r="G2221" s="10" t="str">
        <f t="shared" si="95"/>
        <v>ON1</v>
      </c>
      <c r="H2221" s="10" t="s">
        <v>21</v>
      </c>
      <c r="I2221" s="10" t="s">
        <v>224</v>
      </c>
      <c r="J2221" s="10" t="str">
        <f>""</f>
        <v/>
      </c>
      <c r="K2221" s="10" t="str">
        <f>"PFES1162563604_0001"</f>
        <v>PFES1162563604_0001</v>
      </c>
      <c r="L2221" s="10">
        <v>1</v>
      </c>
      <c r="M2221" s="10">
        <v>1</v>
      </c>
    </row>
    <row r="2222" spans="1:13">
      <c r="A2222" s="8">
        <v>42935</v>
      </c>
      <c r="B2222" s="9">
        <v>0.57847222222222217</v>
      </c>
      <c r="C2222" s="10" t="str">
        <f>"FES1162563542"</f>
        <v>FES1162563542</v>
      </c>
      <c r="D2222" s="10" t="s">
        <v>19</v>
      </c>
      <c r="E2222" s="10" t="s">
        <v>961</v>
      </c>
      <c r="F2222" s="10" t="str">
        <f>"21705780015 "</f>
        <v xml:space="preserve">21705780015 </v>
      </c>
      <c r="G2222" s="10" t="str">
        <f t="shared" si="95"/>
        <v>ON1</v>
      </c>
      <c r="H2222" s="10" t="s">
        <v>21</v>
      </c>
      <c r="I2222" s="10" t="s">
        <v>117</v>
      </c>
      <c r="J2222" s="10" t="str">
        <f>""</f>
        <v/>
      </c>
      <c r="K2222" s="10" t="str">
        <f>"PFES1162563542_0001"</f>
        <v>PFES1162563542_0001</v>
      </c>
      <c r="L2222" s="10">
        <v>2</v>
      </c>
      <c r="M2222" s="10">
        <v>4</v>
      </c>
    </row>
    <row r="2223" spans="1:13">
      <c r="A2223" s="8">
        <v>42935</v>
      </c>
      <c r="B2223" s="9">
        <v>0.57847222222222217</v>
      </c>
      <c r="C2223" s="10" t="str">
        <f>"FES1162563542"</f>
        <v>FES1162563542</v>
      </c>
      <c r="D2223" s="10" t="s">
        <v>19</v>
      </c>
      <c r="E2223" s="10" t="s">
        <v>961</v>
      </c>
      <c r="F2223" s="10" t="str">
        <f>"21705780015 "</f>
        <v xml:space="preserve">21705780015 </v>
      </c>
      <c r="G2223" s="10" t="str">
        <f t="shared" si="95"/>
        <v>ON1</v>
      </c>
      <c r="H2223" s="10" t="s">
        <v>21</v>
      </c>
      <c r="I2223" s="10" t="s">
        <v>117</v>
      </c>
      <c r="J2223" s="10"/>
      <c r="K2223" s="10" t="str">
        <f>"PFES1162563542_0002"</f>
        <v>PFES1162563542_0002</v>
      </c>
      <c r="L2223" s="10">
        <v>2</v>
      </c>
      <c r="M2223" s="10">
        <v>4</v>
      </c>
    </row>
    <row r="2224" spans="1:13">
      <c r="A2224" s="8">
        <v>42935</v>
      </c>
      <c r="B2224" s="9">
        <v>0.5756944444444444</v>
      </c>
      <c r="C2224" s="10" t="str">
        <f>"FES1162563498"</f>
        <v>FES1162563498</v>
      </c>
      <c r="D2224" s="10" t="s">
        <v>19</v>
      </c>
      <c r="E2224" s="10" t="s">
        <v>191</v>
      </c>
      <c r="F2224" s="10" t="str">
        <f>"2170579963 "</f>
        <v xml:space="preserve">2170579963 </v>
      </c>
      <c r="G2224" s="10" t="str">
        <f t="shared" si="95"/>
        <v>ON1</v>
      </c>
      <c r="H2224" s="10" t="s">
        <v>21</v>
      </c>
      <c r="I2224" s="10" t="s">
        <v>192</v>
      </c>
      <c r="J2224" s="10" t="str">
        <f>""</f>
        <v/>
      </c>
      <c r="K2224" s="10" t="str">
        <f>"PFES1162563498_0001"</f>
        <v>PFES1162563498_0001</v>
      </c>
      <c r="L2224" s="10">
        <v>1</v>
      </c>
      <c r="M2224" s="10">
        <v>1</v>
      </c>
    </row>
    <row r="2225" spans="1:13">
      <c r="A2225" s="8">
        <v>42935</v>
      </c>
      <c r="B2225" s="9">
        <v>0.5756944444444444</v>
      </c>
      <c r="C2225" s="10" t="str">
        <f>"FES1162563385"</f>
        <v>FES1162563385</v>
      </c>
      <c r="D2225" s="10" t="s">
        <v>19</v>
      </c>
      <c r="E2225" s="10" t="s">
        <v>962</v>
      </c>
      <c r="F2225" s="10" t="str">
        <f>"2170579919 "</f>
        <v xml:space="preserve">2170579919 </v>
      </c>
      <c r="G2225" s="10" t="str">
        <f t="shared" si="95"/>
        <v>ON1</v>
      </c>
      <c r="H2225" s="10" t="s">
        <v>21</v>
      </c>
      <c r="I2225" s="10" t="s">
        <v>963</v>
      </c>
      <c r="J2225" s="10" t="str">
        <f>""</f>
        <v/>
      </c>
      <c r="K2225" s="10" t="str">
        <f>"PFES1162563385_0001"</f>
        <v>PFES1162563385_0001</v>
      </c>
      <c r="L2225" s="10">
        <v>1</v>
      </c>
      <c r="M2225" s="10">
        <v>2</v>
      </c>
    </row>
    <row r="2226" spans="1:13">
      <c r="A2226" s="8">
        <v>42935</v>
      </c>
      <c r="B2226" s="9">
        <v>0.57500000000000007</v>
      </c>
      <c r="C2226" s="10" t="str">
        <f>"FES1162563411"</f>
        <v>FES1162563411</v>
      </c>
      <c r="D2226" s="10" t="s">
        <v>19</v>
      </c>
      <c r="E2226" s="10" t="s">
        <v>355</v>
      </c>
      <c r="F2226" s="10" t="str">
        <f>"2170577885 "</f>
        <v xml:space="preserve">2170577885 </v>
      </c>
      <c r="G2226" s="10" t="str">
        <f t="shared" si="95"/>
        <v>ON1</v>
      </c>
      <c r="H2226" s="10" t="s">
        <v>21</v>
      </c>
      <c r="I2226" s="10" t="s">
        <v>330</v>
      </c>
      <c r="J2226" s="10" t="str">
        <f>""</f>
        <v/>
      </c>
      <c r="K2226" s="10" t="str">
        <f>"PFES1162563411_0001"</f>
        <v>PFES1162563411_0001</v>
      </c>
      <c r="L2226" s="10">
        <v>1</v>
      </c>
      <c r="M2226" s="10">
        <v>1</v>
      </c>
    </row>
    <row r="2227" spans="1:13">
      <c r="A2227" s="8">
        <v>42935</v>
      </c>
      <c r="B2227" s="9">
        <v>0.57500000000000007</v>
      </c>
      <c r="C2227" s="10" t="str">
        <f>"FES1162563442"</f>
        <v>FES1162563442</v>
      </c>
      <c r="D2227" s="10" t="s">
        <v>19</v>
      </c>
      <c r="E2227" s="10" t="s">
        <v>376</v>
      </c>
      <c r="F2227" s="10" t="str">
        <f>"2170578932 "</f>
        <v xml:space="preserve">2170578932 </v>
      </c>
      <c r="G2227" s="10" t="str">
        <f t="shared" si="95"/>
        <v>ON1</v>
      </c>
      <c r="H2227" s="10" t="s">
        <v>21</v>
      </c>
      <c r="I2227" s="10" t="s">
        <v>377</v>
      </c>
      <c r="J2227" s="10" t="str">
        <f>""</f>
        <v/>
      </c>
      <c r="K2227" s="10" t="str">
        <f>"PFES1162563442_0001"</f>
        <v>PFES1162563442_0001</v>
      </c>
      <c r="L2227" s="10">
        <v>1</v>
      </c>
      <c r="M2227" s="10">
        <v>1</v>
      </c>
    </row>
    <row r="2228" spans="1:13">
      <c r="A2228" s="8">
        <v>42935</v>
      </c>
      <c r="B2228" s="9">
        <v>0.57430555555555551</v>
      </c>
      <c r="C2228" s="10" t="str">
        <f>"FES1162563473"</f>
        <v>FES1162563473</v>
      </c>
      <c r="D2228" s="10" t="s">
        <v>19</v>
      </c>
      <c r="E2228" s="10" t="s">
        <v>964</v>
      </c>
      <c r="F2228" s="10" t="str">
        <f>"2170579701 "</f>
        <v xml:space="preserve">2170579701 </v>
      </c>
      <c r="G2228" s="10" t="str">
        <f t="shared" si="95"/>
        <v>ON1</v>
      </c>
      <c r="H2228" s="10" t="s">
        <v>21</v>
      </c>
      <c r="I2228" s="10" t="s">
        <v>965</v>
      </c>
      <c r="J2228" s="10" t="str">
        <f>""</f>
        <v/>
      </c>
      <c r="K2228" s="10" t="str">
        <f>"PFES1162563473_0001"</f>
        <v>PFES1162563473_0001</v>
      </c>
      <c r="L2228" s="10">
        <v>1</v>
      </c>
      <c r="M2228" s="10">
        <v>1</v>
      </c>
    </row>
    <row r="2229" spans="1:13">
      <c r="A2229" s="8">
        <v>42935</v>
      </c>
      <c r="B2229" s="9">
        <v>0.57361111111111118</v>
      </c>
      <c r="C2229" s="10" t="str">
        <f>"FES1162563465"</f>
        <v>FES1162563465</v>
      </c>
      <c r="D2229" s="10" t="s">
        <v>19</v>
      </c>
      <c r="E2229" s="10" t="s">
        <v>376</v>
      </c>
      <c r="F2229" s="10" t="str">
        <f>"2170577794 "</f>
        <v xml:space="preserve">2170577794 </v>
      </c>
      <c r="G2229" s="10" t="str">
        <f t="shared" si="95"/>
        <v>ON1</v>
      </c>
      <c r="H2229" s="10" t="s">
        <v>21</v>
      </c>
      <c r="I2229" s="10" t="s">
        <v>377</v>
      </c>
      <c r="J2229" s="10" t="str">
        <f>""</f>
        <v/>
      </c>
      <c r="K2229" s="10" t="str">
        <f>"PFES1162563465_0001"</f>
        <v>PFES1162563465_0001</v>
      </c>
      <c r="L2229" s="10">
        <v>1</v>
      </c>
      <c r="M2229" s="10">
        <v>1</v>
      </c>
    </row>
    <row r="2230" spans="1:13">
      <c r="A2230" s="8">
        <v>42935</v>
      </c>
      <c r="B2230" s="9">
        <v>0.57291666666666663</v>
      </c>
      <c r="C2230" s="10" t="str">
        <f>"FES1162563421"</f>
        <v>FES1162563421</v>
      </c>
      <c r="D2230" s="10" t="s">
        <v>19</v>
      </c>
      <c r="E2230" s="10" t="s">
        <v>477</v>
      </c>
      <c r="F2230" s="10" t="str">
        <f>"2170577991 "</f>
        <v xml:space="preserve">2170577991 </v>
      </c>
      <c r="G2230" s="10" t="str">
        <f>"DBC"</f>
        <v>DBC</v>
      </c>
      <c r="H2230" s="10" t="s">
        <v>21</v>
      </c>
      <c r="I2230" s="10" t="s">
        <v>138</v>
      </c>
      <c r="J2230" s="10" t="str">
        <f>""</f>
        <v/>
      </c>
      <c r="K2230" s="10" t="str">
        <f>"PFES1162563421_0001"</f>
        <v>PFES1162563421_0001</v>
      </c>
      <c r="L2230" s="10">
        <v>2</v>
      </c>
      <c r="M2230" s="10">
        <v>36</v>
      </c>
    </row>
    <row r="2231" spans="1:13">
      <c r="A2231" s="8">
        <v>42935</v>
      </c>
      <c r="B2231" s="9">
        <v>0.57291666666666663</v>
      </c>
      <c r="C2231" s="10" t="str">
        <f>"FES1162563421"</f>
        <v>FES1162563421</v>
      </c>
      <c r="D2231" s="10" t="s">
        <v>19</v>
      </c>
      <c r="E2231" s="10" t="s">
        <v>477</v>
      </c>
      <c r="F2231" s="10" t="str">
        <f>"2170577991 "</f>
        <v xml:space="preserve">2170577991 </v>
      </c>
      <c r="G2231" s="10" t="str">
        <f>"DBC"</f>
        <v>DBC</v>
      </c>
      <c r="H2231" s="10" t="s">
        <v>21</v>
      </c>
      <c r="I2231" s="10" t="s">
        <v>138</v>
      </c>
      <c r="J2231" s="10"/>
      <c r="K2231" s="10" t="str">
        <f>"PFES1162563421_0002"</f>
        <v>PFES1162563421_0002</v>
      </c>
      <c r="L2231" s="10">
        <v>2</v>
      </c>
      <c r="M2231" s="10">
        <v>36</v>
      </c>
    </row>
    <row r="2232" spans="1:13">
      <c r="A2232" s="8">
        <v>42935</v>
      </c>
      <c r="B2232" s="9">
        <v>0.57222222222222219</v>
      </c>
      <c r="C2232" s="10" t="str">
        <f>"FES1162563419"</f>
        <v>FES1162563419</v>
      </c>
      <c r="D2232" s="10" t="s">
        <v>19</v>
      </c>
      <c r="E2232" s="10" t="s">
        <v>477</v>
      </c>
      <c r="F2232" s="10" t="str">
        <f>"2170577696 "</f>
        <v xml:space="preserve">2170577696 </v>
      </c>
      <c r="G2232" s="10" t="str">
        <f>"DBC"</f>
        <v>DBC</v>
      </c>
      <c r="H2232" s="10" t="s">
        <v>21</v>
      </c>
      <c r="I2232" s="10" t="s">
        <v>138</v>
      </c>
      <c r="J2232" s="10" t="str">
        <f>""</f>
        <v/>
      </c>
      <c r="K2232" s="10" t="str">
        <f>"PFES1162563419_0001"</f>
        <v>PFES1162563419_0001</v>
      </c>
      <c r="L2232" s="10">
        <v>2</v>
      </c>
      <c r="M2232" s="10">
        <v>32</v>
      </c>
    </row>
    <row r="2233" spans="1:13">
      <c r="A2233" s="8">
        <v>42935</v>
      </c>
      <c r="B2233" s="9">
        <v>0.57222222222222219</v>
      </c>
      <c r="C2233" s="10" t="str">
        <f>"FES1162563419"</f>
        <v>FES1162563419</v>
      </c>
      <c r="D2233" s="10" t="s">
        <v>19</v>
      </c>
      <c r="E2233" s="10" t="s">
        <v>477</v>
      </c>
      <c r="F2233" s="10" t="str">
        <f>"2170577696 "</f>
        <v xml:space="preserve">2170577696 </v>
      </c>
      <c r="G2233" s="10" t="str">
        <f>"DBC"</f>
        <v>DBC</v>
      </c>
      <c r="H2233" s="10" t="s">
        <v>21</v>
      </c>
      <c r="I2233" s="10" t="s">
        <v>138</v>
      </c>
      <c r="J2233" s="10"/>
      <c r="K2233" s="10" t="str">
        <f>"PFES1162563419_0002"</f>
        <v>PFES1162563419_0002</v>
      </c>
      <c r="L2233" s="10">
        <v>2</v>
      </c>
      <c r="M2233" s="10">
        <v>32</v>
      </c>
    </row>
    <row r="2234" spans="1:13">
      <c r="A2234" s="8">
        <v>42935</v>
      </c>
      <c r="B2234" s="9">
        <v>0.57222222222222219</v>
      </c>
      <c r="C2234" s="10" t="str">
        <f>"FES1162563574"</f>
        <v>FES1162563574</v>
      </c>
      <c r="D2234" s="10" t="s">
        <v>19</v>
      </c>
      <c r="E2234" s="10" t="s">
        <v>966</v>
      </c>
      <c r="F2234" s="10" t="str">
        <f>"2170577621 "</f>
        <v xml:space="preserve">2170577621 </v>
      </c>
      <c r="G2234" s="10" t="str">
        <f t="shared" ref="G2234:G2241" si="96">"ON1"</f>
        <v>ON1</v>
      </c>
      <c r="H2234" s="10" t="s">
        <v>21</v>
      </c>
      <c r="I2234" s="10" t="s">
        <v>443</v>
      </c>
      <c r="J2234" s="10" t="str">
        <f>""</f>
        <v/>
      </c>
      <c r="K2234" s="10" t="str">
        <f>"PFES1162563574_0001"</f>
        <v>PFES1162563574_0001</v>
      </c>
      <c r="L2234" s="10">
        <v>1</v>
      </c>
      <c r="M2234" s="10">
        <v>1</v>
      </c>
    </row>
    <row r="2235" spans="1:13">
      <c r="A2235" s="8">
        <v>42935</v>
      </c>
      <c r="B2235" s="9">
        <v>0.56666666666666665</v>
      </c>
      <c r="C2235" s="10" t="str">
        <f>"FES1162563584"</f>
        <v>FES1162563584</v>
      </c>
      <c r="D2235" s="10" t="s">
        <v>19</v>
      </c>
      <c r="E2235" s="10" t="s">
        <v>967</v>
      </c>
      <c r="F2235" s="10" t="str">
        <f>"2170579842 "</f>
        <v xml:space="preserve">2170579842 </v>
      </c>
      <c r="G2235" s="10" t="str">
        <f t="shared" si="96"/>
        <v>ON1</v>
      </c>
      <c r="H2235" s="10" t="s">
        <v>21</v>
      </c>
      <c r="I2235" s="10" t="s">
        <v>569</v>
      </c>
      <c r="J2235" s="10" t="str">
        <f>""</f>
        <v/>
      </c>
      <c r="K2235" s="10" t="str">
        <f>"PFES1162563584_0001"</f>
        <v>PFES1162563584_0001</v>
      </c>
      <c r="L2235" s="10">
        <v>1</v>
      </c>
      <c r="M2235" s="10">
        <v>5</v>
      </c>
    </row>
    <row r="2236" spans="1:13">
      <c r="A2236" s="8">
        <v>42935</v>
      </c>
      <c r="B2236" s="9">
        <v>0.56666666666666665</v>
      </c>
      <c r="C2236" s="10" t="str">
        <f>"FES1162563503"</f>
        <v>FES1162563503</v>
      </c>
      <c r="D2236" s="10" t="s">
        <v>19</v>
      </c>
      <c r="E2236" s="10" t="s">
        <v>63</v>
      </c>
      <c r="F2236" s="10" t="str">
        <f>"2170579971 "</f>
        <v xml:space="preserve">2170579971 </v>
      </c>
      <c r="G2236" s="10" t="str">
        <f t="shared" si="96"/>
        <v>ON1</v>
      </c>
      <c r="H2236" s="10" t="s">
        <v>21</v>
      </c>
      <c r="I2236" s="10" t="s">
        <v>64</v>
      </c>
      <c r="J2236" s="10" t="str">
        <f>""</f>
        <v/>
      </c>
      <c r="K2236" s="10" t="str">
        <f>"PFES1162563503_0001"</f>
        <v>PFES1162563503_0001</v>
      </c>
      <c r="L2236" s="10">
        <v>1</v>
      </c>
      <c r="M2236" s="10">
        <v>1</v>
      </c>
    </row>
    <row r="2237" spans="1:13">
      <c r="A2237" s="8">
        <v>42935</v>
      </c>
      <c r="B2237" s="9">
        <v>0.56597222222222221</v>
      </c>
      <c r="C2237" s="10" t="str">
        <f>"FES1162563394"</f>
        <v>FES1162563394</v>
      </c>
      <c r="D2237" s="10" t="s">
        <v>19</v>
      </c>
      <c r="E2237" s="10" t="s">
        <v>173</v>
      </c>
      <c r="F2237" s="10" t="str">
        <f>"2170577575 "</f>
        <v xml:space="preserve">2170577575 </v>
      </c>
      <c r="G2237" s="10" t="str">
        <f t="shared" si="96"/>
        <v>ON1</v>
      </c>
      <c r="H2237" s="10" t="s">
        <v>21</v>
      </c>
      <c r="I2237" s="10" t="s">
        <v>174</v>
      </c>
      <c r="J2237" s="10" t="str">
        <f>""</f>
        <v/>
      </c>
      <c r="K2237" s="10" t="str">
        <f>"PFES1162563394_0001"</f>
        <v>PFES1162563394_0001</v>
      </c>
      <c r="L2237" s="10">
        <v>1</v>
      </c>
      <c r="M2237" s="10">
        <v>1</v>
      </c>
    </row>
    <row r="2238" spans="1:13">
      <c r="A2238" s="8">
        <v>42935</v>
      </c>
      <c r="B2238" s="9">
        <v>0.56597222222222221</v>
      </c>
      <c r="C2238" s="10" t="str">
        <f>"FES1162563389"</f>
        <v>FES1162563389</v>
      </c>
      <c r="D2238" s="10" t="s">
        <v>19</v>
      </c>
      <c r="E2238" s="10" t="s">
        <v>968</v>
      </c>
      <c r="F2238" s="10" t="str">
        <f>"2170579924 "</f>
        <v xml:space="preserve">2170579924 </v>
      </c>
      <c r="G2238" s="10" t="str">
        <f t="shared" si="96"/>
        <v>ON1</v>
      </c>
      <c r="H2238" s="10" t="s">
        <v>21</v>
      </c>
      <c r="I2238" s="10" t="s">
        <v>90</v>
      </c>
      <c r="J2238" s="10" t="str">
        <f>""</f>
        <v/>
      </c>
      <c r="K2238" s="10" t="str">
        <f>"PFES1162563389_0001"</f>
        <v>PFES1162563389_0001</v>
      </c>
      <c r="L2238" s="10">
        <v>1</v>
      </c>
      <c r="M2238" s="10">
        <v>1</v>
      </c>
    </row>
    <row r="2239" spans="1:13">
      <c r="A2239" s="8">
        <v>42935</v>
      </c>
      <c r="B2239" s="9">
        <v>0.56458333333333333</v>
      </c>
      <c r="C2239" s="10" t="str">
        <f>"FES1162563430"</f>
        <v>FES1162563430</v>
      </c>
      <c r="D2239" s="10" t="s">
        <v>19</v>
      </c>
      <c r="E2239" s="10" t="s">
        <v>89</v>
      </c>
      <c r="F2239" s="10" t="str">
        <f>"2170578012 "</f>
        <v xml:space="preserve">2170578012 </v>
      </c>
      <c r="G2239" s="10" t="str">
        <f t="shared" si="96"/>
        <v>ON1</v>
      </c>
      <c r="H2239" s="10" t="s">
        <v>21</v>
      </c>
      <c r="I2239" s="10" t="s">
        <v>90</v>
      </c>
      <c r="J2239" s="10" t="str">
        <f>""</f>
        <v/>
      </c>
      <c r="K2239" s="10" t="str">
        <f>"PFES1162563430_0001"</f>
        <v>PFES1162563430_0001</v>
      </c>
      <c r="L2239" s="10">
        <v>1</v>
      </c>
      <c r="M2239" s="10">
        <v>1</v>
      </c>
    </row>
    <row r="2240" spans="1:13">
      <c r="A2240" s="8">
        <v>42935</v>
      </c>
      <c r="B2240" s="9">
        <v>0.56458333333333333</v>
      </c>
      <c r="C2240" s="10" t="str">
        <f>"FES1162563402"</f>
        <v>FES1162563402</v>
      </c>
      <c r="D2240" s="10" t="s">
        <v>19</v>
      </c>
      <c r="E2240" s="10" t="s">
        <v>879</v>
      </c>
      <c r="F2240" s="10" t="str">
        <f>"2170577705 "</f>
        <v xml:space="preserve">2170577705 </v>
      </c>
      <c r="G2240" s="10" t="str">
        <f t="shared" si="96"/>
        <v>ON1</v>
      </c>
      <c r="H2240" s="10" t="s">
        <v>21</v>
      </c>
      <c r="I2240" s="10" t="s">
        <v>412</v>
      </c>
      <c r="J2240" s="10" t="str">
        <f>""</f>
        <v/>
      </c>
      <c r="K2240" s="10" t="str">
        <f>"PFES1162563402_0001"</f>
        <v>PFES1162563402_0001</v>
      </c>
      <c r="L2240" s="10">
        <v>1</v>
      </c>
      <c r="M2240" s="10">
        <v>1</v>
      </c>
    </row>
    <row r="2241" spans="1:13">
      <c r="A2241" s="8">
        <v>42935</v>
      </c>
      <c r="B2241" s="9">
        <v>0.56458333333333333</v>
      </c>
      <c r="C2241" s="10" t="str">
        <f>"FES1162563380"</f>
        <v>FES1162563380</v>
      </c>
      <c r="D2241" s="10" t="s">
        <v>19</v>
      </c>
      <c r="E2241" s="10" t="s">
        <v>879</v>
      </c>
      <c r="F2241" s="10" t="str">
        <f>"2170579911 "</f>
        <v xml:space="preserve">2170579911 </v>
      </c>
      <c r="G2241" s="10" t="str">
        <f t="shared" si="96"/>
        <v>ON1</v>
      </c>
      <c r="H2241" s="10" t="s">
        <v>21</v>
      </c>
      <c r="I2241" s="10" t="s">
        <v>412</v>
      </c>
      <c r="J2241" s="10" t="str">
        <f>""</f>
        <v/>
      </c>
      <c r="K2241" s="10" t="str">
        <f>"PFES1162563380_0001"</f>
        <v>PFES1162563380_0001</v>
      </c>
      <c r="L2241" s="10">
        <v>1</v>
      </c>
      <c r="M2241" s="10">
        <v>1</v>
      </c>
    </row>
    <row r="2242" spans="1:13">
      <c r="A2242" s="8">
        <v>42935</v>
      </c>
      <c r="B2242" s="9">
        <v>0.56388888888888888</v>
      </c>
      <c r="C2242" s="10" t="str">
        <f>"FES1162562947"</f>
        <v>FES1162562947</v>
      </c>
      <c r="D2242" s="10" t="s">
        <v>19</v>
      </c>
      <c r="E2242" s="10" t="s">
        <v>139</v>
      </c>
      <c r="F2242" s="10" t="str">
        <f>"2170564064 "</f>
        <v xml:space="preserve">2170564064 </v>
      </c>
      <c r="G2242" s="10" t="str">
        <f>"DBC"</f>
        <v>DBC</v>
      </c>
      <c r="H2242" s="10" t="s">
        <v>21</v>
      </c>
      <c r="I2242" s="10" t="s">
        <v>61</v>
      </c>
      <c r="J2242" s="10" t="str">
        <f>""</f>
        <v/>
      </c>
      <c r="K2242" s="10" t="str">
        <f>"PFES1162562947_0001"</f>
        <v>PFES1162562947_0001</v>
      </c>
      <c r="L2242" s="10">
        <v>1</v>
      </c>
      <c r="M2242" s="10">
        <v>63</v>
      </c>
    </row>
    <row r="2243" spans="1:13">
      <c r="A2243" s="8">
        <v>42935</v>
      </c>
      <c r="B2243" s="9">
        <v>0.56319444444444444</v>
      </c>
      <c r="C2243" s="10" t="str">
        <f>"FES1162562762"</f>
        <v>FES1162562762</v>
      </c>
      <c r="D2243" s="10" t="s">
        <v>19</v>
      </c>
      <c r="E2243" s="10" t="s">
        <v>969</v>
      </c>
      <c r="F2243" s="10" t="str">
        <f>"21705768406 "</f>
        <v xml:space="preserve">21705768406 </v>
      </c>
      <c r="G2243" s="10" t="str">
        <f>"ON1"</f>
        <v>ON1</v>
      </c>
      <c r="H2243" s="10" t="s">
        <v>21</v>
      </c>
      <c r="I2243" s="10" t="s">
        <v>224</v>
      </c>
      <c r="J2243" s="10" t="str">
        <f>""</f>
        <v/>
      </c>
      <c r="K2243" s="10" t="str">
        <f>"PFES1162562762_0001"</f>
        <v>PFES1162562762_0001</v>
      </c>
      <c r="L2243" s="10">
        <v>1</v>
      </c>
      <c r="M2243" s="10">
        <v>7</v>
      </c>
    </row>
    <row r="2244" spans="1:13">
      <c r="A2244" s="8">
        <v>42935</v>
      </c>
      <c r="B2244" s="9">
        <v>0.54791666666666672</v>
      </c>
      <c r="C2244" s="10" t="str">
        <f>"FES1162563396"</f>
        <v>FES1162563396</v>
      </c>
      <c r="D2244" s="10" t="s">
        <v>19</v>
      </c>
      <c r="E2244" s="10" t="s">
        <v>970</v>
      </c>
      <c r="F2244" s="10" t="str">
        <f>"2170577645 "</f>
        <v xml:space="preserve">2170577645 </v>
      </c>
      <c r="G2244" s="10" t="str">
        <f>"ON1"</f>
        <v>ON1</v>
      </c>
      <c r="H2244" s="10" t="s">
        <v>21</v>
      </c>
      <c r="I2244" s="10" t="s">
        <v>400</v>
      </c>
      <c r="J2244" s="10" t="str">
        <f>""</f>
        <v/>
      </c>
      <c r="K2244" s="10" t="str">
        <f>"PFES1162563396_0001"</f>
        <v>PFES1162563396_0001</v>
      </c>
      <c r="L2244" s="10">
        <v>1</v>
      </c>
      <c r="M2244" s="10">
        <v>1</v>
      </c>
    </row>
    <row r="2245" spans="1:13">
      <c r="A2245" s="8">
        <v>42935</v>
      </c>
      <c r="B2245" s="9">
        <v>0.54791666666666672</v>
      </c>
      <c r="C2245" s="10" t="str">
        <f>"FES1162563091"</f>
        <v>FES1162563091</v>
      </c>
      <c r="D2245" s="10" t="s">
        <v>19</v>
      </c>
      <c r="E2245" s="10" t="s">
        <v>415</v>
      </c>
      <c r="F2245" s="10" t="str">
        <f>"2170577722 "</f>
        <v xml:space="preserve">2170577722 </v>
      </c>
      <c r="G2245" s="10" t="str">
        <f>"DBC"</f>
        <v>DBC</v>
      </c>
      <c r="H2245" s="10" t="s">
        <v>21</v>
      </c>
      <c r="I2245" s="10" t="s">
        <v>92</v>
      </c>
      <c r="J2245" s="10" t="str">
        <f>""</f>
        <v/>
      </c>
      <c r="K2245" s="10" t="str">
        <f>"PFES1162563091_0001"</f>
        <v>PFES1162563091_0001</v>
      </c>
      <c r="L2245" s="10">
        <v>1</v>
      </c>
      <c r="M2245" s="10">
        <v>20</v>
      </c>
    </row>
    <row r="2246" spans="1:13">
      <c r="A2246" s="8">
        <v>42935</v>
      </c>
      <c r="B2246" s="9">
        <v>0.54652777777777783</v>
      </c>
      <c r="C2246" s="10" t="str">
        <f>"FES1162563452"</f>
        <v>FES1162563452</v>
      </c>
      <c r="D2246" s="10" t="s">
        <v>19</v>
      </c>
      <c r="E2246" s="10" t="s">
        <v>33</v>
      </c>
      <c r="F2246" s="10" t="str">
        <f>"2170579309 "</f>
        <v xml:space="preserve">2170579309 </v>
      </c>
      <c r="G2246" s="10" t="str">
        <f t="shared" ref="G2246:G2298" si="97">"ON1"</f>
        <v>ON1</v>
      </c>
      <c r="H2246" s="10" t="s">
        <v>21</v>
      </c>
      <c r="I2246" s="10" t="s">
        <v>34</v>
      </c>
      <c r="J2246" s="10" t="str">
        <f>""</f>
        <v/>
      </c>
      <c r="K2246" s="10" t="str">
        <f>"PFES1162563452_0001"</f>
        <v>PFES1162563452_0001</v>
      </c>
      <c r="L2246" s="10">
        <v>1</v>
      </c>
      <c r="M2246" s="10">
        <v>1</v>
      </c>
    </row>
    <row r="2247" spans="1:13">
      <c r="A2247" s="8">
        <v>42935</v>
      </c>
      <c r="B2247" s="9">
        <v>0.54652777777777783</v>
      </c>
      <c r="C2247" s="10" t="str">
        <f>"FES1162563436"</f>
        <v>FES1162563436</v>
      </c>
      <c r="D2247" s="10" t="s">
        <v>19</v>
      </c>
      <c r="E2247" s="10" t="s">
        <v>385</v>
      </c>
      <c r="F2247" s="10" t="str">
        <f>"2170578519 "</f>
        <v xml:space="preserve">2170578519 </v>
      </c>
      <c r="G2247" s="10" t="str">
        <f t="shared" si="97"/>
        <v>ON1</v>
      </c>
      <c r="H2247" s="10" t="s">
        <v>21</v>
      </c>
      <c r="I2247" s="10" t="s">
        <v>119</v>
      </c>
      <c r="J2247" s="10" t="str">
        <f>""</f>
        <v/>
      </c>
      <c r="K2247" s="10" t="str">
        <f>"PFES1162563436_0001"</f>
        <v>PFES1162563436_0001</v>
      </c>
      <c r="L2247" s="10">
        <v>1</v>
      </c>
      <c r="M2247" s="10">
        <v>2</v>
      </c>
    </row>
    <row r="2248" spans="1:13">
      <c r="A2248" s="8">
        <v>42935</v>
      </c>
      <c r="B2248" s="9">
        <v>0.54652777777777783</v>
      </c>
      <c r="C2248" s="10" t="str">
        <f>"FES1162563481"</f>
        <v>FES1162563481</v>
      </c>
      <c r="D2248" s="10" t="s">
        <v>19</v>
      </c>
      <c r="E2248" s="10" t="s">
        <v>266</v>
      </c>
      <c r="F2248" s="10" t="str">
        <f>"2170579942 "</f>
        <v xml:space="preserve">2170579942 </v>
      </c>
      <c r="G2248" s="10" t="str">
        <f t="shared" si="97"/>
        <v>ON1</v>
      </c>
      <c r="H2248" s="10" t="s">
        <v>21</v>
      </c>
      <c r="I2248" s="10" t="s">
        <v>267</v>
      </c>
      <c r="J2248" s="10" t="str">
        <f>""</f>
        <v/>
      </c>
      <c r="K2248" s="10" t="str">
        <f>"PFES1162563481_0001"</f>
        <v>PFES1162563481_0001</v>
      </c>
      <c r="L2248" s="10">
        <v>1</v>
      </c>
      <c r="M2248" s="10">
        <v>1</v>
      </c>
    </row>
    <row r="2249" spans="1:13">
      <c r="A2249" s="8">
        <v>42935</v>
      </c>
      <c r="B2249" s="9">
        <v>0.54583333333333328</v>
      </c>
      <c r="C2249" s="10" t="str">
        <f>"FES1162563458"</f>
        <v>FES1162563458</v>
      </c>
      <c r="D2249" s="10" t="s">
        <v>19</v>
      </c>
      <c r="E2249" s="10" t="s">
        <v>87</v>
      </c>
      <c r="F2249" s="10" t="str">
        <f>"2170579588 "</f>
        <v xml:space="preserve">2170579588 </v>
      </c>
      <c r="G2249" s="10" t="str">
        <f t="shared" si="97"/>
        <v>ON1</v>
      </c>
      <c r="H2249" s="10" t="s">
        <v>21</v>
      </c>
      <c r="I2249" s="10" t="s">
        <v>88</v>
      </c>
      <c r="J2249" s="10" t="str">
        <f>""</f>
        <v/>
      </c>
      <c r="K2249" s="10" t="str">
        <f>"PFES1162563458_0001"</f>
        <v>PFES1162563458_0001</v>
      </c>
      <c r="L2249" s="10">
        <v>1</v>
      </c>
      <c r="M2249" s="10">
        <v>1</v>
      </c>
    </row>
    <row r="2250" spans="1:13">
      <c r="A2250" s="8">
        <v>42935</v>
      </c>
      <c r="B2250" s="9">
        <v>0.54583333333333328</v>
      </c>
      <c r="C2250" s="10" t="str">
        <f>"FES1162563443"</f>
        <v>FES1162563443</v>
      </c>
      <c r="D2250" s="10" t="s">
        <v>19</v>
      </c>
      <c r="E2250" s="10" t="s">
        <v>99</v>
      </c>
      <c r="F2250" s="10" t="str">
        <f>"2170579023 "</f>
        <v xml:space="preserve">2170579023 </v>
      </c>
      <c r="G2250" s="10" t="str">
        <f t="shared" si="97"/>
        <v>ON1</v>
      </c>
      <c r="H2250" s="10" t="s">
        <v>21</v>
      </c>
      <c r="I2250" s="10" t="s">
        <v>100</v>
      </c>
      <c r="J2250" s="10" t="str">
        <f>""</f>
        <v/>
      </c>
      <c r="K2250" s="10" t="str">
        <f>"PFES1162563443_0001"</f>
        <v>PFES1162563443_0001</v>
      </c>
      <c r="L2250" s="10">
        <v>1</v>
      </c>
      <c r="M2250" s="10">
        <v>1</v>
      </c>
    </row>
    <row r="2251" spans="1:13">
      <c r="A2251" s="8">
        <v>42935</v>
      </c>
      <c r="B2251" s="9">
        <v>0.54583333333333328</v>
      </c>
      <c r="C2251" s="10" t="str">
        <f>"FES1162563508"</f>
        <v>FES1162563508</v>
      </c>
      <c r="D2251" s="10" t="s">
        <v>19</v>
      </c>
      <c r="E2251" s="10" t="s">
        <v>595</v>
      </c>
      <c r="F2251" s="10" t="str">
        <f>"2170579980 "</f>
        <v xml:space="preserve">2170579980 </v>
      </c>
      <c r="G2251" s="10" t="str">
        <f t="shared" si="97"/>
        <v>ON1</v>
      </c>
      <c r="H2251" s="10" t="s">
        <v>21</v>
      </c>
      <c r="I2251" s="10" t="s">
        <v>179</v>
      </c>
      <c r="J2251" s="10" t="str">
        <f>""</f>
        <v/>
      </c>
      <c r="K2251" s="10" t="str">
        <f>"PFES1162563508_0001"</f>
        <v>PFES1162563508_0001</v>
      </c>
      <c r="L2251" s="10">
        <v>1</v>
      </c>
      <c r="M2251" s="10">
        <v>2</v>
      </c>
    </row>
    <row r="2252" spans="1:13">
      <c r="A2252" s="8">
        <v>42935</v>
      </c>
      <c r="B2252" s="9">
        <v>0.54583333333333328</v>
      </c>
      <c r="C2252" s="10" t="str">
        <f>"FES1162563433"</f>
        <v>FES1162563433</v>
      </c>
      <c r="D2252" s="10" t="s">
        <v>19</v>
      </c>
      <c r="E2252" s="10" t="s">
        <v>971</v>
      </c>
      <c r="F2252" s="10" t="str">
        <f>"2170578360 "</f>
        <v xml:space="preserve">2170578360 </v>
      </c>
      <c r="G2252" s="10" t="str">
        <f t="shared" si="97"/>
        <v>ON1</v>
      </c>
      <c r="H2252" s="10" t="s">
        <v>21</v>
      </c>
      <c r="I2252" s="10" t="s">
        <v>972</v>
      </c>
      <c r="J2252" s="10" t="str">
        <f>""</f>
        <v/>
      </c>
      <c r="K2252" s="10" t="str">
        <f>"PFES1162563433_0001"</f>
        <v>PFES1162563433_0001</v>
      </c>
      <c r="L2252" s="10">
        <v>1</v>
      </c>
      <c r="M2252" s="10">
        <v>1</v>
      </c>
    </row>
    <row r="2253" spans="1:13">
      <c r="A2253" s="8">
        <v>42935</v>
      </c>
      <c r="B2253" s="9">
        <v>0.54513888888888895</v>
      </c>
      <c r="C2253" s="10" t="str">
        <f>"FES1162563500"</f>
        <v>FES1162563500</v>
      </c>
      <c r="D2253" s="10" t="s">
        <v>19</v>
      </c>
      <c r="E2253" s="10" t="s">
        <v>141</v>
      </c>
      <c r="F2253" s="10" t="str">
        <f>"2170579965 "</f>
        <v xml:space="preserve">2170579965 </v>
      </c>
      <c r="G2253" s="10" t="str">
        <f t="shared" si="97"/>
        <v>ON1</v>
      </c>
      <c r="H2253" s="10" t="s">
        <v>21</v>
      </c>
      <c r="I2253" s="10" t="s">
        <v>142</v>
      </c>
      <c r="J2253" s="10" t="str">
        <f>""</f>
        <v/>
      </c>
      <c r="K2253" s="10" t="str">
        <f>"PFES1162563500_0001"</f>
        <v>PFES1162563500_0001</v>
      </c>
      <c r="L2253" s="10">
        <v>1</v>
      </c>
      <c r="M2253" s="10">
        <v>1</v>
      </c>
    </row>
    <row r="2254" spans="1:13">
      <c r="A2254" s="8">
        <v>42935</v>
      </c>
      <c r="B2254" s="9">
        <v>0.54513888888888895</v>
      </c>
      <c r="C2254" s="10" t="str">
        <f>"FES1162563398"</f>
        <v>FES1162563398</v>
      </c>
      <c r="D2254" s="10" t="s">
        <v>19</v>
      </c>
      <c r="E2254" s="10" t="s">
        <v>181</v>
      </c>
      <c r="F2254" s="10" t="str">
        <f>"2170577669 "</f>
        <v xml:space="preserve">2170577669 </v>
      </c>
      <c r="G2254" s="10" t="str">
        <f t="shared" si="97"/>
        <v>ON1</v>
      </c>
      <c r="H2254" s="10" t="s">
        <v>21</v>
      </c>
      <c r="I2254" s="10" t="s">
        <v>179</v>
      </c>
      <c r="J2254" s="10" t="str">
        <f>""</f>
        <v/>
      </c>
      <c r="K2254" s="10" t="str">
        <f>"PFES1162563398_0001"</f>
        <v>PFES1162563398_0001</v>
      </c>
      <c r="L2254" s="10">
        <v>1</v>
      </c>
      <c r="M2254" s="10">
        <v>1</v>
      </c>
    </row>
    <row r="2255" spans="1:13">
      <c r="A2255" s="8">
        <v>42935</v>
      </c>
      <c r="B2255" s="9">
        <v>0.5444444444444444</v>
      </c>
      <c r="C2255" s="10" t="str">
        <f>"FES1162563388"</f>
        <v>FES1162563388</v>
      </c>
      <c r="D2255" s="10" t="s">
        <v>19</v>
      </c>
      <c r="E2255" s="10" t="s">
        <v>211</v>
      </c>
      <c r="F2255" s="10" t="str">
        <f>"2170579923 "</f>
        <v xml:space="preserve">2170579923 </v>
      </c>
      <c r="G2255" s="10" t="str">
        <f t="shared" si="97"/>
        <v>ON1</v>
      </c>
      <c r="H2255" s="10" t="s">
        <v>21</v>
      </c>
      <c r="I2255" s="10" t="s">
        <v>56</v>
      </c>
      <c r="J2255" s="10" t="str">
        <f>""</f>
        <v/>
      </c>
      <c r="K2255" s="10" t="str">
        <f>"PFES1162563388_0001"</f>
        <v>PFES1162563388_0001</v>
      </c>
      <c r="L2255" s="10">
        <v>1</v>
      </c>
      <c r="M2255" s="10">
        <v>3</v>
      </c>
    </row>
    <row r="2256" spans="1:13">
      <c r="A2256" s="8">
        <v>42935</v>
      </c>
      <c r="B2256" s="9">
        <v>0.5444444444444444</v>
      </c>
      <c r="C2256" s="10" t="str">
        <f>"FES1162563409"</f>
        <v>FES1162563409</v>
      </c>
      <c r="D2256" s="10" t="s">
        <v>19</v>
      </c>
      <c r="E2256" s="10" t="s">
        <v>914</v>
      </c>
      <c r="F2256" s="10" t="str">
        <f>"2170577862 "</f>
        <v xml:space="preserve">2170577862 </v>
      </c>
      <c r="G2256" s="10" t="str">
        <f t="shared" si="97"/>
        <v>ON1</v>
      </c>
      <c r="H2256" s="10" t="s">
        <v>21</v>
      </c>
      <c r="I2256" s="10" t="s">
        <v>915</v>
      </c>
      <c r="J2256" s="10" t="str">
        <f>""</f>
        <v/>
      </c>
      <c r="K2256" s="10" t="str">
        <f>"PFES1162563409_0001"</f>
        <v>PFES1162563409_0001</v>
      </c>
      <c r="L2256" s="10">
        <v>1</v>
      </c>
      <c r="M2256" s="10">
        <v>1</v>
      </c>
    </row>
    <row r="2257" spans="1:13">
      <c r="A2257" s="8">
        <v>42935</v>
      </c>
      <c r="B2257" s="9">
        <v>0.5444444444444444</v>
      </c>
      <c r="C2257" s="10" t="str">
        <f>"FES1162563476"</f>
        <v>FES1162563476</v>
      </c>
      <c r="D2257" s="10" t="s">
        <v>19</v>
      </c>
      <c r="E2257" s="10" t="s">
        <v>973</v>
      </c>
      <c r="F2257" s="10" t="str">
        <f>"2170579935 "</f>
        <v xml:space="preserve">2170579935 </v>
      </c>
      <c r="G2257" s="10" t="str">
        <f t="shared" si="97"/>
        <v>ON1</v>
      </c>
      <c r="H2257" s="10" t="s">
        <v>21</v>
      </c>
      <c r="I2257" s="10" t="s">
        <v>974</v>
      </c>
      <c r="J2257" s="10" t="str">
        <f>""</f>
        <v/>
      </c>
      <c r="K2257" s="10" t="str">
        <f>"PFES1162563476_0001"</f>
        <v>PFES1162563476_0001</v>
      </c>
      <c r="L2257" s="10">
        <v>1</v>
      </c>
      <c r="M2257" s="10">
        <v>1</v>
      </c>
    </row>
    <row r="2258" spans="1:13">
      <c r="A2258" s="8">
        <v>42935</v>
      </c>
      <c r="B2258" s="9">
        <v>0.54375000000000007</v>
      </c>
      <c r="C2258" s="10" t="str">
        <f>"FES1162563450"</f>
        <v>FES1162563450</v>
      </c>
      <c r="D2258" s="10" t="s">
        <v>19</v>
      </c>
      <c r="E2258" s="10" t="s">
        <v>602</v>
      </c>
      <c r="F2258" s="10" t="str">
        <f>"2170579284 "</f>
        <v xml:space="preserve">2170579284 </v>
      </c>
      <c r="G2258" s="10" t="str">
        <f t="shared" si="97"/>
        <v>ON1</v>
      </c>
      <c r="H2258" s="10" t="s">
        <v>21</v>
      </c>
      <c r="I2258" s="10" t="s">
        <v>58</v>
      </c>
      <c r="J2258" s="10" t="str">
        <f>""</f>
        <v/>
      </c>
      <c r="K2258" s="10" t="str">
        <f>"PFES1162563450_0001"</f>
        <v>PFES1162563450_0001</v>
      </c>
      <c r="L2258" s="10">
        <v>1</v>
      </c>
      <c r="M2258" s="10">
        <v>1</v>
      </c>
    </row>
    <row r="2259" spans="1:13">
      <c r="A2259" s="8">
        <v>42935</v>
      </c>
      <c r="B2259" s="9">
        <v>0.54375000000000007</v>
      </c>
      <c r="C2259" s="10" t="str">
        <f>"FES1162563520"</f>
        <v>FES1162563520</v>
      </c>
      <c r="D2259" s="10" t="s">
        <v>19</v>
      </c>
      <c r="E2259" s="10" t="s">
        <v>190</v>
      </c>
      <c r="F2259" s="10" t="str">
        <f>"2170579587 "</f>
        <v xml:space="preserve">2170579587 </v>
      </c>
      <c r="G2259" s="10" t="str">
        <f t="shared" si="97"/>
        <v>ON1</v>
      </c>
      <c r="H2259" s="10" t="s">
        <v>21</v>
      </c>
      <c r="I2259" s="10" t="s">
        <v>52</v>
      </c>
      <c r="J2259" s="10" t="str">
        <f>""</f>
        <v/>
      </c>
      <c r="K2259" s="10" t="str">
        <f>"PFES1162563520_0001"</f>
        <v>PFES1162563520_0001</v>
      </c>
      <c r="L2259" s="10">
        <v>1</v>
      </c>
      <c r="M2259" s="10">
        <v>10</v>
      </c>
    </row>
    <row r="2260" spans="1:13">
      <c r="A2260" s="8">
        <v>42935</v>
      </c>
      <c r="B2260" s="9">
        <v>0.54375000000000007</v>
      </c>
      <c r="C2260" s="10" t="str">
        <f>"FES1162563438"</f>
        <v>FES1162563438</v>
      </c>
      <c r="D2260" s="10" t="s">
        <v>19</v>
      </c>
      <c r="E2260" s="10" t="s">
        <v>288</v>
      </c>
      <c r="F2260" s="10" t="str">
        <f>"2170578858 "</f>
        <v xml:space="preserve">2170578858 </v>
      </c>
      <c r="G2260" s="10" t="str">
        <f t="shared" si="97"/>
        <v>ON1</v>
      </c>
      <c r="H2260" s="10" t="s">
        <v>21</v>
      </c>
      <c r="I2260" s="10" t="s">
        <v>300</v>
      </c>
      <c r="J2260" s="10" t="str">
        <f>""</f>
        <v/>
      </c>
      <c r="K2260" s="10" t="str">
        <f>"PFES1162563438_0001"</f>
        <v>PFES1162563438_0001</v>
      </c>
      <c r="L2260" s="10">
        <v>1</v>
      </c>
      <c r="M2260" s="10">
        <v>1</v>
      </c>
    </row>
    <row r="2261" spans="1:13">
      <c r="A2261" s="8">
        <v>42935</v>
      </c>
      <c r="B2261" s="9">
        <v>0.54305555555555551</v>
      </c>
      <c r="C2261" s="10" t="str">
        <f>"FES1162563440"</f>
        <v>FES1162563440</v>
      </c>
      <c r="D2261" s="10" t="s">
        <v>19</v>
      </c>
      <c r="E2261" s="10" t="s">
        <v>218</v>
      </c>
      <c r="F2261" s="10" t="str">
        <f>"2170578902 "</f>
        <v xml:space="preserve">2170578902 </v>
      </c>
      <c r="G2261" s="10" t="str">
        <f t="shared" si="97"/>
        <v>ON1</v>
      </c>
      <c r="H2261" s="10" t="s">
        <v>21</v>
      </c>
      <c r="I2261" s="10" t="s">
        <v>219</v>
      </c>
      <c r="J2261" s="10" t="str">
        <f>""</f>
        <v/>
      </c>
      <c r="K2261" s="10" t="str">
        <f>"PFES1162563440_0001"</f>
        <v>PFES1162563440_0001</v>
      </c>
      <c r="L2261" s="10">
        <v>1</v>
      </c>
      <c r="M2261" s="10">
        <v>1</v>
      </c>
    </row>
    <row r="2262" spans="1:13">
      <c r="A2262" s="8">
        <v>42935</v>
      </c>
      <c r="B2262" s="9">
        <v>0.54305555555555551</v>
      </c>
      <c r="C2262" s="10" t="str">
        <f>"FES1162563266"</f>
        <v>FES1162563266</v>
      </c>
      <c r="D2262" s="10" t="s">
        <v>19</v>
      </c>
      <c r="E2262" s="10" t="s">
        <v>672</v>
      </c>
      <c r="F2262" s="10" t="str">
        <f>"2170579447 "</f>
        <v xml:space="preserve">2170579447 </v>
      </c>
      <c r="G2262" s="10" t="str">
        <f t="shared" si="97"/>
        <v>ON1</v>
      </c>
      <c r="H2262" s="10" t="s">
        <v>21</v>
      </c>
      <c r="I2262" s="10" t="s">
        <v>673</v>
      </c>
      <c r="J2262" s="10" t="str">
        <f>""</f>
        <v/>
      </c>
      <c r="K2262" s="10" t="str">
        <f>"PFES1162563266_0001"</f>
        <v>PFES1162563266_0001</v>
      </c>
      <c r="L2262" s="10">
        <v>1</v>
      </c>
      <c r="M2262" s="10">
        <v>6</v>
      </c>
    </row>
    <row r="2263" spans="1:13">
      <c r="A2263" s="8">
        <v>42935</v>
      </c>
      <c r="B2263" s="9">
        <v>0.54305555555555551</v>
      </c>
      <c r="C2263" s="10" t="str">
        <f>"FES1162563510"</f>
        <v>FES1162563510</v>
      </c>
      <c r="D2263" s="10" t="s">
        <v>19</v>
      </c>
      <c r="E2263" s="10" t="s">
        <v>975</v>
      </c>
      <c r="F2263" s="10" t="str">
        <f>"2170579946 "</f>
        <v xml:space="preserve">2170579946 </v>
      </c>
      <c r="G2263" s="10" t="str">
        <f t="shared" si="97"/>
        <v>ON1</v>
      </c>
      <c r="H2263" s="10" t="s">
        <v>21</v>
      </c>
      <c r="I2263" s="10" t="s">
        <v>976</v>
      </c>
      <c r="J2263" s="10" t="str">
        <f>""</f>
        <v/>
      </c>
      <c r="K2263" s="10" t="str">
        <f>"PFES1162563510_0001"</f>
        <v>PFES1162563510_0001</v>
      </c>
      <c r="L2263" s="10">
        <v>1</v>
      </c>
      <c r="M2263" s="10">
        <v>1</v>
      </c>
    </row>
    <row r="2264" spans="1:13">
      <c r="A2264" s="8">
        <v>42935</v>
      </c>
      <c r="B2264" s="9">
        <v>0.54166666666666663</v>
      </c>
      <c r="C2264" s="10" t="str">
        <f>"FES1162563264"</f>
        <v>FES1162563264</v>
      </c>
      <c r="D2264" s="10" t="s">
        <v>19</v>
      </c>
      <c r="E2264" s="10" t="s">
        <v>80</v>
      </c>
      <c r="F2264" s="10" t="str">
        <f>"2170579355 "</f>
        <v xml:space="preserve">2170579355 </v>
      </c>
      <c r="G2264" s="10" t="str">
        <f t="shared" si="97"/>
        <v>ON1</v>
      </c>
      <c r="H2264" s="10" t="s">
        <v>21</v>
      </c>
      <c r="I2264" s="10" t="s">
        <v>36</v>
      </c>
      <c r="J2264" s="10" t="str">
        <f>""</f>
        <v/>
      </c>
      <c r="K2264" s="10" t="str">
        <f>"PFES1162563264_0001"</f>
        <v>PFES1162563264_0001</v>
      </c>
      <c r="L2264" s="10">
        <v>1</v>
      </c>
      <c r="M2264" s="10">
        <v>3</v>
      </c>
    </row>
    <row r="2265" spans="1:13">
      <c r="A2265" s="8">
        <v>42935</v>
      </c>
      <c r="B2265" s="9">
        <v>0.54097222222222219</v>
      </c>
      <c r="C2265" s="10" t="str">
        <f>"FES1162563534"</f>
        <v>FES1162563534</v>
      </c>
      <c r="D2265" s="10" t="s">
        <v>19</v>
      </c>
      <c r="E2265" s="10" t="s">
        <v>396</v>
      </c>
      <c r="F2265" s="10" t="str">
        <f>"21705780007 "</f>
        <v xml:space="preserve">21705780007 </v>
      </c>
      <c r="G2265" s="10" t="str">
        <f t="shared" si="97"/>
        <v>ON1</v>
      </c>
      <c r="H2265" s="10" t="s">
        <v>21</v>
      </c>
      <c r="I2265" s="10" t="s">
        <v>340</v>
      </c>
      <c r="J2265" s="10" t="str">
        <f>""</f>
        <v/>
      </c>
      <c r="K2265" s="10" t="str">
        <f>"PFES1162563534_0001"</f>
        <v>PFES1162563534_0001</v>
      </c>
      <c r="L2265" s="10">
        <v>1</v>
      </c>
      <c r="M2265" s="10">
        <v>1</v>
      </c>
    </row>
    <row r="2266" spans="1:13">
      <c r="A2266" s="8">
        <v>42935</v>
      </c>
      <c r="B2266" s="9">
        <v>0.54097222222222219</v>
      </c>
      <c r="C2266" s="10" t="str">
        <f>"FES1162563378"</f>
        <v>FES1162563378</v>
      </c>
      <c r="D2266" s="10" t="s">
        <v>19</v>
      </c>
      <c r="E2266" s="10" t="s">
        <v>460</v>
      </c>
      <c r="F2266" s="10" t="str">
        <f>"2170579909 "</f>
        <v xml:space="preserve">2170579909 </v>
      </c>
      <c r="G2266" s="10" t="str">
        <f t="shared" si="97"/>
        <v>ON1</v>
      </c>
      <c r="H2266" s="10" t="s">
        <v>21</v>
      </c>
      <c r="I2266" s="10" t="s">
        <v>461</v>
      </c>
      <c r="J2266" s="10" t="str">
        <f>""</f>
        <v/>
      </c>
      <c r="K2266" s="10" t="str">
        <f>"PFES1162563378_0001"</f>
        <v>PFES1162563378_0001</v>
      </c>
      <c r="L2266" s="10">
        <v>1</v>
      </c>
      <c r="M2266" s="10">
        <v>1</v>
      </c>
    </row>
    <row r="2267" spans="1:13">
      <c r="A2267" s="8">
        <v>42935</v>
      </c>
      <c r="B2267" s="9">
        <v>0.54027777777777775</v>
      </c>
      <c r="C2267" s="10" t="str">
        <f>"FES1162563397"</f>
        <v>FES1162563397</v>
      </c>
      <c r="D2267" s="10" t="s">
        <v>19</v>
      </c>
      <c r="E2267" s="10" t="s">
        <v>218</v>
      </c>
      <c r="F2267" s="10" t="str">
        <f>"2170577660 "</f>
        <v xml:space="preserve">2170577660 </v>
      </c>
      <c r="G2267" s="10" t="str">
        <f t="shared" si="97"/>
        <v>ON1</v>
      </c>
      <c r="H2267" s="10" t="s">
        <v>21</v>
      </c>
      <c r="I2267" s="10" t="s">
        <v>219</v>
      </c>
      <c r="J2267" s="10" t="str">
        <f>""</f>
        <v/>
      </c>
      <c r="K2267" s="10" t="str">
        <f>"PFES1162563397_0001"</f>
        <v>PFES1162563397_0001</v>
      </c>
      <c r="L2267" s="10">
        <v>1</v>
      </c>
      <c r="M2267" s="10">
        <v>1</v>
      </c>
    </row>
    <row r="2268" spans="1:13">
      <c r="A2268" s="8">
        <v>42935</v>
      </c>
      <c r="B2268" s="9">
        <v>0.54027777777777775</v>
      </c>
      <c r="C2268" s="10" t="str">
        <f>"FES1162561539"</f>
        <v>FES1162561539</v>
      </c>
      <c r="D2268" s="10" t="s">
        <v>19</v>
      </c>
      <c r="E2268" s="10" t="s">
        <v>977</v>
      </c>
      <c r="F2268" s="10" t="str">
        <f>"2170575953 "</f>
        <v xml:space="preserve">2170575953 </v>
      </c>
      <c r="G2268" s="10" t="str">
        <f t="shared" si="97"/>
        <v>ON1</v>
      </c>
      <c r="H2268" s="10" t="s">
        <v>21</v>
      </c>
      <c r="I2268" s="10" t="s">
        <v>38</v>
      </c>
      <c r="J2268" s="10" t="str">
        <f>""</f>
        <v/>
      </c>
      <c r="K2268" s="10" t="str">
        <f>"PFES1162561539_0001"</f>
        <v>PFES1162561539_0001</v>
      </c>
      <c r="L2268" s="10">
        <v>1</v>
      </c>
      <c r="M2268" s="10">
        <v>1</v>
      </c>
    </row>
    <row r="2269" spans="1:13">
      <c r="A2269" s="8">
        <v>42935</v>
      </c>
      <c r="B2269" s="9">
        <v>0.54027777777777775</v>
      </c>
      <c r="C2269" s="10" t="str">
        <f>"FES1162563460"</f>
        <v>FES1162563460</v>
      </c>
      <c r="D2269" s="10" t="s">
        <v>19</v>
      </c>
      <c r="E2269" s="10" t="s">
        <v>589</v>
      </c>
      <c r="F2269" s="10" t="str">
        <f>"21702579635 "</f>
        <v xml:space="preserve">21702579635 </v>
      </c>
      <c r="G2269" s="10" t="str">
        <f t="shared" si="97"/>
        <v>ON1</v>
      </c>
      <c r="H2269" s="10" t="s">
        <v>21</v>
      </c>
      <c r="I2269" s="10" t="s">
        <v>330</v>
      </c>
      <c r="J2269" s="10" t="str">
        <f>""</f>
        <v/>
      </c>
      <c r="K2269" s="10" t="str">
        <f>"PFES1162563460_0001"</f>
        <v>PFES1162563460_0001</v>
      </c>
      <c r="L2269" s="10">
        <v>1</v>
      </c>
      <c r="M2269" s="10">
        <v>2</v>
      </c>
    </row>
    <row r="2270" spans="1:13">
      <c r="A2270" s="8">
        <v>42935</v>
      </c>
      <c r="B2270" s="9">
        <v>0.5395833333333333</v>
      </c>
      <c r="C2270" s="10" t="str">
        <f>"FES1162563063"</f>
        <v>FES1162563063</v>
      </c>
      <c r="D2270" s="10" t="s">
        <v>19</v>
      </c>
      <c r="E2270" s="10" t="s">
        <v>33</v>
      </c>
      <c r="F2270" s="10" t="str">
        <f>"2170577400 "</f>
        <v xml:space="preserve">2170577400 </v>
      </c>
      <c r="G2270" s="10" t="str">
        <f t="shared" si="97"/>
        <v>ON1</v>
      </c>
      <c r="H2270" s="10" t="s">
        <v>21</v>
      </c>
      <c r="I2270" s="10" t="s">
        <v>34</v>
      </c>
      <c r="J2270" s="10" t="str">
        <f>""</f>
        <v/>
      </c>
      <c r="K2270" s="10" t="str">
        <f>"PFES1162563063_0001"</f>
        <v>PFES1162563063_0001</v>
      </c>
      <c r="L2270" s="10">
        <v>1</v>
      </c>
      <c r="M2270" s="10">
        <v>1</v>
      </c>
    </row>
    <row r="2271" spans="1:13">
      <c r="A2271" s="8">
        <v>42935</v>
      </c>
      <c r="B2271" s="9">
        <v>0.5395833333333333</v>
      </c>
      <c r="C2271" s="10" t="str">
        <f>"FES1162563506"</f>
        <v>FES1162563506</v>
      </c>
      <c r="D2271" s="10" t="s">
        <v>19</v>
      </c>
      <c r="E2271" s="10" t="s">
        <v>978</v>
      </c>
      <c r="F2271" s="10" t="str">
        <f>"2170579978 "</f>
        <v xml:space="preserve">2170579978 </v>
      </c>
      <c r="G2271" s="10" t="str">
        <f t="shared" si="97"/>
        <v>ON1</v>
      </c>
      <c r="H2271" s="10" t="s">
        <v>21</v>
      </c>
      <c r="I2271" s="10" t="s">
        <v>177</v>
      </c>
      <c r="J2271" s="10" t="str">
        <f>""</f>
        <v/>
      </c>
      <c r="K2271" s="10" t="str">
        <f>"PFES1162563506_0001"</f>
        <v>PFES1162563506_0001</v>
      </c>
      <c r="L2271" s="10">
        <v>1</v>
      </c>
      <c r="M2271" s="10">
        <v>1</v>
      </c>
    </row>
    <row r="2272" spans="1:13">
      <c r="A2272" s="8">
        <v>42935</v>
      </c>
      <c r="B2272" s="9">
        <v>0.53888888888888886</v>
      </c>
      <c r="C2272" s="10" t="str">
        <f>"FES1162563265"</f>
        <v>FES1162563265</v>
      </c>
      <c r="D2272" s="10" t="s">
        <v>19</v>
      </c>
      <c r="E2272" s="10" t="s">
        <v>209</v>
      </c>
      <c r="F2272" s="10" t="str">
        <f>"2170579394 "</f>
        <v xml:space="preserve">2170579394 </v>
      </c>
      <c r="G2272" s="10" t="str">
        <f t="shared" si="97"/>
        <v>ON1</v>
      </c>
      <c r="H2272" s="10" t="s">
        <v>21</v>
      </c>
      <c r="I2272" s="10" t="s">
        <v>196</v>
      </c>
      <c r="J2272" s="10" t="str">
        <f>""</f>
        <v/>
      </c>
      <c r="K2272" s="10" t="str">
        <f>"PFES1162563265_0001"</f>
        <v>PFES1162563265_0001</v>
      </c>
      <c r="L2272" s="10">
        <v>1</v>
      </c>
      <c r="M2272" s="10">
        <v>1</v>
      </c>
    </row>
    <row r="2273" spans="1:13">
      <c r="A2273" s="8">
        <v>42935</v>
      </c>
      <c r="B2273" s="9">
        <v>0.53819444444444442</v>
      </c>
      <c r="C2273" s="10" t="str">
        <f>"FES1162563536"</f>
        <v>FES1162563536</v>
      </c>
      <c r="D2273" s="10" t="s">
        <v>19</v>
      </c>
      <c r="E2273" s="10" t="s">
        <v>403</v>
      </c>
      <c r="F2273" s="10" t="str">
        <f>"2170580008 "</f>
        <v xml:space="preserve">2170580008 </v>
      </c>
      <c r="G2273" s="10" t="str">
        <f t="shared" si="97"/>
        <v>ON1</v>
      </c>
      <c r="H2273" s="10" t="s">
        <v>21</v>
      </c>
      <c r="I2273" s="10" t="s">
        <v>222</v>
      </c>
      <c r="J2273" s="10" t="str">
        <f>""</f>
        <v/>
      </c>
      <c r="K2273" s="10" t="str">
        <f>"PFES1162563536_0001"</f>
        <v>PFES1162563536_0001</v>
      </c>
      <c r="L2273" s="10">
        <v>1</v>
      </c>
      <c r="M2273" s="10">
        <v>3</v>
      </c>
    </row>
    <row r="2274" spans="1:13">
      <c r="A2274" s="8">
        <v>42935</v>
      </c>
      <c r="B2274" s="9">
        <v>0.53749999999999998</v>
      </c>
      <c r="C2274" s="10" t="str">
        <f>"FES1162563377"</f>
        <v>FES1162563377</v>
      </c>
      <c r="D2274" s="10" t="s">
        <v>19</v>
      </c>
      <c r="E2274" s="10" t="s">
        <v>489</v>
      </c>
      <c r="F2274" s="10" t="str">
        <f>"2170579908 "</f>
        <v xml:space="preserve">2170579908 </v>
      </c>
      <c r="G2274" s="10" t="str">
        <f t="shared" si="97"/>
        <v>ON1</v>
      </c>
      <c r="H2274" s="10" t="s">
        <v>21</v>
      </c>
      <c r="I2274" s="10" t="s">
        <v>398</v>
      </c>
      <c r="J2274" s="10" t="str">
        <f>""</f>
        <v/>
      </c>
      <c r="K2274" s="10" t="str">
        <f>"PFES1162563377_0001"</f>
        <v>PFES1162563377_0001</v>
      </c>
      <c r="L2274" s="10">
        <v>1</v>
      </c>
      <c r="M2274" s="10">
        <v>2</v>
      </c>
    </row>
    <row r="2275" spans="1:13">
      <c r="A2275" s="8">
        <v>42935</v>
      </c>
      <c r="B2275" s="9">
        <v>0.53680555555555554</v>
      </c>
      <c r="C2275" s="10" t="str">
        <f>"FES1162563485"</f>
        <v>FES1162563485</v>
      </c>
      <c r="D2275" s="10" t="s">
        <v>19</v>
      </c>
      <c r="E2275" s="10" t="s">
        <v>366</v>
      </c>
      <c r="F2275" s="10" t="str">
        <f>"2170579948 "</f>
        <v xml:space="preserve">2170579948 </v>
      </c>
      <c r="G2275" s="10" t="str">
        <f t="shared" si="97"/>
        <v>ON1</v>
      </c>
      <c r="H2275" s="10" t="s">
        <v>21</v>
      </c>
      <c r="I2275" s="10" t="s">
        <v>128</v>
      </c>
      <c r="J2275" s="10" t="str">
        <f>""</f>
        <v/>
      </c>
      <c r="K2275" s="10" t="str">
        <f>"PFES1162563485_0001"</f>
        <v>PFES1162563485_0001</v>
      </c>
      <c r="L2275" s="10">
        <v>1</v>
      </c>
      <c r="M2275" s="10">
        <v>2</v>
      </c>
    </row>
    <row r="2276" spans="1:13">
      <c r="A2276" s="8">
        <v>42935</v>
      </c>
      <c r="B2276" s="9">
        <v>0.53611111111111109</v>
      </c>
      <c r="C2276" s="10" t="str">
        <f>"FES1162563414"</f>
        <v>FES1162563414</v>
      </c>
      <c r="D2276" s="10" t="s">
        <v>19</v>
      </c>
      <c r="E2276" s="10" t="s">
        <v>62</v>
      </c>
      <c r="F2276" s="10" t="str">
        <f>"2170577914 "</f>
        <v xml:space="preserve">2170577914 </v>
      </c>
      <c r="G2276" s="10" t="str">
        <f t="shared" si="97"/>
        <v>ON1</v>
      </c>
      <c r="H2276" s="10" t="s">
        <v>21</v>
      </c>
      <c r="I2276" s="10" t="s">
        <v>40</v>
      </c>
      <c r="J2276" s="10" t="str">
        <f>""</f>
        <v/>
      </c>
      <c r="K2276" s="10" t="str">
        <f>"PFES1162563414_0001"</f>
        <v>PFES1162563414_0001</v>
      </c>
      <c r="L2276" s="10">
        <v>1</v>
      </c>
      <c r="M2276" s="10">
        <v>3</v>
      </c>
    </row>
    <row r="2277" spans="1:13">
      <c r="A2277" s="8">
        <v>42935</v>
      </c>
      <c r="B2277" s="9">
        <v>0.53541666666666665</v>
      </c>
      <c r="C2277" s="10" t="str">
        <f>"FES1162563540"</f>
        <v>FES1162563540</v>
      </c>
      <c r="D2277" s="10" t="s">
        <v>19</v>
      </c>
      <c r="E2277" s="10" t="s">
        <v>297</v>
      </c>
      <c r="F2277" s="10" t="str">
        <f>"2170578001 "</f>
        <v xml:space="preserve">2170578001 </v>
      </c>
      <c r="G2277" s="10" t="str">
        <f t="shared" si="97"/>
        <v>ON1</v>
      </c>
      <c r="H2277" s="10" t="s">
        <v>21</v>
      </c>
      <c r="I2277" s="10" t="s">
        <v>246</v>
      </c>
      <c r="J2277" s="10" t="str">
        <f>""</f>
        <v/>
      </c>
      <c r="K2277" s="10" t="str">
        <f>"PFES1162563540_0001"</f>
        <v>PFES1162563540_0001</v>
      </c>
      <c r="L2277" s="10">
        <v>1</v>
      </c>
      <c r="M2277" s="10">
        <v>1</v>
      </c>
    </row>
    <row r="2278" spans="1:13">
      <c r="A2278" s="8">
        <v>42935</v>
      </c>
      <c r="B2278" s="9">
        <v>0.53541666666666665</v>
      </c>
      <c r="C2278" s="10" t="str">
        <f>"FES1162563544"</f>
        <v>FES1162563544</v>
      </c>
      <c r="D2278" s="10" t="s">
        <v>19</v>
      </c>
      <c r="E2278" s="10" t="s">
        <v>39</v>
      </c>
      <c r="F2278" s="10" t="str">
        <f>"2170580018 "</f>
        <v xml:space="preserve">2170580018 </v>
      </c>
      <c r="G2278" s="10" t="str">
        <f t="shared" si="97"/>
        <v>ON1</v>
      </c>
      <c r="H2278" s="10" t="s">
        <v>21</v>
      </c>
      <c r="I2278" s="10" t="s">
        <v>40</v>
      </c>
      <c r="J2278" s="10" t="str">
        <f>""</f>
        <v/>
      </c>
      <c r="K2278" s="10" t="str">
        <f>"PFES1162563544_0001"</f>
        <v>PFES1162563544_0001</v>
      </c>
      <c r="L2278" s="10">
        <v>1</v>
      </c>
      <c r="M2278" s="10">
        <v>3</v>
      </c>
    </row>
    <row r="2279" spans="1:13">
      <c r="A2279" s="8">
        <v>42935</v>
      </c>
      <c r="B2279" s="9">
        <v>0.53541666666666665</v>
      </c>
      <c r="C2279" s="10" t="str">
        <f>"FES1162563461"</f>
        <v>FES1162563461</v>
      </c>
      <c r="D2279" s="10" t="s">
        <v>19</v>
      </c>
      <c r="E2279" s="10" t="s">
        <v>381</v>
      </c>
      <c r="F2279" s="10" t="str">
        <f>"2170579707 "</f>
        <v xml:space="preserve">2170579707 </v>
      </c>
      <c r="G2279" s="10" t="str">
        <f t="shared" si="97"/>
        <v>ON1</v>
      </c>
      <c r="H2279" s="10" t="s">
        <v>21</v>
      </c>
      <c r="I2279" s="10" t="s">
        <v>149</v>
      </c>
      <c r="J2279" s="10" t="str">
        <f>""</f>
        <v/>
      </c>
      <c r="K2279" s="10" t="str">
        <f>"PFES1162563461_0001"</f>
        <v>PFES1162563461_0001</v>
      </c>
      <c r="L2279" s="10">
        <v>1</v>
      </c>
      <c r="M2279" s="10">
        <v>1</v>
      </c>
    </row>
    <row r="2280" spans="1:13">
      <c r="A2280" s="8">
        <v>42935</v>
      </c>
      <c r="B2280" s="9">
        <v>0.53472222222222221</v>
      </c>
      <c r="C2280" s="10" t="str">
        <f>"FES1162563462"</f>
        <v>FES1162563462</v>
      </c>
      <c r="D2280" s="10" t="s">
        <v>19</v>
      </c>
      <c r="E2280" s="10" t="s">
        <v>979</v>
      </c>
      <c r="F2280" s="10" t="str">
        <f>"2170579773 "</f>
        <v xml:space="preserve">2170579773 </v>
      </c>
      <c r="G2280" s="10" t="str">
        <f t="shared" si="97"/>
        <v>ON1</v>
      </c>
      <c r="H2280" s="10" t="s">
        <v>21</v>
      </c>
      <c r="I2280" s="10" t="s">
        <v>980</v>
      </c>
      <c r="J2280" s="10" t="str">
        <f>""</f>
        <v/>
      </c>
      <c r="K2280" s="10" t="str">
        <f>"PFES1162563462_0001"</f>
        <v>PFES1162563462_0001</v>
      </c>
      <c r="L2280" s="10">
        <v>1</v>
      </c>
      <c r="M2280" s="10">
        <v>1</v>
      </c>
    </row>
    <row r="2281" spans="1:13">
      <c r="A2281" s="8">
        <v>42935</v>
      </c>
      <c r="B2281" s="9">
        <v>0.53472222222222221</v>
      </c>
      <c r="C2281" s="10" t="str">
        <f>"FES1162563417"</f>
        <v>FES1162563417</v>
      </c>
      <c r="D2281" s="10" t="s">
        <v>19</v>
      </c>
      <c r="E2281" s="10" t="s">
        <v>146</v>
      </c>
      <c r="F2281" s="10" t="str">
        <f>"2170579940 "</f>
        <v xml:space="preserve">2170579940 </v>
      </c>
      <c r="G2281" s="10" t="str">
        <f t="shared" si="97"/>
        <v>ON1</v>
      </c>
      <c r="H2281" s="10" t="s">
        <v>21</v>
      </c>
      <c r="I2281" s="10" t="s">
        <v>147</v>
      </c>
      <c r="J2281" s="10" t="str">
        <f>""</f>
        <v/>
      </c>
      <c r="K2281" s="10" t="str">
        <f>"PFES1162563417_0001"</f>
        <v>PFES1162563417_0001</v>
      </c>
      <c r="L2281" s="10">
        <v>1</v>
      </c>
      <c r="M2281" s="10">
        <v>1</v>
      </c>
    </row>
    <row r="2282" spans="1:13">
      <c r="A2282" s="8">
        <v>42935</v>
      </c>
      <c r="B2282" s="9">
        <v>0.53402777777777777</v>
      </c>
      <c r="C2282" s="10" t="str">
        <f>"FES1162563372"</f>
        <v>FES1162563372</v>
      </c>
      <c r="D2282" s="10" t="s">
        <v>19</v>
      </c>
      <c r="E2282" s="10" t="s">
        <v>129</v>
      </c>
      <c r="F2282" s="10" t="str">
        <f>"2170579901 "</f>
        <v xml:space="preserve">2170579901 </v>
      </c>
      <c r="G2282" s="10" t="str">
        <f t="shared" si="97"/>
        <v>ON1</v>
      </c>
      <c r="H2282" s="10" t="s">
        <v>21</v>
      </c>
      <c r="I2282" s="10" t="s">
        <v>130</v>
      </c>
      <c r="J2282" s="10" t="str">
        <f>""</f>
        <v/>
      </c>
      <c r="K2282" s="10" t="str">
        <f>"PFES1162563372_0001"</f>
        <v>PFES1162563372_0001</v>
      </c>
      <c r="L2282" s="10">
        <v>1</v>
      </c>
      <c r="M2282" s="10">
        <v>1</v>
      </c>
    </row>
    <row r="2283" spans="1:13">
      <c r="A2283" s="8">
        <v>42935</v>
      </c>
      <c r="B2283" s="9">
        <v>0.53402777777777777</v>
      </c>
      <c r="C2283" s="10" t="str">
        <f>"FES1162563428"</f>
        <v>FES1162563428</v>
      </c>
      <c r="D2283" s="10" t="s">
        <v>19</v>
      </c>
      <c r="E2283" s="10" t="s">
        <v>154</v>
      </c>
      <c r="F2283" s="10" t="str">
        <f>"2170577995 "</f>
        <v xml:space="preserve">2170577995 </v>
      </c>
      <c r="G2283" s="10" t="str">
        <f t="shared" si="97"/>
        <v>ON1</v>
      </c>
      <c r="H2283" s="10" t="s">
        <v>21</v>
      </c>
      <c r="I2283" s="10" t="s">
        <v>130</v>
      </c>
      <c r="J2283" s="10" t="str">
        <f>""</f>
        <v/>
      </c>
      <c r="K2283" s="10" t="str">
        <f>"PFES1162563428_0001"</f>
        <v>PFES1162563428_0001</v>
      </c>
      <c r="L2283" s="10">
        <v>1</v>
      </c>
      <c r="M2283" s="10">
        <v>1</v>
      </c>
    </row>
    <row r="2284" spans="1:13">
      <c r="A2284" s="8">
        <v>42935</v>
      </c>
      <c r="B2284" s="9">
        <v>0.53333333333333333</v>
      </c>
      <c r="C2284" s="10" t="str">
        <f>"FES1162563399"</f>
        <v>FES1162563399</v>
      </c>
      <c r="D2284" s="10" t="s">
        <v>19</v>
      </c>
      <c r="E2284" s="10" t="s">
        <v>154</v>
      </c>
      <c r="F2284" s="10" t="str">
        <f>"2170577670 "</f>
        <v xml:space="preserve">2170577670 </v>
      </c>
      <c r="G2284" s="10" t="str">
        <f t="shared" si="97"/>
        <v>ON1</v>
      </c>
      <c r="H2284" s="10" t="s">
        <v>21</v>
      </c>
      <c r="I2284" s="10" t="s">
        <v>130</v>
      </c>
      <c r="J2284" s="10" t="str">
        <f>""</f>
        <v/>
      </c>
      <c r="K2284" s="10" t="str">
        <f>"PFES1162563399_0001"</f>
        <v>PFES1162563399_0001</v>
      </c>
      <c r="L2284" s="10">
        <v>1</v>
      </c>
      <c r="M2284" s="10">
        <v>1</v>
      </c>
    </row>
    <row r="2285" spans="1:13">
      <c r="A2285" s="8">
        <v>42935</v>
      </c>
      <c r="B2285" s="9">
        <v>0.53333333333333333</v>
      </c>
      <c r="C2285" s="10" t="str">
        <f>"FES1162563447"</f>
        <v>FES1162563447</v>
      </c>
      <c r="D2285" s="10" t="s">
        <v>19</v>
      </c>
      <c r="E2285" s="10" t="s">
        <v>225</v>
      </c>
      <c r="F2285" s="10" t="str">
        <f>"2170579058 "</f>
        <v xml:space="preserve">2170579058 </v>
      </c>
      <c r="G2285" s="10" t="str">
        <f t="shared" si="97"/>
        <v>ON1</v>
      </c>
      <c r="H2285" s="10" t="s">
        <v>21</v>
      </c>
      <c r="I2285" s="10" t="s">
        <v>226</v>
      </c>
      <c r="J2285" s="10" t="str">
        <f>""</f>
        <v/>
      </c>
      <c r="K2285" s="10" t="str">
        <f>"PFES1162563447_0001"</f>
        <v>PFES1162563447_0001</v>
      </c>
      <c r="L2285" s="10">
        <v>1</v>
      </c>
      <c r="M2285" s="10">
        <v>1</v>
      </c>
    </row>
    <row r="2286" spans="1:13">
      <c r="A2286" s="8">
        <v>42935</v>
      </c>
      <c r="B2286" s="9">
        <v>0.53333333333333333</v>
      </c>
      <c r="C2286" s="10" t="str">
        <f>"FES1162563395"</f>
        <v>FES1162563395</v>
      </c>
      <c r="D2286" s="10" t="s">
        <v>19</v>
      </c>
      <c r="E2286" s="10" t="s">
        <v>496</v>
      </c>
      <c r="F2286" s="10" t="str">
        <f>"2170577642 "</f>
        <v xml:space="preserve">2170577642 </v>
      </c>
      <c r="G2286" s="10" t="str">
        <f t="shared" si="97"/>
        <v>ON1</v>
      </c>
      <c r="H2286" s="10" t="s">
        <v>21</v>
      </c>
      <c r="I2286" s="10" t="s">
        <v>159</v>
      </c>
      <c r="J2286" s="10" t="str">
        <f>""</f>
        <v/>
      </c>
      <c r="K2286" s="10" t="str">
        <f>"PFES1162563395_0001"</f>
        <v>PFES1162563395_0001</v>
      </c>
      <c r="L2286" s="10">
        <v>1</v>
      </c>
      <c r="M2286" s="10">
        <v>1</v>
      </c>
    </row>
    <row r="2287" spans="1:13">
      <c r="A2287" s="8">
        <v>42935</v>
      </c>
      <c r="B2287" s="9">
        <v>0.53263888888888888</v>
      </c>
      <c r="C2287" s="10" t="str">
        <f>"FES1162563489"</f>
        <v>FES1162563489</v>
      </c>
      <c r="D2287" s="10" t="s">
        <v>19</v>
      </c>
      <c r="E2287" s="10" t="s">
        <v>245</v>
      </c>
      <c r="F2287" s="10" t="str">
        <f>"2170579953 "</f>
        <v xml:space="preserve">2170579953 </v>
      </c>
      <c r="G2287" s="10" t="str">
        <f t="shared" si="97"/>
        <v>ON1</v>
      </c>
      <c r="H2287" s="10" t="s">
        <v>21</v>
      </c>
      <c r="I2287" s="10" t="s">
        <v>246</v>
      </c>
      <c r="J2287" s="10" t="str">
        <f>""</f>
        <v/>
      </c>
      <c r="K2287" s="10" t="str">
        <f>"PFES1162563489_0001"</f>
        <v>PFES1162563489_0001</v>
      </c>
      <c r="L2287" s="10">
        <v>1</v>
      </c>
      <c r="M2287" s="10">
        <v>1</v>
      </c>
    </row>
    <row r="2288" spans="1:13">
      <c r="A2288" s="8">
        <v>42935</v>
      </c>
      <c r="B2288" s="9">
        <v>0.53263888888888888</v>
      </c>
      <c r="C2288" s="10" t="str">
        <f>"FES1162563494"</f>
        <v>FES1162563494</v>
      </c>
      <c r="D2288" s="10" t="s">
        <v>19</v>
      </c>
      <c r="E2288" s="10" t="s">
        <v>981</v>
      </c>
      <c r="F2288" s="10" t="str">
        <f>"2170579960 "</f>
        <v xml:space="preserve">2170579960 </v>
      </c>
      <c r="G2288" s="10" t="str">
        <f t="shared" si="97"/>
        <v>ON1</v>
      </c>
      <c r="H2288" s="10" t="s">
        <v>21</v>
      </c>
      <c r="I2288" s="10" t="s">
        <v>246</v>
      </c>
      <c r="J2288" s="10" t="str">
        <f>""</f>
        <v/>
      </c>
      <c r="K2288" s="10" t="str">
        <f>"PFES1162563494_0001"</f>
        <v>PFES1162563494_0001</v>
      </c>
      <c r="L2288" s="10">
        <v>1</v>
      </c>
      <c r="M2288" s="10">
        <v>1</v>
      </c>
    </row>
    <row r="2289" spans="1:13">
      <c r="A2289" s="8">
        <v>42935</v>
      </c>
      <c r="B2289" s="9">
        <v>0.53194444444444444</v>
      </c>
      <c r="C2289" s="10" t="str">
        <f>"FES1162563517"</f>
        <v>FES1162563517</v>
      </c>
      <c r="D2289" s="10" t="s">
        <v>19</v>
      </c>
      <c r="E2289" s="10" t="s">
        <v>982</v>
      </c>
      <c r="F2289" s="10" t="str">
        <f>"2170579995 "</f>
        <v xml:space="preserve">2170579995 </v>
      </c>
      <c r="G2289" s="10" t="str">
        <f t="shared" si="97"/>
        <v>ON1</v>
      </c>
      <c r="H2289" s="10" t="s">
        <v>21</v>
      </c>
      <c r="I2289" s="10" t="s">
        <v>147</v>
      </c>
      <c r="J2289" s="10" t="str">
        <f>""</f>
        <v/>
      </c>
      <c r="K2289" s="10" t="str">
        <f>"PFES1162563517_0001"</f>
        <v>PFES1162563517_0001</v>
      </c>
      <c r="L2289" s="10">
        <v>1</v>
      </c>
      <c r="M2289" s="10">
        <v>1</v>
      </c>
    </row>
    <row r="2290" spans="1:13">
      <c r="A2290" s="8">
        <v>42935</v>
      </c>
      <c r="B2290" s="9">
        <v>0.53194444444444444</v>
      </c>
      <c r="C2290" s="10" t="str">
        <f>"FES1162563437"</f>
        <v>FES1162563437</v>
      </c>
      <c r="D2290" s="10" t="s">
        <v>19</v>
      </c>
      <c r="E2290" s="10" t="s">
        <v>709</v>
      </c>
      <c r="F2290" s="10" t="str">
        <f>"2170578715 "</f>
        <v xml:space="preserve">2170578715 </v>
      </c>
      <c r="G2290" s="10" t="str">
        <f t="shared" si="97"/>
        <v>ON1</v>
      </c>
      <c r="H2290" s="10" t="s">
        <v>21</v>
      </c>
      <c r="I2290" s="10" t="s">
        <v>224</v>
      </c>
      <c r="J2290" s="10" t="str">
        <f>""</f>
        <v/>
      </c>
      <c r="K2290" s="10" t="str">
        <f>"PFES1162563437_0001"</f>
        <v>PFES1162563437_0001</v>
      </c>
      <c r="L2290" s="10">
        <v>1</v>
      </c>
      <c r="M2290" s="10">
        <v>1</v>
      </c>
    </row>
    <row r="2291" spans="1:13">
      <c r="A2291" s="8">
        <v>42935</v>
      </c>
      <c r="B2291" s="9">
        <v>0.53125</v>
      </c>
      <c r="C2291" s="10" t="str">
        <f>"FES1162563512"</f>
        <v>FES1162563512</v>
      </c>
      <c r="D2291" s="10" t="s">
        <v>19</v>
      </c>
      <c r="E2291" s="10" t="s">
        <v>983</v>
      </c>
      <c r="F2291" s="10" t="str">
        <f>"2170579982 "</f>
        <v xml:space="preserve">2170579982 </v>
      </c>
      <c r="G2291" s="10" t="str">
        <f t="shared" si="97"/>
        <v>ON1</v>
      </c>
      <c r="H2291" s="10" t="s">
        <v>21</v>
      </c>
      <c r="I2291" s="10" t="s">
        <v>682</v>
      </c>
      <c r="J2291" s="10" t="str">
        <f>""</f>
        <v/>
      </c>
      <c r="K2291" s="10" t="str">
        <f>"PFES1162563512_0001"</f>
        <v>PFES1162563512_0001</v>
      </c>
      <c r="L2291" s="10">
        <v>1</v>
      </c>
      <c r="M2291" s="10">
        <v>1</v>
      </c>
    </row>
    <row r="2292" spans="1:13">
      <c r="A2292" s="8">
        <v>42935</v>
      </c>
      <c r="B2292" s="9">
        <v>0.53055555555555556</v>
      </c>
      <c r="C2292" s="10" t="str">
        <f>"FES1162563475"</f>
        <v>FES1162563475</v>
      </c>
      <c r="D2292" s="10" t="s">
        <v>19</v>
      </c>
      <c r="E2292" s="10" t="s">
        <v>376</v>
      </c>
      <c r="F2292" s="10" t="str">
        <f>"2170579934 "</f>
        <v xml:space="preserve">2170579934 </v>
      </c>
      <c r="G2292" s="10" t="str">
        <f t="shared" si="97"/>
        <v>ON1</v>
      </c>
      <c r="H2292" s="10" t="s">
        <v>21</v>
      </c>
      <c r="I2292" s="10" t="s">
        <v>377</v>
      </c>
      <c r="J2292" s="10" t="str">
        <f>""</f>
        <v/>
      </c>
      <c r="K2292" s="10" t="str">
        <f>"PFES1162563475_0001"</f>
        <v>PFES1162563475_0001</v>
      </c>
      <c r="L2292" s="10">
        <v>1</v>
      </c>
      <c r="M2292" s="10">
        <v>1</v>
      </c>
    </row>
    <row r="2293" spans="1:13">
      <c r="A2293" s="8">
        <v>42935</v>
      </c>
      <c r="B2293" s="9">
        <v>0.52916666666666667</v>
      </c>
      <c r="C2293" s="10" t="str">
        <f>"FES1162563400"</f>
        <v>FES1162563400</v>
      </c>
      <c r="D2293" s="10" t="s">
        <v>19</v>
      </c>
      <c r="E2293" s="10" t="s">
        <v>178</v>
      </c>
      <c r="F2293" s="10" t="str">
        <f>"2170577680 "</f>
        <v xml:space="preserve">2170577680 </v>
      </c>
      <c r="G2293" s="10" t="str">
        <f t="shared" si="97"/>
        <v>ON1</v>
      </c>
      <c r="H2293" s="10" t="s">
        <v>21</v>
      </c>
      <c r="I2293" s="10" t="s">
        <v>179</v>
      </c>
      <c r="J2293" s="10" t="str">
        <f>""</f>
        <v/>
      </c>
      <c r="K2293" s="10" t="str">
        <f>"PFES1162563400_0001"</f>
        <v>PFES1162563400_0001</v>
      </c>
      <c r="L2293" s="10">
        <v>1</v>
      </c>
      <c r="M2293" s="10">
        <v>3</v>
      </c>
    </row>
    <row r="2294" spans="1:13">
      <c r="A2294" s="8">
        <v>42935</v>
      </c>
      <c r="B2294" s="9">
        <v>0.52847222222222223</v>
      </c>
      <c r="C2294" s="10" t="str">
        <f>"FES1162563425"</f>
        <v>FES1162563425</v>
      </c>
      <c r="D2294" s="10" t="s">
        <v>19</v>
      </c>
      <c r="E2294" s="10" t="s">
        <v>477</v>
      </c>
      <c r="F2294" s="10" t="str">
        <f>"2170577978 "</f>
        <v xml:space="preserve">2170577978 </v>
      </c>
      <c r="G2294" s="10" t="str">
        <f t="shared" si="97"/>
        <v>ON1</v>
      </c>
      <c r="H2294" s="10" t="s">
        <v>21</v>
      </c>
      <c r="I2294" s="10" t="s">
        <v>138</v>
      </c>
      <c r="J2294" s="10" t="str">
        <f>""</f>
        <v/>
      </c>
      <c r="K2294" s="10" t="str">
        <f>"PFES1162563425_0001"</f>
        <v>PFES1162563425_0001</v>
      </c>
      <c r="L2294" s="10">
        <v>1</v>
      </c>
      <c r="M2294" s="10">
        <v>1</v>
      </c>
    </row>
    <row r="2295" spans="1:13">
      <c r="A2295" s="8">
        <v>42935</v>
      </c>
      <c r="B2295" s="9">
        <v>0.52847222222222223</v>
      </c>
      <c r="C2295" s="10" t="str">
        <f>"FES1162563424"</f>
        <v>FES1162563424</v>
      </c>
      <c r="D2295" s="10" t="s">
        <v>19</v>
      </c>
      <c r="E2295" s="10" t="s">
        <v>477</v>
      </c>
      <c r="F2295" s="10" t="str">
        <f>"2170577977 "</f>
        <v xml:space="preserve">2170577977 </v>
      </c>
      <c r="G2295" s="10" t="str">
        <f t="shared" si="97"/>
        <v>ON1</v>
      </c>
      <c r="H2295" s="10" t="s">
        <v>21</v>
      </c>
      <c r="I2295" s="10" t="s">
        <v>138</v>
      </c>
      <c r="J2295" s="10" t="str">
        <f>""</f>
        <v/>
      </c>
      <c r="K2295" s="10" t="str">
        <f>"PFES1162563424_0001"</f>
        <v>PFES1162563424_0001</v>
      </c>
      <c r="L2295" s="10">
        <v>1</v>
      </c>
      <c r="M2295" s="10">
        <v>1</v>
      </c>
    </row>
    <row r="2296" spans="1:13">
      <c r="A2296" s="8">
        <v>42935</v>
      </c>
      <c r="B2296" s="9">
        <v>0.52847222222222223</v>
      </c>
      <c r="C2296" s="10" t="str">
        <f>"FES1162563386"</f>
        <v>FES1162563386</v>
      </c>
      <c r="D2296" s="10" t="s">
        <v>19</v>
      </c>
      <c r="E2296" s="10" t="s">
        <v>299</v>
      </c>
      <c r="F2296" s="10" t="str">
        <f>"2170579921 "</f>
        <v xml:space="preserve">2170579921 </v>
      </c>
      <c r="G2296" s="10" t="str">
        <f t="shared" si="97"/>
        <v>ON1</v>
      </c>
      <c r="H2296" s="10" t="s">
        <v>21</v>
      </c>
      <c r="I2296" s="10" t="s">
        <v>183</v>
      </c>
      <c r="J2296" s="10" t="str">
        <f>""</f>
        <v/>
      </c>
      <c r="K2296" s="10" t="str">
        <f>"PFES1162563386_0001"</f>
        <v>PFES1162563386_0001</v>
      </c>
      <c r="L2296" s="10">
        <v>1</v>
      </c>
      <c r="M2296" s="10">
        <v>1</v>
      </c>
    </row>
    <row r="2297" spans="1:13">
      <c r="A2297" s="8">
        <v>42935</v>
      </c>
      <c r="B2297" s="9">
        <v>0.52777777777777779</v>
      </c>
      <c r="C2297" s="10" t="str">
        <f>"FES1162563427"</f>
        <v>FES1162563427</v>
      </c>
      <c r="D2297" s="10" t="s">
        <v>19</v>
      </c>
      <c r="E2297" s="10" t="s">
        <v>984</v>
      </c>
      <c r="F2297" s="10" t="str">
        <f>"2170577988 "</f>
        <v xml:space="preserve">2170577988 </v>
      </c>
      <c r="G2297" s="10" t="str">
        <f t="shared" si="97"/>
        <v>ON1</v>
      </c>
      <c r="H2297" s="10" t="s">
        <v>21</v>
      </c>
      <c r="I2297" s="10" t="s">
        <v>565</v>
      </c>
      <c r="J2297" s="10" t="str">
        <f>""</f>
        <v/>
      </c>
      <c r="K2297" s="10" t="str">
        <f>"PFES1162563427_0001"</f>
        <v>PFES1162563427_0001</v>
      </c>
      <c r="L2297" s="10">
        <v>1</v>
      </c>
      <c r="M2297" s="10">
        <v>1</v>
      </c>
    </row>
    <row r="2298" spans="1:13">
      <c r="A2298" s="8">
        <v>42935</v>
      </c>
      <c r="B2298" s="9">
        <v>0.52777777777777779</v>
      </c>
      <c r="C2298" s="10" t="str">
        <f>"FES11625633393"</f>
        <v>FES11625633393</v>
      </c>
      <c r="D2298" s="10" t="s">
        <v>19</v>
      </c>
      <c r="E2298" s="10" t="s">
        <v>513</v>
      </c>
      <c r="F2298" s="10" t="str">
        <f>"2170577553 "</f>
        <v xml:space="preserve">2170577553 </v>
      </c>
      <c r="G2298" s="10" t="str">
        <f t="shared" si="97"/>
        <v>ON1</v>
      </c>
      <c r="H2298" s="10" t="s">
        <v>21</v>
      </c>
      <c r="I2298" s="10" t="s">
        <v>138</v>
      </c>
      <c r="J2298" s="10" t="str">
        <f>""</f>
        <v/>
      </c>
      <c r="K2298" s="10" t="str">
        <f>"PFES11625633393_0001"</f>
        <v>PFES11625633393_0001</v>
      </c>
      <c r="L2298" s="10">
        <v>1</v>
      </c>
      <c r="M2298" s="10">
        <v>2</v>
      </c>
    </row>
    <row r="2299" spans="1:13">
      <c r="A2299" s="8">
        <v>42935</v>
      </c>
      <c r="B2299" s="9">
        <v>0.52708333333333335</v>
      </c>
      <c r="C2299" s="10" t="str">
        <f>"FES1162563262"</f>
        <v>FES1162563262</v>
      </c>
      <c r="D2299" s="10" t="s">
        <v>19</v>
      </c>
      <c r="E2299" s="10" t="s">
        <v>33</v>
      </c>
      <c r="F2299" s="10" t="str">
        <f>"2170579176 "</f>
        <v xml:space="preserve">2170579176 </v>
      </c>
      <c r="G2299" s="10" t="str">
        <f>"DBC"</f>
        <v>DBC</v>
      </c>
      <c r="H2299" s="10" t="s">
        <v>21</v>
      </c>
      <c r="I2299" s="10" t="s">
        <v>34</v>
      </c>
      <c r="J2299" s="10" t="str">
        <f>""</f>
        <v/>
      </c>
      <c r="K2299" s="10" t="str">
        <f>"PFES1162563262_0001"</f>
        <v>PFES1162563262_0001</v>
      </c>
      <c r="L2299" s="10">
        <v>1</v>
      </c>
      <c r="M2299" s="10">
        <v>24</v>
      </c>
    </row>
    <row r="2300" spans="1:13">
      <c r="A2300" s="8">
        <v>42935</v>
      </c>
      <c r="B2300" s="9">
        <v>0.52708333333333335</v>
      </c>
      <c r="C2300" s="10" t="str">
        <f>"FES1162563559"</f>
        <v>FES1162563559</v>
      </c>
      <c r="D2300" s="10" t="s">
        <v>19</v>
      </c>
      <c r="E2300" s="10" t="s">
        <v>950</v>
      </c>
      <c r="F2300" s="10" t="str">
        <f>"21705780034 "</f>
        <v xml:space="preserve">21705780034 </v>
      </c>
      <c r="G2300" s="10" t="str">
        <f>"ON1"</f>
        <v>ON1</v>
      </c>
      <c r="H2300" s="10" t="s">
        <v>21</v>
      </c>
      <c r="I2300" s="10" t="s">
        <v>951</v>
      </c>
      <c r="J2300" s="10" t="str">
        <f>""</f>
        <v/>
      </c>
      <c r="K2300" s="10" t="str">
        <f>"PFES1162563559_0001"</f>
        <v>PFES1162563559_0001</v>
      </c>
      <c r="L2300" s="10">
        <v>1</v>
      </c>
      <c r="M2300" s="10">
        <v>1</v>
      </c>
    </row>
    <row r="2301" spans="1:13">
      <c r="A2301" s="8">
        <v>42935</v>
      </c>
      <c r="B2301" s="9">
        <v>0.52638888888888891</v>
      </c>
      <c r="C2301" s="10" t="str">
        <f>"FES1162563363"</f>
        <v>FES1162563363</v>
      </c>
      <c r="D2301" s="10" t="s">
        <v>19</v>
      </c>
      <c r="E2301" s="10" t="s">
        <v>336</v>
      </c>
      <c r="F2301" s="10" t="str">
        <f>"217057987  0 "</f>
        <v xml:space="preserve">217057987  0 </v>
      </c>
      <c r="G2301" s="10" t="str">
        <f>"ON1"</f>
        <v>ON1</v>
      </c>
      <c r="H2301" s="10" t="s">
        <v>21</v>
      </c>
      <c r="I2301" s="10" t="s">
        <v>337</v>
      </c>
      <c r="J2301" s="10" t="str">
        <f>""</f>
        <v/>
      </c>
      <c r="K2301" s="10" t="str">
        <f>"PFES1162563363_0001"</f>
        <v>PFES1162563363_0001</v>
      </c>
      <c r="L2301" s="10">
        <v>1</v>
      </c>
      <c r="M2301" s="10">
        <v>1</v>
      </c>
    </row>
    <row r="2302" spans="1:13">
      <c r="A2302" s="8">
        <v>42935</v>
      </c>
      <c r="B2302" s="9">
        <v>0.52638888888888891</v>
      </c>
      <c r="C2302" s="10" t="str">
        <f>"FES1162563073"</f>
        <v>FES1162563073</v>
      </c>
      <c r="D2302" s="10" t="s">
        <v>19</v>
      </c>
      <c r="E2302" s="10" t="s">
        <v>361</v>
      </c>
      <c r="F2302" s="10" t="str">
        <f>"2170577482 "</f>
        <v xml:space="preserve">2170577482 </v>
      </c>
      <c r="G2302" s="10" t="str">
        <f>"ON2"</f>
        <v>ON2</v>
      </c>
      <c r="H2302" s="10" t="s">
        <v>21</v>
      </c>
      <c r="I2302" s="10" t="s">
        <v>106</v>
      </c>
      <c r="J2302" s="10" t="str">
        <f>""</f>
        <v/>
      </c>
      <c r="K2302" s="10" t="str">
        <f>"PFES1162563073_0001"</f>
        <v>PFES1162563073_0001</v>
      </c>
      <c r="L2302" s="10">
        <v>1</v>
      </c>
      <c r="M2302" s="10">
        <v>11</v>
      </c>
    </row>
    <row r="2303" spans="1:13">
      <c r="A2303" s="8">
        <v>42935</v>
      </c>
      <c r="B2303" s="9">
        <v>0.52638888888888891</v>
      </c>
      <c r="C2303" s="10" t="str">
        <f>"FES1162563568"</f>
        <v>FES1162563568</v>
      </c>
      <c r="D2303" s="10" t="s">
        <v>19</v>
      </c>
      <c r="E2303" s="10" t="s">
        <v>848</v>
      </c>
      <c r="F2303" s="10" t="str">
        <f>"21705780046 "</f>
        <v xml:space="preserve">21705780046 </v>
      </c>
      <c r="G2303" s="10" t="str">
        <f>"ON1"</f>
        <v>ON1</v>
      </c>
      <c r="H2303" s="10" t="s">
        <v>21</v>
      </c>
      <c r="I2303" s="10" t="s">
        <v>569</v>
      </c>
      <c r="J2303" s="10" t="str">
        <f>""</f>
        <v/>
      </c>
      <c r="K2303" s="10" t="str">
        <f>"PFES1162563568_0001"</f>
        <v>PFES1162563568_0001</v>
      </c>
      <c r="L2303" s="10">
        <v>1</v>
      </c>
      <c r="M2303" s="10">
        <v>1</v>
      </c>
    </row>
    <row r="2304" spans="1:13">
      <c r="A2304" s="8">
        <v>42935</v>
      </c>
      <c r="B2304" s="9">
        <v>0.52569444444444446</v>
      </c>
      <c r="C2304" s="10" t="str">
        <f>"FES1162563564"</f>
        <v>FES1162563564</v>
      </c>
      <c r="D2304" s="10" t="s">
        <v>19</v>
      </c>
      <c r="E2304" s="10" t="s">
        <v>78</v>
      </c>
      <c r="F2304" s="10" t="str">
        <f>"21705780041 "</f>
        <v xml:space="preserve">21705780041 </v>
      </c>
      <c r="G2304" s="10" t="str">
        <f>"ON1"</f>
        <v>ON1</v>
      </c>
      <c r="H2304" s="10" t="s">
        <v>21</v>
      </c>
      <c r="I2304" s="10" t="s">
        <v>79</v>
      </c>
      <c r="J2304" s="10" t="str">
        <f>""</f>
        <v/>
      </c>
      <c r="K2304" s="10" t="str">
        <f>"PFES1162563564_0001"</f>
        <v>PFES1162563564_0001</v>
      </c>
      <c r="L2304" s="10">
        <v>1</v>
      </c>
      <c r="M2304" s="10">
        <v>1</v>
      </c>
    </row>
    <row r="2305" spans="1:13">
      <c r="A2305" s="8">
        <v>42935</v>
      </c>
      <c r="B2305" s="9">
        <v>0.52569444444444446</v>
      </c>
      <c r="C2305" s="10" t="str">
        <f>"FES1162563415"</f>
        <v>FES1162563415</v>
      </c>
      <c r="D2305" s="10" t="s">
        <v>19</v>
      </c>
      <c r="E2305" s="10" t="s">
        <v>180</v>
      </c>
      <c r="F2305" s="10" t="str">
        <f>"2170577930 "</f>
        <v xml:space="preserve">2170577930 </v>
      </c>
      <c r="G2305" s="10" t="str">
        <f>"ON1"</f>
        <v>ON1</v>
      </c>
      <c r="H2305" s="10" t="s">
        <v>21</v>
      </c>
      <c r="I2305" s="10" t="s">
        <v>168</v>
      </c>
      <c r="J2305" s="10" t="str">
        <f>""</f>
        <v/>
      </c>
      <c r="K2305" s="10" t="str">
        <f>"PFES1162563415_0001"</f>
        <v>PFES1162563415_0001</v>
      </c>
      <c r="L2305" s="10">
        <v>1</v>
      </c>
      <c r="M2305" s="10">
        <v>4</v>
      </c>
    </row>
    <row r="2306" spans="1:13">
      <c r="A2306" s="8">
        <v>42935</v>
      </c>
      <c r="B2306" s="9">
        <v>0.52430555555555558</v>
      </c>
      <c r="C2306" s="10" t="str">
        <f>"FES1162563410"</f>
        <v>FES1162563410</v>
      </c>
      <c r="D2306" s="10" t="s">
        <v>19</v>
      </c>
      <c r="E2306" s="10" t="s">
        <v>180</v>
      </c>
      <c r="F2306" s="10" t="str">
        <f>"2170570577867 "</f>
        <v xml:space="preserve">2170570577867 </v>
      </c>
      <c r="G2306" s="10" t="str">
        <f>"ON1"</f>
        <v>ON1</v>
      </c>
      <c r="H2306" s="10" t="s">
        <v>21</v>
      </c>
      <c r="I2306" s="10" t="s">
        <v>168</v>
      </c>
      <c r="J2306" s="10" t="str">
        <f>""</f>
        <v/>
      </c>
      <c r="K2306" s="10" t="str">
        <f>"PFES1162563410_0001"</f>
        <v>PFES1162563410_0001</v>
      </c>
      <c r="L2306" s="10">
        <v>1</v>
      </c>
      <c r="M2306" s="10">
        <v>17</v>
      </c>
    </row>
    <row r="2307" spans="1:13">
      <c r="A2307" s="8">
        <v>42935</v>
      </c>
      <c r="B2307" s="9">
        <v>0.52222222222222225</v>
      </c>
      <c r="C2307" s="10" t="str">
        <f>"FES1162563557"</f>
        <v>FES1162563557</v>
      </c>
      <c r="D2307" s="10" t="s">
        <v>19</v>
      </c>
      <c r="E2307" s="10" t="s">
        <v>395</v>
      </c>
      <c r="F2307" s="10" t="str">
        <f>"21705780033 "</f>
        <v xml:space="preserve">21705780033 </v>
      </c>
      <c r="G2307" s="10" t="str">
        <f>"ON1"</f>
        <v>ON1</v>
      </c>
      <c r="H2307" s="10" t="s">
        <v>21</v>
      </c>
      <c r="I2307" s="10" t="s">
        <v>569</v>
      </c>
      <c r="J2307" s="10" t="str">
        <f>""</f>
        <v/>
      </c>
      <c r="K2307" s="10" t="str">
        <f>"PFES1162563557_0001"</f>
        <v>PFES1162563557_0001</v>
      </c>
      <c r="L2307" s="10">
        <v>1</v>
      </c>
      <c r="M2307" s="10">
        <v>8</v>
      </c>
    </row>
    <row r="2308" spans="1:13">
      <c r="A2308" s="8">
        <v>42935</v>
      </c>
      <c r="B2308" s="9">
        <v>0.4861111111111111</v>
      </c>
      <c r="C2308" s="10" t="str">
        <f>"FES1162563555"</f>
        <v>FES1162563555</v>
      </c>
      <c r="D2308" s="10" t="s">
        <v>19</v>
      </c>
      <c r="E2308" s="10" t="s">
        <v>895</v>
      </c>
      <c r="F2308" s="10" t="str">
        <f>"2170580028 "</f>
        <v xml:space="preserve">2170580028 </v>
      </c>
      <c r="G2308" s="10" t="str">
        <f>"SDX"</f>
        <v>SDX</v>
      </c>
      <c r="H2308" s="10" t="s">
        <v>21</v>
      </c>
      <c r="I2308" s="10" t="s">
        <v>896</v>
      </c>
      <c r="J2308" s="10" t="str">
        <f>"SDX DELIVERY CALL RUPERT 082 783 1646"</f>
        <v>SDX DELIVERY CALL RUPERT 082 783 1646</v>
      </c>
      <c r="K2308" s="10" t="str">
        <f>"PFES1162563555_0001"</f>
        <v>PFES1162563555_0001</v>
      </c>
      <c r="L2308" s="10">
        <v>1</v>
      </c>
      <c r="M2308" s="10">
        <v>1</v>
      </c>
    </row>
    <row r="2309" spans="1:13">
      <c r="A2309" s="8">
        <v>42935</v>
      </c>
      <c r="B2309" s="9">
        <v>0.45833333333333331</v>
      </c>
      <c r="C2309" s="10" t="str">
        <f>"FES1162563202"</f>
        <v>FES1162563202</v>
      </c>
      <c r="D2309" s="10" t="s">
        <v>19</v>
      </c>
      <c r="E2309" s="10" t="s">
        <v>985</v>
      </c>
      <c r="F2309" s="10" t="str">
        <f>"2170575766 "</f>
        <v xml:space="preserve">2170575766 </v>
      </c>
      <c r="G2309" s="10" t="str">
        <f>"DBC"</f>
        <v>DBC</v>
      </c>
      <c r="H2309" s="10" t="s">
        <v>21</v>
      </c>
      <c r="I2309" s="10" t="s">
        <v>412</v>
      </c>
      <c r="J2309" s="10" t="str">
        <f>"DBC DELIVERY REQUESTED BY TONY/"</f>
        <v>DBC DELIVERY REQUESTED BY TONY/</v>
      </c>
      <c r="K2309" s="10" t="str">
        <f>"PFES1162563202_0001"</f>
        <v>PFES1162563202_0001</v>
      </c>
      <c r="L2309" s="10">
        <v>1</v>
      </c>
      <c r="M2309" s="10">
        <v>163</v>
      </c>
    </row>
    <row r="2310" spans="1:13">
      <c r="A2310" s="8">
        <v>42935</v>
      </c>
      <c r="B2310" s="9">
        <v>0.45069444444444445</v>
      </c>
      <c r="C2310" s="10" t="str">
        <f>"FES1162563516"</f>
        <v>FES1162563516</v>
      </c>
      <c r="D2310" s="10" t="s">
        <v>19</v>
      </c>
      <c r="E2310" s="10" t="s">
        <v>190</v>
      </c>
      <c r="F2310" s="10" t="str">
        <f>"21705799990 "</f>
        <v xml:space="preserve">21705799990 </v>
      </c>
      <c r="G2310" s="10" t="str">
        <f t="shared" ref="G2310:G2371" si="98">"ON1"</f>
        <v>ON1</v>
      </c>
      <c r="H2310" s="10" t="s">
        <v>21</v>
      </c>
      <c r="I2310" s="10" t="s">
        <v>52</v>
      </c>
      <c r="J2310" s="10" t="str">
        <f>""</f>
        <v/>
      </c>
      <c r="K2310" s="10" t="str">
        <f>"PFES1162563516_0001"</f>
        <v>PFES1162563516_0001</v>
      </c>
      <c r="L2310" s="10">
        <v>1</v>
      </c>
      <c r="M2310" s="10">
        <v>1</v>
      </c>
    </row>
    <row r="2311" spans="1:13">
      <c r="A2311" s="8">
        <v>42935</v>
      </c>
      <c r="B2311" s="9">
        <v>0.45069444444444445</v>
      </c>
      <c r="C2311" s="10" t="str">
        <f>"FES1162563369"</f>
        <v>FES1162563369</v>
      </c>
      <c r="D2311" s="10" t="s">
        <v>19</v>
      </c>
      <c r="E2311" s="10" t="s">
        <v>422</v>
      </c>
      <c r="F2311" s="10" t="str">
        <f>"2170579896 "</f>
        <v xml:space="preserve">2170579896 </v>
      </c>
      <c r="G2311" s="10" t="str">
        <f t="shared" si="98"/>
        <v>ON1</v>
      </c>
      <c r="H2311" s="10" t="s">
        <v>21</v>
      </c>
      <c r="I2311" s="10" t="s">
        <v>330</v>
      </c>
      <c r="J2311" s="10" t="str">
        <f>""</f>
        <v/>
      </c>
      <c r="K2311" s="10" t="str">
        <f>"PFES1162563369_0001"</f>
        <v>PFES1162563369_0001</v>
      </c>
      <c r="L2311" s="10">
        <v>1</v>
      </c>
      <c r="M2311" s="10">
        <v>1</v>
      </c>
    </row>
    <row r="2312" spans="1:13">
      <c r="A2312" s="8">
        <v>42935</v>
      </c>
      <c r="B2312" s="9">
        <v>0.44166666666666665</v>
      </c>
      <c r="C2312" s="10" t="str">
        <f>"FES1162563374"</f>
        <v>FES1162563374</v>
      </c>
      <c r="D2312" s="10" t="s">
        <v>19</v>
      </c>
      <c r="E2312" s="10" t="s">
        <v>62</v>
      </c>
      <c r="F2312" s="10" t="str">
        <f>"2170579904 "</f>
        <v xml:space="preserve">2170579904 </v>
      </c>
      <c r="G2312" s="10" t="str">
        <f t="shared" si="98"/>
        <v>ON1</v>
      </c>
      <c r="H2312" s="10" t="s">
        <v>21</v>
      </c>
      <c r="I2312" s="10" t="s">
        <v>263</v>
      </c>
      <c r="J2312" s="10" t="str">
        <f>""</f>
        <v/>
      </c>
      <c r="K2312" s="10" t="str">
        <f>"PFES1162563374_0001"</f>
        <v>PFES1162563374_0001</v>
      </c>
      <c r="L2312" s="10">
        <v>1</v>
      </c>
      <c r="M2312" s="10">
        <v>4</v>
      </c>
    </row>
    <row r="2313" spans="1:13">
      <c r="A2313" s="8">
        <v>42935</v>
      </c>
      <c r="B2313" s="9">
        <v>0.44097222222222227</v>
      </c>
      <c r="C2313" s="10" t="str">
        <f>"FES1162563406"</f>
        <v>FES1162563406</v>
      </c>
      <c r="D2313" s="10" t="s">
        <v>19</v>
      </c>
      <c r="E2313" s="10" t="s">
        <v>255</v>
      </c>
      <c r="F2313" s="10" t="str">
        <f>"2170577846 "</f>
        <v xml:space="preserve">2170577846 </v>
      </c>
      <c r="G2313" s="10" t="str">
        <f t="shared" si="98"/>
        <v>ON1</v>
      </c>
      <c r="H2313" s="10" t="s">
        <v>21</v>
      </c>
      <c r="I2313" s="10" t="s">
        <v>256</v>
      </c>
      <c r="J2313" s="10" t="str">
        <f>""</f>
        <v/>
      </c>
      <c r="K2313" s="10" t="str">
        <f>"PFES1162563406_0001"</f>
        <v>PFES1162563406_0001</v>
      </c>
      <c r="L2313" s="10">
        <v>1</v>
      </c>
      <c r="M2313" s="10">
        <v>7</v>
      </c>
    </row>
    <row r="2314" spans="1:13">
      <c r="A2314" s="8">
        <v>42935</v>
      </c>
      <c r="B2314" s="9">
        <v>0.44027777777777777</v>
      </c>
      <c r="C2314" s="10" t="str">
        <f>"FES1162563413"</f>
        <v>FES1162563413</v>
      </c>
      <c r="D2314" s="10" t="s">
        <v>19</v>
      </c>
      <c r="E2314" s="10" t="s">
        <v>944</v>
      </c>
      <c r="F2314" s="10" t="str">
        <f>"2170577889 "</f>
        <v xml:space="preserve">2170577889 </v>
      </c>
      <c r="G2314" s="10" t="str">
        <f t="shared" si="98"/>
        <v>ON1</v>
      </c>
      <c r="H2314" s="10" t="s">
        <v>21</v>
      </c>
      <c r="I2314" s="10" t="s">
        <v>52</v>
      </c>
      <c r="J2314" s="10" t="str">
        <f>""</f>
        <v/>
      </c>
      <c r="K2314" s="10" t="str">
        <f>"PFES1162563413_0001"</f>
        <v>PFES1162563413_0001</v>
      </c>
      <c r="L2314" s="10">
        <v>1</v>
      </c>
      <c r="M2314" s="10">
        <v>8</v>
      </c>
    </row>
    <row r="2315" spans="1:13">
      <c r="A2315" s="8">
        <v>42935</v>
      </c>
      <c r="B2315" s="9">
        <v>0.44027777777777777</v>
      </c>
      <c r="C2315" s="10" t="str">
        <f>"FES1162563404"</f>
        <v>FES1162563404</v>
      </c>
      <c r="D2315" s="10" t="s">
        <v>19</v>
      </c>
      <c r="E2315" s="10" t="s">
        <v>255</v>
      </c>
      <c r="F2315" s="10" t="str">
        <f>"2170577765 "</f>
        <v xml:space="preserve">2170577765 </v>
      </c>
      <c r="G2315" s="10" t="str">
        <f t="shared" si="98"/>
        <v>ON1</v>
      </c>
      <c r="H2315" s="10" t="s">
        <v>21</v>
      </c>
      <c r="I2315" s="10" t="s">
        <v>256</v>
      </c>
      <c r="J2315" s="10" t="str">
        <f>""</f>
        <v/>
      </c>
      <c r="K2315" s="10" t="str">
        <f>"PFES1162563404_0001"</f>
        <v>PFES1162563404_0001</v>
      </c>
      <c r="L2315" s="10">
        <v>1</v>
      </c>
      <c r="M2315" s="10">
        <v>2</v>
      </c>
    </row>
    <row r="2316" spans="1:13">
      <c r="A2316" s="8">
        <v>42935</v>
      </c>
      <c r="B2316" s="9">
        <v>0.43958333333333338</v>
      </c>
      <c r="C2316" s="10" t="str">
        <f>"FES1162563418"</f>
        <v>FES1162563418</v>
      </c>
      <c r="D2316" s="10" t="s">
        <v>19</v>
      </c>
      <c r="E2316" s="10" t="s">
        <v>441</v>
      </c>
      <c r="F2316" s="10" t="str">
        <f>"2170577950 "</f>
        <v xml:space="preserve">2170577950 </v>
      </c>
      <c r="G2316" s="10" t="str">
        <f t="shared" si="98"/>
        <v>ON1</v>
      </c>
      <c r="H2316" s="10" t="s">
        <v>21</v>
      </c>
      <c r="I2316" s="10" t="s">
        <v>166</v>
      </c>
      <c r="J2316" s="10" t="str">
        <f>""</f>
        <v/>
      </c>
      <c r="K2316" s="10" t="str">
        <f>"PFES1162563418_0001"</f>
        <v>PFES1162563418_0001</v>
      </c>
      <c r="L2316" s="10">
        <v>1</v>
      </c>
      <c r="M2316" s="10">
        <v>2</v>
      </c>
    </row>
    <row r="2317" spans="1:13">
      <c r="A2317" s="8">
        <v>42935</v>
      </c>
      <c r="B2317" s="9">
        <v>0.43888888888888888</v>
      </c>
      <c r="C2317" s="10" t="str">
        <f>"FES1162563480"</f>
        <v>FES1162563480</v>
      </c>
      <c r="D2317" s="10" t="s">
        <v>19</v>
      </c>
      <c r="E2317" s="10" t="s">
        <v>535</v>
      </c>
      <c r="F2317" s="10" t="str">
        <f>"2170579939 "</f>
        <v xml:space="preserve">2170579939 </v>
      </c>
      <c r="G2317" s="10" t="str">
        <f t="shared" si="98"/>
        <v>ON1</v>
      </c>
      <c r="H2317" s="10" t="s">
        <v>21</v>
      </c>
      <c r="I2317" s="10" t="s">
        <v>240</v>
      </c>
      <c r="J2317" s="10" t="str">
        <f>""</f>
        <v/>
      </c>
      <c r="K2317" s="10" t="str">
        <f>"PFES1162563480_0001"</f>
        <v>PFES1162563480_0001</v>
      </c>
      <c r="L2317" s="10">
        <v>1</v>
      </c>
      <c r="M2317" s="10">
        <v>3</v>
      </c>
    </row>
    <row r="2318" spans="1:13">
      <c r="A2318" s="8">
        <v>42935</v>
      </c>
      <c r="B2318" s="9">
        <v>0.4381944444444445</v>
      </c>
      <c r="C2318" s="10" t="str">
        <f>"FES1162563407"</f>
        <v>FES1162563407</v>
      </c>
      <c r="D2318" s="10" t="s">
        <v>19</v>
      </c>
      <c r="E2318" s="10" t="s">
        <v>255</v>
      </c>
      <c r="F2318" s="10" t="str">
        <f>"2170577850 "</f>
        <v xml:space="preserve">2170577850 </v>
      </c>
      <c r="G2318" s="10" t="str">
        <f t="shared" si="98"/>
        <v>ON1</v>
      </c>
      <c r="H2318" s="10" t="s">
        <v>21</v>
      </c>
      <c r="I2318" s="10" t="s">
        <v>256</v>
      </c>
      <c r="J2318" s="10" t="str">
        <f>""</f>
        <v/>
      </c>
      <c r="K2318" s="10" t="str">
        <f>"PFES1162563407_0001"</f>
        <v>PFES1162563407_0001</v>
      </c>
      <c r="L2318" s="10">
        <v>1</v>
      </c>
      <c r="M2318" s="10">
        <v>9</v>
      </c>
    </row>
    <row r="2319" spans="1:13">
      <c r="A2319" s="8">
        <v>42935</v>
      </c>
      <c r="B2319" s="9">
        <v>0.4375</v>
      </c>
      <c r="C2319" s="10" t="str">
        <f>"FES1162563307"</f>
        <v>FES1162563307</v>
      </c>
      <c r="D2319" s="10" t="s">
        <v>19</v>
      </c>
      <c r="E2319" s="10" t="s">
        <v>288</v>
      </c>
      <c r="F2319" s="10" t="str">
        <f>"2170579833 "</f>
        <v xml:space="preserve">2170579833 </v>
      </c>
      <c r="G2319" s="10" t="str">
        <f t="shared" si="98"/>
        <v>ON1</v>
      </c>
      <c r="H2319" s="10" t="s">
        <v>21</v>
      </c>
      <c r="I2319" s="10" t="s">
        <v>84</v>
      </c>
      <c r="J2319" s="10" t="str">
        <f>""</f>
        <v/>
      </c>
      <c r="K2319" s="10" t="str">
        <f>"PFES1162563307_0001"</f>
        <v>PFES1162563307_0001</v>
      </c>
      <c r="L2319" s="10">
        <v>1</v>
      </c>
      <c r="M2319" s="10">
        <v>2</v>
      </c>
    </row>
    <row r="2320" spans="1:13">
      <c r="A2320" s="8">
        <v>42935</v>
      </c>
      <c r="B2320" s="9">
        <v>0.4368055555555555</v>
      </c>
      <c r="C2320" s="10" t="str">
        <f>"FES1162563488"</f>
        <v>FES1162563488</v>
      </c>
      <c r="D2320" s="10" t="s">
        <v>19</v>
      </c>
      <c r="E2320" s="10" t="s">
        <v>279</v>
      </c>
      <c r="F2320" s="10" t="str">
        <f>"2170579951 "</f>
        <v xml:space="preserve">2170579951 </v>
      </c>
      <c r="G2320" s="10" t="str">
        <f t="shared" si="98"/>
        <v>ON1</v>
      </c>
      <c r="H2320" s="10" t="s">
        <v>21</v>
      </c>
      <c r="I2320" s="10" t="s">
        <v>234</v>
      </c>
      <c r="J2320" s="10" t="str">
        <f>""</f>
        <v/>
      </c>
      <c r="K2320" s="10" t="str">
        <f>"PFES1162563488_0001"</f>
        <v>PFES1162563488_0001</v>
      </c>
      <c r="L2320" s="10">
        <v>1</v>
      </c>
      <c r="M2320" s="10">
        <v>1</v>
      </c>
    </row>
    <row r="2321" spans="1:13">
      <c r="A2321" s="8">
        <v>42935</v>
      </c>
      <c r="B2321" s="9">
        <v>0.43611111111111112</v>
      </c>
      <c r="C2321" s="10" t="str">
        <f>"FES1162563318"</f>
        <v>FES1162563318</v>
      </c>
      <c r="D2321" s="10" t="s">
        <v>19</v>
      </c>
      <c r="E2321" s="10" t="s">
        <v>952</v>
      </c>
      <c r="F2321" s="10" t="str">
        <f>"2170579840 "</f>
        <v xml:space="preserve">2170579840 </v>
      </c>
      <c r="G2321" s="10" t="str">
        <f t="shared" si="98"/>
        <v>ON1</v>
      </c>
      <c r="H2321" s="10" t="s">
        <v>21</v>
      </c>
      <c r="I2321" s="10" t="s">
        <v>364</v>
      </c>
      <c r="J2321" s="10" t="str">
        <f>""</f>
        <v/>
      </c>
      <c r="K2321" s="10" t="str">
        <f>"PFES1162563318_0001"</f>
        <v>PFES1162563318_0001</v>
      </c>
      <c r="L2321" s="10">
        <v>1</v>
      </c>
      <c r="M2321" s="10">
        <v>2</v>
      </c>
    </row>
    <row r="2322" spans="1:13">
      <c r="A2322" s="8">
        <v>42935</v>
      </c>
      <c r="B2322" s="9">
        <v>0.43472222222222223</v>
      </c>
      <c r="C2322" s="10" t="str">
        <f>"FES1162563370"</f>
        <v>FES1162563370</v>
      </c>
      <c r="D2322" s="10" t="s">
        <v>19</v>
      </c>
      <c r="E2322" s="10" t="s">
        <v>89</v>
      </c>
      <c r="F2322" s="10" t="str">
        <f>"2170579897 "</f>
        <v xml:space="preserve">2170579897 </v>
      </c>
      <c r="G2322" s="10" t="str">
        <f t="shared" si="98"/>
        <v>ON1</v>
      </c>
      <c r="H2322" s="10" t="s">
        <v>21</v>
      </c>
      <c r="I2322" s="10" t="s">
        <v>66</v>
      </c>
      <c r="J2322" s="10" t="str">
        <f>""</f>
        <v/>
      </c>
      <c r="K2322" s="10" t="str">
        <f>"PFES1162563370_0001"</f>
        <v>PFES1162563370_0001</v>
      </c>
      <c r="L2322" s="10">
        <v>1</v>
      </c>
      <c r="M2322" s="10">
        <v>2</v>
      </c>
    </row>
    <row r="2323" spans="1:13">
      <c r="A2323" s="8">
        <v>42935</v>
      </c>
      <c r="B2323" s="9">
        <v>0.43472222222222223</v>
      </c>
      <c r="C2323" s="10" t="str">
        <f>"FES1162563466"</f>
        <v>FES1162563466</v>
      </c>
      <c r="D2323" s="10" t="s">
        <v>19</v>
      </c>
      <c r="E2323" s="10" t="s">
        <v>706</v>
      </c>
      <c r="F2323" s="10" t="str">
        <f>"2170579868 "</f>
        <v xml:space="preserve">2170579868 </v>
      </c>
      <c r="G2323" s="10" t="str">
        <f t="shared" si="98"/>
        <v>ON1</v>
      </c>
      <c r="H2323" s="10" t="s">
        <v>21</v>
      </c>
      <c r="I2323" s="10" t="s">
        <v>166</v>
      </c>
      <c r="J2323" s="10" t="str">
        <f>""</f>
        <v/>
      </c>
      <c r="K2323" s="10" t="str">
        <f>"PFES1162563466_0001"</f>
        <v>PFES1162563466_0001</v>
      </c>
      <c r="L2323" s="10">
        <v>1</v>
      </c>
      <c r="M2323" s="10">
        <v>1</v>
      </c>
    </row>
    <row r="2324" spans="1:13">
      <c r="A2324" s="8">
        <v>42935</v>
      </c>
      <c r="B2324" s="9">
        <v>0.43333333333333335</v>
      </c>
      <c r="C2324" s="10" t="str">
        <f>"FES1162563364"</f>
        <v>FES1162563364</v>
      </c>
      <c r="D2324" s="10" t="s">
        <v>19</v>
      </c>
      <c r="E2324" s="10" t="s">
        <v>96</v>
      </c>
      <c r="F2324" s="10" t="str">
        <f>"2170579891 "</f>
        <v xml:space="preserve">2170579891 </v>
      </c>
      <c r="G2324" s="10" t="str">
        <f t="shared" si="98"/>
        <v>ON1</v>
      </c>
      <c r="H2324" s="10" t="s">
        <v>21</v>
      </c>
      <c r="I2324" s="10" t="s">
        <v>90</v>
      </c>
      <c r="J2324" s="10" t="str">
        <f>""</f>
        <v/>
      </c>
      <c r="K2324" s="10" t="str">
        <f>"PFES1162563364_0001"</f>
        <v>PFES1162563364_0001</v>
      </c>
      <c r="L2324" s="10">
        <v>1</v>
      </c>
      <c r="M2324" s="10">
        <v>1</v>
      </c>
    </row>
    <row r="2325" spans="1:13">
      <c r="A2325" s="8">
        <v>42935</v>
      </c>
      <c r="B2325" s="9">
        <v>0.43333333333333335</v>
      </c>
      <c r="C2325" s="10" t="str">
        <f>"FES1162563455"</f>
        <v>FES1162563455</v>
      </c>
      <c r="D2325" s="10" t="s">
        <v>19</v>
      </c>
      <c r="E2325" s="10" t="s">
        <v>76</v>
      </c>
      <c r="F2325" s="10" t="str">
        <f>"2170579479 "</f>
        <v xml:space="preserve">2170579479 </v>
      </c>
      <c r="G2325" s="10" t="str">
        <f t="shared" si="98"/>
        <v>ON1</v>
      </c>
      <c r="H2325" s="10" t="s">
        <v>21</v>
      </c>
      <c r="I2325" s="10" t="s">
        <v>77</v>
      </c>
      <c r="J2325" s="10" t="str">
        <f>""</f>
        <v/>
      </c>
      <c r="K2325" s="10" t="str">
        <f>"PFES1162563455_0001"</f>
        <v>PFES1162563455_0001</v>
      </c>
      <c r="L2325" s="10">
        <v>1</v>
      </c>
      <c r="M2325" s="10">
        <v>1</v>
      </c>
    </row>
    <row r="2326" spans="1:13">
      <c r="A2326" s="8">
        <v>42935</v>
      </c>
      <c r="B2326" s="9">
        <v>0.43263888888888885</v>
      </c>
      <c r="C2326" s="10" t="str">
        <f>"FES1162563435"</f>
        <v>FES1162563435</v>
      </c>
      <c r="D2326" s="10" t="s">
        <v>19</v>
      </c>
      <c r="E2326" s="10" t="s">
        <v>441</v>
      </c>
      <c r="F2326" s="10" t="str">
        <f>"2170578428 "</f>
        <v xml:space="preserve">2170578428 </v>
      </c>
      <c r="G2326" s="10" t="str">
        <f t="shared" si="98"/>
        <v>ON1</v>
      </c>
      <c r="H2326" s="10" t="s">
        <v>21</v>
      </c>
      <c r="I2326" s="10" t="s">
        <v>166</v>
      </c>
      <c r="J2326" s="10" t="str">
        <f>""</f>
        <v/>
      </c>
      <c r="K2326" s="10" t="str">
        <f>"PFES1162563435_0001"</f>
        <v>PFES1162563435_0001</v>
      </c>
      <c r="L2326" s="10">
        <v>1</v>
      </c>
      <c r="M2326" s="10">
        <v>1</v>
      </c>
    </row>
    <row r="2327" spans="1:13">
      <c r="A2327" s="8">
        <v>42935</v>
      </c>
      <c r="B2327" s="9">
        <v>0.43194444444444446</v>
      </c>
      <c r="C2327" s="10" t="str">
        <f>"FES1162563293"</f>
        <v>FES1162563293</v>
      </c>
      <c r="D2327" s="10" t="s">
        <v>19</v>
      </c>
      <c r="E2327" s="10" t="s">
        <v>47</v>
      </c>
      <c r="F2327" s="10" t="str">
        <f>"2170579817 "</f>
        <v xml:space="preserve">2170579817 </v>
      </c>
      <c r="G2327" s="10" t="str">
        <f t="shared" si="98"/>
        <v>ON1</v>
      </c>
      <c r="H2327" s="10" t="s">
        <v>21</v>
      </c>
      <c r="I2327" s="10" t="s">
        <v>48</v>
      </c>
      <c r="J2327" s="10" t="str">
        <f>""</f>
        <v/>
      </c>
      <c r="K2327" s="10" t="str">
        <f>"PFES1162563293_0001"</f>
        <v>PFES1162563293_0001</v>
      </c>
      <c r="L2327" s="10">
        <v>1</v>
      </c>
      <c r="M2327" s="10">
        <v>1</v>
      </c>
    </row>
    <row r="2328" spans="1:13">
      <c r="A2328" s="8">
        <v>42935</v>
      </c>
      <c r="B2328" s="9">
        <v>0.43124999999999997</v>
      </c>
      <c r="C2328" s="10" t="str">
        <f>"FES1162563454"</f>
        <v>FES1162563454</v>
      </c>
      <c r="D2328" s="10" t="s">
        <v>19</v>
      </c>
      <c r="E2328" s="10" t="s">
        <v>76</v>
      </c>
      <c r="F2328" s="10" t="str">
        <f>"2170579473 "</f>
        <v xml:space="preserve">2170579473 </v>
      </c>
      <c r="G2328" s="10" t="str">
        <f t="shared" si="98"/>
        <v>ON1</v>
      </c>
      <c r="H2328" s="10" t="s">
        <v>21</v>
      </c>
      <c r="I2328" s="10" t="s">
        <v>77</v>
      </c>
      <c r="J2328" s="10" t="str">
        <f>""</f>
        <v/>
      </c>
      <c r="K2328" s="10" t="str">
        <f>"PFES1162563454_0001"</f>
        <v>PFES1162563454_0001</v>
      </c>
      <c r="L2328" s="10">
        <v>1</v>
      </c>
      <c r="M2328" s="10">
        <v>1</v>
      </c>
    </row>
    <row r="2329" spans="1:13">
      <c r="A2329" s="8">
        <v>42935</v>
      </c>
      <c r="B2329" s="9">
        <v>0.43055555555555558</v>
      </c>
      <c r="C2329" s="10" t="str">
        <f>"FES1162563502"</f>
        <v>FES1162563502</v>
      </c>
      <c r="D2329" s="10" t="s">
        <v>19</v>
      </c>
      <c r="E2329" s="10" t="s">
        <v>78</v>
      </c>
      <c r="F2329" s="10" t="str">
        <f>"2170579968 "</f>
        <v xml:space="preserve">2170579968 </v>
      </c>
      <c r="G2329" s="10" t="str">
        <f t="shared" si="98"/>
        <v>ON1</v>
      </c>
      <c r="H2329" s="10" t="s">
        <v>21</v>
      </c>
      <c r="I2329" s="10" t="s">
        <v>79</v>
      </c>
      <c r="J2329" s="10" t="str">
        <f>""</f>
        <v/>
      </c>
      <c r="K2329" s="10" t="str">
        <f>"PFES1162563502_0001"</f>
        <v>PFES1162563502_0001</v>
      </c>
      <c r="L2329" s="10">
        <v>1</v>
      </c>
      <c r="M2329" s="10">
        <v>1</v>
      </c>
    </row>
    <row r="2330" spans="1:13">
      <c r="A2330" s="8">
        <v>42935</v>
      </c>
      <c r="B2330" s="9">
        <v>0.4284722222222222</v>
      </c>
      <c r="C2330" s="10" t="str">
        <f>"FES1162563390"</f>
        <v>FES1162563390</v>
      </c>
      <c r="D2330" s="10" t="s">
        <v>19</v>
      </c>
      <c r="E2330" s="10" t="s">
        <v>237</v>
      </c>
      <c r="F2330" s="10" t="str">
        <f>"2170574736 "</f>
        <v xml:space="preserve">2170574736 </v>
      </c>
      <c r="G2330" s="10" t="str">
        <f t="shared" si="98"/>
        <v>ON1</v>
      </c>
      <c r="H2330" s="10" t="s">
        <v>21</v>
      </c>
      <c r="I2330" s="10" t="s">
        <v>238</v>
      </c>
      <c r="J2330" s="10" t="str">
        <f>""</f>
        <v/>
      </c>
      <c r="K2330" s="10" t="str">
        <f>"PFES1162563390_0001"</f>
        <v>PFES1162563390_0001</v>
      </c>
      <c r="L2330" s="10">
        <v>1</v>
      </c>
      <c r="M2330" s="10">
        <v>1</v>
      </c>
    </row>
    <row r="2331" spans="1:13">
      <c r="A2331" s="8">
        <v>42935</v>
      </c>
      <c r="B2331" s="9">
        <v>0.42777777777777781</v>
      </c>
      <c r="C2331" s="10" t="str">
        <f>"FES1162563383"</f>
        <v>FES1162563383</v>
      </c>
      <c r="D2331" s="10" t="s">
        <v>19</v>
      </c>
      <c r="E2331" s="10" t="s">
        <v>429</v>
      </c>
      <c r="F2331" s="10" t="str">
        <f>"2170579915 "</f>
        <v xml:space="preserve">2170579915 </v>
      </c>
      <c r="G2331" s="10" t="str">
        <f t="shared" si="98"/>
        <v>ON1</v>
      </c>
      <c r="H2331" s="10" t="s">
        <v>21</v>
      </c>
      <c r="I2331" s="10" t="s">
        <v>430</v>
      </c>
      <c r="J2331" s="10" t="str">
        <f>""</f>
        <v/>
      </c>
      <c r="K2331" s="10" t="str">
        <f>"PFES1162563383_0001"</f>
        <v>PFES1162563383_0001</v>
      </c>
      <c r="L2331" s="10">
        <v>1</v>
      </c>
      <c r="M2331" s="10">
        <v>1</v>
      </c>
    </row>
    <row r="2332" spans="1:13">
      <c r="A2332" s="8">
        <v>42935</v>
      </c>
      <c r="B2332" s="9">
        <v>0.42708333333333331</v>
      </c>
      <c r="C2332" s="10" t="str">
        <f>"FES1162563451"</f>
        <v>FES1162563451</v>
      </c>
      <c r="D2332" s="10" t="s">
        <v>19</v>
      </c>
      <c r="E2332" s="10" t="s">
        <v>441</v>
      </c>
      <c r="F2332" s="10" t="str">
        <f>"2170579279 "</f>
        <v xml:space="preserve">2170579279 </v>
      </c>
      <c r="G2332" s="10" t="str">
        <f t="shared" si="98"/>
        <v>ON1</v>
      </c>
      <c r="H2332" s="10" t="s">
        <v>21</v>
      </c>
      <c r="I2332" s="10" t="s">
        <v>166</v>
      </c>
      <c r="J2332" s="10" t="str">
        <f>""</f>
        <v/>
      </c>
      <c r="K2332" s="10" t="str">
        <f>"PFES1162563451_0001"</f>
        <v>PFES1162563451_0001</v>
      </c>
      <c r="L2332" s="10">
        <v>1</v>
      </c>
      <c r="M2332" s="10">
        <v>1</v>
      </c>
    </row>
    <row r="2333" spans="1:13">
      <c r="A2333" s="8">
        <v>42935</v>
      </c>
      <c r="B2333" s="9">
        <v>0.42638888888888887</v>
      </c>
      <c r="C2333" s="10" t="str">
        <f>"FES1162563486"</f>
        <v>FES1162563486</v>
      </c>
      <c r="D2333" s="10" t="s">
        <v>19</v>
      </c>
      <c r="E2333" s="10" t="s">
        <v>274</v>
      </c>
      <c r="F2333" s="10" t="str">
        <f>"2170579949 "</f>
        <v xml:space="preserve">2170579949 </v>
      </c>
      <c r="G2333" s="10" t="str">
        <f t="shared" si="98"/>
        <v>ON1</v>
      </c>
      <c r="H2333" s="10" t="s">
        <v>21</v>
      </c>
      <c r="I2333" s="10" t="s">
        <v>166</v>
      </c>
      <c r="J2333" s="10" t="str">
        <f>""</f>
        <v/>
      </c>
      <c r="K2333" s="10" t="str">
        <f>"PFES1162563486_0001"</f>
        <v>PFES1162563486_0001</v>
      </c>
      <c r="L2333" s="10">
        <v>1</v>
      </c>
      <c r="M2333" s="10">
        <v>1</v>
      </c>
    </row>
    <row r="2334" spans="1:13">
      <c r="A2334" s="8">
        <v>42935</v>
      </c>
      <c r="B2334" s="9">
        <v>0.42569444444444443</v>
      </c>
      <c r="C2334" s="10" t="str">
        <f>"FES1162563439"</f>
        <v>FES1162563439</v>
      </c>
      <c r="D2334" s="10" t="s">
        <v>19</v>
      </c>
      <c r="E2334" s="10" t="s">
        <v>264</v>
      </c>
      <c r="F2334" s="10" t="str">
        <f>"2170578877 "</f>
        <v xml:space="preserve">2170578877 </v>
      </c>
      <c r="G2334" s="10" t="str">
        <f t="shared" si="98"/>
        <v>ON1</v>
      </c>
      <c r="H2334" s="10" t="s">
        <v>21</v>
      </c>
      <c r="I2334" s="10" t="s">
        <v>240</v>
      </c>
      <c r="J2334" s="10" t="str">
        <f>""</f>
        <v/>
      </c>
      <c r="K2334" s="10" t="str">
        <f>"PFES1162563439_0001"</f>
        <v>PFES1162563439_0001</v>
      </c>
      <c r="L2334" s="10">
        <v>1</v>
      </c>
      <c r="M2334" s="10">
        <v>1</v>
      </c>
    </row>
    <row r="2335" spans="1:13">
      <c r="A2335" s="8">
        <v>42935</v>
      </c>
      <c r="B2335" s="9">
        <v>0.42499999999999999</v>
      </c>
      <c r="C2335" s="10" t="str">
        <f>"FES1162563412"</f>
        <v>FES1162563412</v>
      </c>
      <c r="D2335" s="10" t="s">
        <v>19</v>
      </c>
      <c r="E2335" s="10" t="s">
        <v>282</v>
      </c>
      <c r="F2335" s="10" t="str">
        <f>"2170577887 "</f>
        <v xml:space="preserve">2170577887 </v>
      </c>
      <c r="G2335" s="10" t="str">
        <f t="shared" si="98"/>
        <v>ON1</v>
      </c>
      <c r="H2335" s="10" t="s">
        <v>21</v>
      </c>
      <c r="I2335" s="10" t="s">
        <v>252</v>
      </c>
      <c r="J2335" s="10" t="str">
        <f>""</f>
        <v/>
      </c>
      <c r="K2335" s="10" t="str">
        <f>"PFES1162563412_0001"</f>
        <v>PFES1162563412_0001</v>
      </c>
      <c r="L2335" s="10">
        <v>1</v>
      </c>
      <c r="M2335" s="10">
        <v>1</v>
      </c>
    </row>
    <row r="2336" spans="1:13">
      <c r="A2336" s="8">
        <v>42935</v>
      </c>
      <c r="B2336" s="9">
        <v>0.42430555555555555</v>
      </c>
      <c r="C2336" s="10" t="str">
        <f>"FES1162563472"</f>
        <v>FES1162563472</v>
      </c>
      <c r="D2336" s="10" t="s">
        <v>19</v>
      </c>
      <c r="E2336" s="10" t="s">
        <v>848</v>
      </c>
      <c r="F2336" s="10" t="str">
        <f>"2170579931 "</f>
        <v xml:space="preserve">2170579931 </v>
      </c>
      <c r="G2336" s="10" t="str">
        <f t="shared" si="98"/>
        <v>ON1</v>
      </c>
      <c r="H2336" s="10" t="s">
        <v>21</v>
      </c>
      <c r="I2336" s="10" t="s">
        <v>569</v>
      </c>
      <c r="J2336" s="10" t="str">
        <f>""</f>
        <v/>
      </c>
      <c r="K2336" s="10" t="str">
        <f>"PFES1162563472_0001"</f>
        <v>PFES1162563472_0001</v>
      </c>
      <c r="L2336" s="10">
        <v>1</v>
      </c>
      <c r="M2336" s="10">
        <v>1</v>
      </c>
    </row>
    <row r="2337" spans="1:13">
      <c r="A2337" s="8">
        <v>42935</v>
      </c>
      <c r="B2337" s="9">
        <v>0.4236111111111111</v>
      </c>
      <c r="C2337" s="10" t="str">
        <f>"FES1162563445"</f>
        <v>FES1162563445</v>
      </c>
      <c r="D2337" s="10" t="s">
        <v>19</v>
      </c>
      <c r="E2337" s="10" t="s">
        <v>848</v>
      </c>
      <c r="F2337" s="10" t="str">
        <f>"2170579044 "</f>
        <v xml:space="preserve">2170579044 </v>
      </c>
      <c r="G2337" s="10" t="str">
        <f t="shared" si="98"/>
        <v>ON1</v>
      </c>
      <c r="H2337" s="10" t="s">
        <v>21</v>
      </c>
      <c r="I2337" s="10" t="s">
        <v>569</v>
      </c>
      <c r="J2337" s="10" t="str">
        <f>""</f>
        <v/>
      </c>
      <c r="K2337" s="10" t="str">
        <f>"PFES1162563445_0001"</f>
        <v>PFES1162563445_0001</v>
      </c>
      <c r="L2337" s="10">
        <v>1</v>
      </c>
      <c r="M2337" s="10">
        <v>1</v>
      </c>
    </row>
    <row r="2338" spans="1:13">
      <c r="A2338" s="8">
        <v>42935</v>
      </c>
      <c r="B2338" s="9">
        <v>0.42291666666666666</v>
      </c>
      <c r="C2338" s="10" t="str">
        <f>"FES1162563441"</f>
        <v>FES1162563441</v>
      </c>
      <c r="D2338" s="10" t="s">
        <v>19</v>
      </c>
      <c r="E2338" s="10" t="s">
        <v>272</v>
      </c>
      <c r="F2338" s="10" t="str">
        <f>"2170578907 "</f>
        <v xml:space="preserve">2170578907 </v>
      </c>
      <c r="G2338" s="10" t="str">
        <f t="shared" si="98"/>
        <v>ON1</v>
      </c>
      <c r="H2338" s="10" t="s">
        <v>21</v>
      </c>
      <c r="I2338" s="10" t="s">
        <v>166</v>
      </c>
      <c r="J2338" s="10" t="str">
        <f>""</f>
        <v/>
      </c>
      <c r="K2338" s="10" t="str">
        <f>"PFES1162563441_0001"</f>
        <v>PFES1162563441_0001</v>
      </c>
      <c r="L2338" s="10">
        <v>1</v>
      </c>
      <c r="M2338" s="10">
        <v>1</v>
      </c>
    </row>
    <row r="2339" spans="1:13">
      <c r="A2339" s="8">
        <v>42935</v>
      </c>
      <c r="B2339" s="9">
        <v>0.69791666666666663</v>
      </c>
      <c r="C2339" s="10" t="str">
        <f>"FES1162563580"</f>
        <v>FES1162563580</v>
      </c>
      <c r="D2339" s="10" t="s">
        <v>19</v>
      </c>
      <c r="E2339" s="10" t="s">
        <v>918</v>
      </c>
      <c r="F2339" s="10" t="str">
        <f>"2170580063 "</f>
        <v xml:space="preserve">2170580063 </v>
      </c>
      <c r="G2339" s="10" t="str">
        <f t="shared" si="98"/>
        <v>ON1</v>
      </c>
      <c r="H2339" s="10" t="s">
        <v>21</v>
      </c>
      <c r="I2339" s="10" t="s">
        <v>48</v>
      </c>
      <c r="J2339" s="10" t="str">
        <f>""</f>
        <v/>
      </c>
      <c r="K2339" s="10" t="str">
        <f>"PFES1162563580_0001"</f>
        <v>PFES1162563580_0001</v>
      </c>
      <c r="L2339" s="10">
        <v>1</v>
      </c>
      <c r="M2339" s="10">
        <v>1</v>
      </c>
    </row>
    <row r="2340" spans="1:13">
      <c r="A2340" s="8">
        <v>42935</v>
      </c>
      <c r="B2340" s="9">
        <v>0.69791666666666663</v>
      </c>
      <c r="C2340" s="10" t="str">
        <f>"FES1162563527"</f>
        <v>FES1162563527</v>
      </c>
      <c r="D2340" s="10" t="s">
        <v>19</v>
      </c>
      <c r="E2340" s="10" t="s">
        <v>986</v>
      </c>
      <c r="F2340" s="10" t="str">
        <f>"2170579999 "</f>
        <v xml:space="preserve">2170579999 </v>
      </c>
      <c r="G2340" s="10" t="str">
        <f t="shared" si="98"/>
        <v>ON1</v>
      </c>
      <c r="H2340" s="10" t="s">
        <v>21</v>
      </c>
      <c r="I2340" s="10" t="s">
        <v>88</v>
      </c>
      <c r="J2340" s="10" t="str">
        <f>""</f>
        <v/>
      </c>
      <c r="K2340" s="10" t="str">
        <f>"PFES1162563527_0001"</f>
        <v>PFES1162563527_0001</v>
      </c>
      <c r="L2340" s="10">
        <v>1</v>
      </c>
      <c r="M2340" s="10">
        <v>1</v>
      </c>
    </row>
    <row r="2341" spans="1:13">
      <c r="A2341" s="8">
        <v>42935</v>
      </c>
      <c r="B2341" s="9">
        <v>0.6972222222222223</v>
      </c>
      <c r="C2341" s="10" t="str">
        <f>"FES1162563670"</f>
        <v>FES1162563670</v>
      </c>
      <c r="D2341" s="10" t="s">
        <v>19</v>
      </c>
      <c r="E2341" s="10" t="s">
        <v>184</v>
      </c>
      <c r="F2341" s="10" t="str">
        <f>"2170580198 "</f>
        <v xml:space="preserve">2170580198 </v>
      </c>
      <c r="G2341" s="10" t="str">
        <f t="shared" si="98"/>
        <v>ON1</v>
      </c>
      <c r="H2341" s="10" t="s">
        <v>21</v>
      </c>
      <c r="I2341" s="10" t="s">
        <v>185</v>
      </c>
      <c r="J2341" s="10" t="str">
        <f>""</f>
        <v/>
      </c>
      <c r="K2341" s="10" t="str">
        <f>"PFES1162563670_0001"</f>
        <v>PFES1162563670_0001</v>
      </c>
      <c r="L2341" s="10">
        <v>1</v>
      </c>
      <c r="M2341" s="10">
        <v>1</v>
      </c>
    </row>
    <row r="2342" spans="1:13">
      <c r="A2342" s="8">
        <v>42935</v>
      </c>
      <c r="B2342" s="9">
        <v>0.69652777777777775</v>
      </c>
      <c r="C2342" s="10" t="str">
        <f>"FES1162563666"</f>
        <v>FES1162563666</v>
      </c>
      <c r="D2342" s="10" t="s">
        <v>19</v>
      </c>
      <c r="E2342" s="10" t="s">
        <v>535</v>
      </c>
      <c r="F2342" s="10" t="str">
        <f>"2170580190 "</f>
        <v xml:space="preserve">2170580190 </v>
      </c>
      <c r="G2342" s="10" t="str">
        <f t="shared" si="98"/>
        <v>ON1</v>
      </c>
      <c r="H2342" s="10" t="s">
        <v>21</v>
      </c>
      <c r="I2342" s="10" t="s">
        <v>240</v>
      </c>
      <c r="J2342" s="10" t="str">
        <f>""</f>
        <v/>
      </c>
      <c r="K2342" s="10" t="str">
        <f>"PFES1162563666_0001"</f>
        <v>PFES1162563666_0001</v>
      </c>
      <c r="L2342" s="10">
        <v>1</v>
      </c>
      <c r="M2342" s="10">
        <v>1</v>
      </c>
    </row>
    <row r="2343" spans="1:13">
      <c r="A2343" s="8">
        <v>42935</v>
      </c>
      <c r="B2343" s="9">
        <v>0.69513888888888886</v>
      </c>
      <c r="C2343" s="10" t="str">
        <f>"FES1162563545"</f>
        <v>FES1162563545</v>
      </c>
      <c r="D2343" s="10" t="s">
        <v>19</v>
      </c>
      <c r="E2343" s="10" t="s">
        <v>987</v>
      </c>
      <c r="F2343" s="10" t="str">
        <f>"2170579690 "</f>
        <v xml:space="preserve">2170579690 </v>
      </c>
      <c r="G2343" s="10" t="str">
        <f t="shared" si="98"/>
        <v>ON1</v>
      </c>
      <c r="H2343" s="10" t="s">
        <v>21</v>
      </c>
      <c r="I2343" s="10" t="s">
        <v>800</v>
      </c>
      <c r="J2343" s="10" t="str">
        <f>""</f>
        <v/>
      </c>
      <c r="K2343" s="10" t="str">
        <f>"PFES1162563545_0001"</f>
        <v>PFES1162563545_0001</v>
      </c>
      <c r="L2343" s="10">
        <v>1</v>
      </c>
      <c r="M2343" s="10">
        <v>1</v>
      </c>
    </row>
    <row r="2344" spans="1:13">
      <c r="A2344" s="8">
        <v>42935</v>
      </c>
      <c r="B2344" s="9">
        <v>0.69305555555555554</v>
      </c>
      <c r="C2344" s="10" t="str">
        <f>"FES1162563661"</f>
        <v>FES1162563661</v>
      </c>
      <c r="D2344" s="10" t="s">
        <v>19</v>
      </c>
      <c r="E2344" s="10" t="s">
        <v>988</v>
      </c>
      <c r="F2344" s="10" t="str">
        <f>"2170579632 "</f>
        <v xml:space="preserve">2170579632 </v>
      </c>
      <c r="G2344" s="10" t="str">
        <f t="shared" si="98"/>
        <v>ON1</v>
      </c>
      <c r="H2344" s="10" t="s">
        <v>21</v>
      </c>
      <c r="I2344" s="10" t="s">
        <v>500</v>
      </c>
      <c r="J2344" s="10" t="str">
        <f>""</f>
        <v/>
      </c>
      <c r="K2344" s="10" t="str">
        <f>"PFES1162563661_0001"</f>
        <v>PFES1162563661_0001</v>
      </c>
      <c r="L2344" s="10">
        <v>1</v>
      </c>
      <c r="M2344" s="10">
        <v>1</v>
      </c>
    </row>
    <row r="2345" spans="1:13">
      <c r="A2345" s="8">
        <v>42935</v>
      </c>
      <c r="B2345" s="9">
        <v>0.69166666666666676</v>
      </c>
      <c r="C2345" s="10" t="str">
        <f>"FES1162563576"</f>
        <v>FES1162563576</v>
      </c>
      <c r="D2345" s="10" t="s">
        <v>19</v>
      </c>
      <c r="E2345" s="10" t="s">
        <v>63</v>
      </c>
      <c r="F2345" s="10" t="str">
        <f>"2170580054 "</f>
        <v xml:space="preserve">2170580054 </v>
      </c>
      <c r="G2345" s="10" t="str">
        <f t="shared" si="98"/>
        <v>ON1</v>
      </c>
      <c r="H2345" s="10" t="s">
        <v>21</v>
      </c>
      <c r="I2345" s="10" t="s">
        <v>64</v>
      </c>
      <c r="J2345" s="10" t="str">
        <f>""</f>
        <v/>
      </c>
      <c r="K2345" s="10" t="str">
        <f>"PFES1162563576_0001"</f>
        <v>PFES1162563576_0001</v>
      </c>
      <c r="L2345" s="10">
        <v>1</v>
      </c>
      <c r="M2345" s="10">
        <v>1</v>
      </c>
    </row>
    <row r="2346" spans="1:13">
      <c r="A2346" s="8">
        <v>42935</v>
      </c>
      <c r="B2346" s="9">
        <v>0.69097222222222221</v>
      </c>
      <c r="C2346" s="10" t="str">
        <f>"FES1162563665"</f>
        <v>FES1162563665</v>
      </c>
      <c r="D2346" s="10" t="s">
        <v>19</v>
      </c>
      <c r="E2346" s="10" t="s">
        <v>184</v>
      </c>
      <c r="F2346" s="10" t="str">
        <f>"2170580189 "</f>
        <v xml:space="preserve">2170580189 </v>
      </c>
      <c r="G2346" s="10" t="str">
        <f t="shared" si="98"/>
        <v>ON1</v>
      </c>
      <c r="H2346" s="10" t="s">
        <v>21</v>
      </c>
      <c r="I2346" s="10" t="s">
        <v>185</v>
      </c>
      <c r="J2346" s="10" t="str">
        <f>""</f>
        <v/>
      </c>
      <c r="K2346" s="10" t="str">
        <f>"PFES1162563665_0001"</f>
        <v>PFES1162563665_0001</v>
      </c>
      <c r="L2346" s="10">
        <v>1</v>
      </c>
      <c r="M2346" s="10">
        <v>1</v>
      </c>
    </row>
    <row r="2347" spans="1:13">
      <c r="A2347" s="8">
        <v>42935</v>
      </c>
      <c r="B2347" s="9">
        <v>0.69097222222222221</v>
      </c>
      <c r="C2347" s="10" t="str">
        <f>"FES1162563463"</f>
        <v>FES1162563463</v>
      </c>
      <c r="D2347" s="10" t="s">
        <v>362</v>
      </c>
      <c r="E2347" s="10" t="s">
        <v>376</v>
      </c>
      <c r="F2347" s="10" t="str">
        <f>"2170579769 "</f>
        <v xml:space="preserve">2170579769 </v>
      </c>
      <c r="G2347" s="10" t="str">
        <f t="shared" si="98"/>
        <v>ON1</v>
      </c>
      <c r="H2347" s="10" t="s">
        <v>21</v>
      </c>
      <c r="I2347" s="10" t="s">
        <v>377</v>
      </c>
      <c r="J2347" s="10" t="str">
        <f>""</f>
        <v/>
      </c>
      <c r="K2347" s="10" t="str">
        <f>"PFES1162563463_0001"</f>
        <v>PFES1162563463_0001</v>
      </c>
      <c r="L2347" s="10">
        <v>1</v>
      </c>
      <c r="M2347" s="10">
        <v>1</v>
      </c>
    </row>
    <row r="2348" spans="1:13">
      <c r="A2348" s="8">
        <v>42935</v>
      </c>
      <c r="B2348" s="9">
        <v>0.69027777777777777</v>
      </c>
      <c r="C2348" s="10" t="str">
        <f>"FES1162563599"</f>
        <v>FES1162563599</v>
      </c>
      <c r="D2348" s="10" t="s">
        <v>362</v>
      </c>
      <c r="E2348" s="10" t="s">
        <v>376</v>
      </c>
      <c r="F2348" s="10" t="str">
        <f>"21705780089 "</f>
        <v xml:space="preserve">21705780089 </v>
      </c>
      <c r="G2348" s="10" t="str">
        <f t="shared" si="98"/>
        <v>ON1</v>
      </c>
      <c r="H2348" s="10" t="s">
        <v>21</v>
      </c>
      <c r="I2348" s="10" t="s">
        <v>377</v>
      </c>
      <c r="J2348" s="10" t="str">
        <f>""</f>
        <v/>
      </c>
      <c r="K2348" s="10" t="str">
        <f>"PFES1162563599_0001"</f>
        <v>PFES1162563599_0001</v>
      </c>
      <c r="L2348" s="10">
        <v>1</v>
      </c>
      <c r="M2348" s="10">
        <v>2</v>
      </c>
    </row>
    <row r="2349" spans="1:13">
      <c r="A2349" s="8">
        <v>42935</v>
      </c>
      <c r="B2349" s="9">
        <v>0.69027777777777777</v>
      </c>
      <c r="C2349" s="10" t="str">
        <f>"FES1162563598"</f>
        <v>FES1162563598</v>
      </c>
      <c r="D2349" s="10" t="s">
        <v>362</v>
      </c>
      <c r="E2349" s="10" t="s">
        <v>376</v>
      </c>
      <c r="F2349" s="10" t="str">
        <f>"21705780086 "</f>
        <v xml:space="preserve">21705780086 </v>
      </c>
      <c r="G2349" s="10" t="str">
        <f t="shared" si="98"/>
        <v>ON1</v>
      </c>
      <c r="H2349" s="10" t="s">
        <v>21</v>
      </c>
      <c r="I2349" s="10" t="s">
        <v>377</v>
      </c>
      <c r="J2349" s="10" t="str">
        <f>""</f>
        <v/>
      </c>
      <c r="K2349" s="10" t="str">
        <f>"PFES1162563598_0001"</f>
        <v>PFES1162563598_0001</v>
      </c>
      <c r="L2349" s="10">
        <v>1</v>
      </c>
      <c r="M2349" s="10">
        <v>3</v>
      </c>
    </row>
    <row r="2350" spans="1:13">
      <c r="A2350" s="8">
        <v>42935</v>
      </c>
      <c r="B2350" s="9">
        <v>0.68958333333333333</v>
      </c>
      <c r="C2350" s="10" t="str">
        <f>"FES1162563649"</f>
        <v>FES1162563649</v>
      </c>
      <c r="D2350" s="10" t="s">
        <v>362</v>
      </c>
      <c r="E2350" s="10" t="s">
        <v>989</v>
      </c>
      <c r="F2350" s="10" t="str">
        <f>"21705780170 "</f>
        <v xml:space="preserve">21705780170 </v>
      </c>
      <c r="G2350" s="10" t="str">
        <f t="shared" si="98"/>
        <v>ON1</v>
      </c>
      <c r="H2350" s="10" t="s">
        <v>21</v>
      </c>
      <c r="I2350" s="10" t="s">
        <v>990</v>
      </c>
      <c r="J2350" s="10" t="str">
        <f>""</f>
        <v/>
      </c>
      <c r="K2350" s="10" t="str">
        <f>"PFES1162563649_0001"</f>
        <v>PFES1162563649_0001</v>
      </c>
      <c r="L2350" s="10">
        <v>1</v>
      </c>
      <c r="M2350" s="10">
        <v>2</v>
      </c>
    </row>
    <row r="2351" spans="1:13">
      <c r="A2351" s="8">
        <v>42935</v>
      </c>
      <c r="B2351" s="9">
        <v>0.68888888888888899</v>
      </c>
      <c r="C2351" s="10" t="str">
        <f>"FES1162563634"</f>
        <v>FES1162563634</v>
      </c>
      <c r="D2351" s="10" t="s">
        <v>19</v>
      </c>
      <c r="E2351" s="10" t="s">
        <v>498</v>
      </c>
      <c r="F2351" s="10" t="str">
        <f>"2170580147 "</f>
        <v xml:space="preserve">2170580147 </v>
      </c>
      <c r="G2351" s="10" t="str">
        <f t="shared" si="98"/>
        <v>ON1</v>
      </c>
      <c r="H2351" s="10" t="s">
        <v>21</v>
      </c>
      <c r="I2351" s="10" t="s">
        <v>84</v>
      </c>
      <c r="J2351" s="10" t="str">
        <f>""</f>
        <v/>
      </c>
      <c r="K2351" s="10" t="str">
        <f>"PFES1162563634_0001"</f>
        <v>PFES1162563634_0001</v>
      </c>
      <c r="L2351" s="10">
        <v>1</v>
      </c>
      <c r="M2351" s="10">
        <v>1</v>
      </c>
    </row>
    <row r="2352" spans="1:13">
      <c r="A2352" s="8">
        <v>42935</v>
      </c>
      <c r="B2352" s="9">
        <v>0.68888888888888899</v>
      </c>
      <c r="C2352" s="10" t="str">
        <f>"FES1162563667"</f>
        <v>FES1162563667</v>
      </c>
      <c r="D2352" s="10" t="s">
        <v>362</v>
      </c>
      <c r="E2352" s="10" t="s">
        <v>89</v>
      </c>
      <c r="F2352" s="10" t="str">
        <f>"21705780191 "</f>
        <v xml:space="preserve">21705780191 </v>
      </c>
      <c r="G2352" s="10" t="str">
        <f t="shared" si="98"/>
        <v>ON1</v>
      </c>
      <c r="H2352" s="10" t="s">
        <v>21</v>
      </c>
      <c r="I2352" s="10" t="s">
        <v>66</v>
      </c>
      <c r="J2352" s="10" t="str">
        <f>""</f>
        <v/>
      </c>
      <c r="K2352" s="10" t="str">
        <f>"PFES1162563667_0001"</f>
        <v>PFES1162563667_0001</v>
      </c>
      <c r="L2352" s="10">
        <v>1</v>
      </c>
      <c r="M2352" s="10">
        <v>1</v>
      </c>
    </row>
    <row r="2353" spans="1:13">
      <c r="A2353" s="8">
        <v>42935</v>
      </c>
      <c r="B2353" s="9">
        <v>0.68819444444444444</v>
      </c>
      <c r="C2353" s="10" t="str">
        <f>"FES1162563633"</f>
        <v>FES1162563633</v>
      </c>
      <c r="D2353" s="10" t="s">
        <v>362</v>
      </c>
      <c r="E2353" s="10" t="s">
        <v>45</v>
      </c>
      <c r="F2353" s="10" t="str">
        <f>"21705780146 "</f>
        <v xml:space="preserve">21705780146 </v>
      </c>
      <c r="G2353" s="10" t="str">
        <f t="shared" si="98"/>
        <v>ON1</v>
      </c>
      <c r="H2353" s="10" t="s">
        <v>21</v>
      </c>
      <c r="I2353" s="10" t="s">
        <v>46</v>
      </c>
      <c r="J2353" s="10" t="str">
        <f>""</f>
        <v/>
      </c>
      <c r="K2353" s="10" t="str">
        <f>"PFES1162563633_0001"</f>
        <v>PFES1162563633_0001</v>
      </c>
      <c r="L2353" s="10">
        <v>1</v>
      </c>
      <c r="M2353" s="10">
        <v>1</v>
      </c>
    </row>
    <row r="2354" spans="1:13">
      <c r="A2354" s="8">
        <v>42935</v>
      </c>
      <c r="B2354" s="9">
        <v>0.68819444444444444</v>
      </c>
      <c r="C2354" s="10" t="str">
        <f>"FES1162563654"</f>
        <v>FES1162563654</v>
      </c>
      <c r="D2354" s="10" t="s">
        <v>362</v>
      </c>
      <c r="E2354" s="10" t="s">
        <v>986</v>
      </c>
      <c r="F2354" s="10" t="str">
        <f>"21705799999 "</f>
        <v xml:space="preserve">21705799999 </v>
      </c>
      <c r="G2354" s="10" t="str">
        <f t="shared" si="98"/>
        <v>ON1</v>
      </c>
      <c r="H2354" s="10" t="s">
        <v>21</v>
      </c>
      <c r="I2354" s="10" t="s">
        <v>88</v>
      </c>
      <c r="J2354" s="10" t="str">
        <f>""</f>
        <v/>
      </c>
      <c r="K2354" s="10" t="str">
        <f>"PFES1162563654_0001"</f>
        <v>PFES1162563654_0001</v>
      </c>
      <c r="L2354" s="10">
        <v>1</v>
      </c>
      <c r="M2354" s="10">
        <v>1.78</v>
      </c>
    </row>
    <row r="2355" spans="1:13">
      <c r="A2355" s="8">
        <v>42935</v>
      </c>
      <c r="B2355" s="9">
        <v>0.6875</v>
      </c>
      <c r="C2355" s="10" t="str">
        <f>"FES1162563621"</f>
        <v>FES1162563621</v>
      </c>
      <c r="D2355" s="10" t="s">
        <v>362</v>
      </c>
      <c r="E2355" s="10" t="s">
        <v>991</v>
      </c>
      <c r="F2355" s="10" t="str">
        <f>"21705780128 "</f>
        <v xml:space="preserve">21705780128 </v>
      </c>
      <c r="G2355" s="10" t="str">
        <f t="shared" si="98"/>
        <v>ON1</v>
      </c>
      <c r="H2355" s="10" t="s">
        <v>21</v>
      </c>
      <c r="I2355" s="10" t="s">
        <v>628</v>
      </c>
      <c r="J2355" s="10" t="str">
        <f>""</f>
        <v/>
      </c>
      <c r="K2355" s="10" t="str">
        <f>"PFES1162563621_0001"</f>
        <v>PFES1162563621_0001</v>
      </c>
      <c r="L2355" s="10">
        <v>1</v>
      </c>
      <c r="M2355" s="10">
        <v>1</v>
      </c>
    </row>
    <row r="2356" spans="1:13">
      <c r="A2356" s="8">
        <v>42935</v>
      </c>
      <c r="B2356" s="9">
        <v>0.68680555555555556</v>
      </c>
      <c r="C2356" s="10" t="str">
        <f>"FES1162562938"</f>
        <v>FES1162562938</v>
      </c>
      <c r="D2356" s="10" t="s">
        <v>362</v>
      </c>
      <c r="E2356" s="10" t="s">
        <v>33</v>
      </c>
      <c r="F2356" s="10" t="str">
        <f>"217056298 "</f>
        <v xml:space="preserve">217056298 </v>
      </c>
      <c r="G2356" s="10" t="str">
        <f t="shared" si="98"/>
        <v>ON1</v>
      </c>
      <c r="H2356" s="10" t="s">
        <v>21</v>
      </c>
      <c r="I2356" s="10" t="s">
        <v>34</v>
      </c>
      <c r="J2356" s="10" t="str">
        <f>""</f>
        <v/>
      </c>
      <c r="K2356" s="10" t="str">
        <f>"PFES1162562938_0001"</f>
        <v>PFES1162562938_0001</v>
      </c>
      <c r="L2356" s="10">
        <v>1</v>
      </c>
      <c r="M2356" s="10">
        <v>1</v>
      </c>
    </row>
    <row r="2357" spans="1:13">
      <c r="A2357" s="8">
        <v>42935</v>
      </c>
      <c r="B2357" s="9">
        <v>0.68680555555555556</v>
      </c>
      <c r="C2357" s="10" t="str">
        <f>"FES1162563492"</f>
        <v>FES1162563492</v>
      </c>
      <c r="D2357" s="10" t="s">
        <v>19</v>
      </c>
      <c r="E2357" s="10" t="s">
        <v>992</v>
      </c>
      <c r="F2357" s="10" t="str">
        <f>"2170579852 "</f>
        <v xml:space="preserve">2170579852 </v>
      </c>
      <c r="G2357" s="10" t="str">
        <f t="shared" si="98"/>
        <v>ON1</v>
      </c>
      <c r="H2357" s="10" t="s">
        <v>21</v>
      </c>
      <c r="I2357" s="10" t="s">
        <v>775</v>
      </c>
      <c r="J2357" s="10" t="str">
        <f>""</f>
        <v/>
      </c>
      <c r="K2357" s="10" t="str">
        <f>"PFES1162563492_0001"</f>
        <v>PFES1162563492_0001</v>
      </c>
      <c r="L2357" s="10">
        <v>1</v>
      </c>
      <c r="M2357" s="10">
        <v>4</v>
      </c>
    </row>
    <row r="2358" spans="1:13">
      <c r="A2358" s="8">
        <v>42935</v>
      </c>
      <c r="B2358" s="9">
        <v>0.68680555555555556</v>
      </c>
      <c r="C2358" s="10" t="str">
        <f>"FES1162563596"</f>
        <v>FES1162563596</v>
      </c>
      <c r="D2358" s="10" t="s">
        <v>362</v>
      </c>
      <c r="E2358" s="10" t="s">
        <v>993</v>
      </c>
      <c r="F2358" s="10" t="str">
        <f>"21705798081 "</f>
        <v xml:space="preserve">21705798081 </v>
      </c>
      <c r="G2358" s="10" t="str">
        <f t="shared" si="98"/>
        <v>ON1</v>
      </c>
      <c r="H2358" s="10" t="s">
        <v>21</v>
      </c>
      <c r="I2358" s="10" t="s">
        <v>28</v>
      </c>
      <c r="J2358" s="10" t="str">
        <f>""</f>
        <v/>
      </c>
      <c r="K2358" s="10" t="str">
        <f>"PFES1162563596_0001"</f>
        <v>PFES1162563596_0001</v>
      </c>
      <c r="L2358" s="10">
        <v>1</v>
      </c>
      <c r="M2358" s="10">
        <v>1</v>
      </c>
    </row>
    <row r="2359" spans="1:13">
      <c r="A2359" s="8">
        <v>42935</v>
      </c>
      <c r="B2359" s="9">
        <v>0.68611111111111101</v>
      </c>
      <c r="C2359" s="10" t="str">
        <f>"FES1162562088"</f>
        <v>FES1162562088</v>
      </c>
      <c r="D2359" s="10" t="s">
        <v>19</v>
      </c>
      <c r="E2359" s="10" t="s">
        <v>118</v>
      </c>
      <c r="F2359" s="10" t="str">
        <f>"2170575978 "</f>
        <v xml:space="preserve">2170575978 </v>
      </c>
      <c r="G2359" s="10" t="str">
        <f t="shared" si="98"/>
        <v>ON1</v>
      </c>
      <c r="H2359" s="10" t="s">
        <v>21</v>
      </c>
      <c r="I2359" s="10" t="s">
        <v>119</v>
      </c>
      <c r="J2359" s="10" t="str">
        <f>""</f>
        <v/>
      </c>
      <c r="K2359" s="10" t="str">
        <f>"PFES1162562088_0001"</f>
        <v>PFES1162562088_0001</v>
      </c>
      <c r="L2359" s="10">
        <v>1</v>
      </c>
      <c r="M2359" s="10">
        <v>4</v>
      </c>
    </row>
    <row r="2360" spans="1:13">
      <c r="A2360" s="8">
        <v>42935</v>
      </c>
      <c r="B2360" s="9">
        <v>0.68541666666666667</v>
      </c>
      <c r="C2360" s="10" t="str">
        <f>"FES1162563610"</f>
        <v>FES1162563610</v>
      </c>
      <c r="D2360" s="10" t="s">
        <v>362</v>
      </c>
      <c r="E2360" s="10" t="s">
        <v>994</v>
      </c>
      <c r="F2360" s="10" t="str">
        <f>"21705780113 "</f>
        <v xml:space="preserve">21705780113 </v>
      </c>
      <c r="G2360" s="10" t="str">
        <f t="shared" si="98"/>
        <v>ON1</v>
      </c>
      <c r="H2360" s="10" t="s">
        <v>21</v>
      </c>
      <c r="I2360" s="10" t="s">
        <v>24</v>
      </c>
      <c r="J2360" s="10" t="str">
        <f>""</f>
        <v/>
      </c>
      <c r="K2360" s="10" t="str">
        <f>"PFES1162563610_0001"</f>
        <v>PFES1162563610_0001</v>
      </c>
      <c r="L2360" s="10">
        <v>1</v>
      </c>
      <c r="M2360" s="10">
        <v>1</v>
      </c>
    </row>
    <row r="2361" spans="1:13">
      <c r="A2361" s="8">
        <v>42935</v>
      </c>
      <c r="B2361" s="9">
        <v>0.68541666666666667</v>
      </c>
      <c r="C2361" s="10" t="str">
        <f>"FES1162563655"</f>
        <v>FES1162563655</v>
      </c>
      <c r="D2361" s="10" t="s">
        <v>362</v>
      </c>
      <c r="E2361" s="10" t="s">
        <v>45</v>
      </c>
      <c r="F2361" s="10" t="str">
        <f>"21705780159 "</f>
        <v xml:space="preserve">21705780159 </v>
      </c>
      <c r="G2361" s="10" t="str">
        <f t="shared" si="98"/>
        <v>ON1</v>
      </c>
      <c r="H2361" s="10" t="s">
        <v>21</v>
      </c>
      <c r="I2361" s="10" t="s">
        <v>46</v>
      </c>
      <c r="J2361" s="10" t="str">
        <f>""</f>
        <v/>
      </c>
      <c r="K2361" s="10" t="str">
        <f>"PFES1162563655_0001"</f>
        <v>PFES1162563655_0001</v>
      </c>
      <c r="L2361" s="10">
        <v>1</v>
      </c>
      <c r="M2361" s="10">
        <v>1</v>
      </c>
    </row>
    <row r="2362" spans="1:13">
      <c r="A2362" s="8">
        <v>42935</v>
      </c>
      <c r="B2362" s="9">
        <v>0.68472222222222223</v>
      </c>
      <c r="C2362" s="10" t="str">
        <f>"FES1162563659"</f>
        <v>FES1162563659</v>
      </c>
      <c r="D2362" s="10" t="s">
        <v>19</v>
      </c>
      <c r="E2362" s="10" t="s">
        <v>118</v>
      </c>
      <c r="F2362" s="10" t="str">
        <f>"2170575978 "</f>
        <v xml:space="preserve">2170575978 </v>
      </c>
      <c r="G2362" s="10" t="str">
        <f t="shared" si="98"/>
        <v>ON1</v>
      </c>
      <c r="H2362" s="10" t="s">
        <v>21</v>
      </c>
      <c r="I2362" s="10" t="s">
        <v>119</v>
      </c>
      <c r="J2362" s="10" t="str">
        <f>""</f>
        <v/>
      </c>
      <c r="K2362" s="10" t="str">
        <f>"PFES1162563659_0001"</f>
        <v>PFES1162563659_0001</v>
      </c>
      <c r="L2362" s="10">
        <v>1</v>
      </c>
      <c r="M2362" s="10">
        <v>6</v>
      </c>
    </row>
    <row r="2363" spans="1:13">
      <c r="A2363" s="8">
        <v>42935</v>
      </c>
      <c r="B2363" s="9">
        <v>0.68472222222222223</v>
      </c>
      <c r="C2363" s="10" t="str">
        <f>"FES1162563587"</f>
        <v>FES1162563587</v>
      </c>
      <c r="D2363" s="10" t="s">
        <v>362</v>
      </c>
      <c r="E2363" s="10" t="s">
        <v>99</v>
      </c>
      <c r="F2363" s="10" t="str">
        <f>"21705780068 "</f>
        <v xml:space="preserve">21705780068 </v>
      </c>
      <c r="G2363" s="10" t="str">
        <f t="shared" si="98"/>
        <v>ON1</v>
      </c>
      <c r="H2363" s="10" t="s">
        <v>21</v>
      </c>
      <c r="I2363" s="10" t="s">
        <v>100</v>
      </c>
      <c r="J2363" s="10" t="str">
        <f>""</f>
        <v/>
      </c>
      <c r="K2363" s="10" t="str">
        <f>"PFES1162563587_0001"</f>
        <v>PFES1162563587_0001</v>
      </c>
      <c r="L2363" s="10">
        <v>1</v>
      </c>
      <c r="M2363" s="10">
        <v>3</v>
      </c>
    </row>
    <row r="2364" spans="1:13">
      <c r="A2364" s="8">
        <v>42935</v>
      </c>
      <c r="B2364" s="9">
        <v>0.68402777777777779</v>
      </c>
      <c r="C2364" s="10" t="str">
        <f>"FES1162563669"</f>
        <v>FES1162563669</v>
      </c>
      <c r="D2364" s="10" t="s">
        <v>19</v>
      </c>
      <c r="E2364" s="10" t="s">
        <v>62</v>
      </c>
      <c r="F2364" s="10" t="str">
        <f>"2170580197 "</f>
        <v xml:space="preserve">2170580197 </v>
      </c>
      <c r="G2364" s="10" t="str">
        <f t="shared" si="98"/>
        <v>ON1</v>
      </c>
      <c r="H2364" s="10" t="s">
        <v>21</v>
      </c>
      <c r="I2364" s="10" t="s">
        <v>40</v>
      </c>
      <c r="J2364" s="10" t="str">
        <f>""</f>
        <v/>
      </c>
      <c r="K2364" s="10" t="str">
        <f>"PFES1162563669_0001"</f>
        <v>PFES1162563669_0001</v>
      </c>
      <c r="L2364" s="10">
        <v>1</v>
      </c>
      <c r="M2364" s="10">
        <v>4</v>
      </c>
    </row>
    <row r="2365" spans="1:13">
      <c r="A2365" s="8">
        <v>42935</v>
      </c>
      <c r="B2365" s="9">
        <v>0.68402777777777779</v>
      </c>
      <c r="C2365" s="10" t="str">
        <f>"FES1162563624"</f>
        <v>FES1162563624</v>
      </c>
      <c r="D2365" s="10" t="s">
        <v>362</v>
      </c>
      <c r="E2365" s="10" t="s">
        <v>991</v>
      </c>
      <c r="F2365" s="10" t="str">
        <f>"21705780135 "</f>
        <v xml:space="preserve">21705780135 </v>
      </c>
      <c r="G2365" s="10" t="str">
        <f t="shared" si="98"/>
        <v>ON1</v>
      </c>
      <c r="H2365" s="10" t="s">
        <v>21</v>
      </c>
      <c r="I2365" s="10" t="s">
        <v>628</v>
      </c>
      <c r="J2365" s="10" t="str">
        <f>""</f>
        <v/>
      </c>
      <c r="K2365" s="10" t="str">
        <f>"PFES1162563624_0001"</f>
        <v>PFES1162563624_0001</v>
      </c>
      <c r="L2365" s="10">
        <v>1</v>
      </c>
      <c r="M2365" s="10">
        <v>2</v>
      </c>
    </row>
    <row r="2366" spans="1:13">
      <c r="A2366" s="8">
        <v>42935</v>
      </c>
      <c r="B2366" s="9">
        <v>0.68333333333333324</v>
      </c>
      <c r="C2366" s="10" t="str">
        <f>"FES1162563672"</f>
        <v>FES1162563672</v>
      </c>
      <c r="D2366" s="10" t="s">
        <v>362</v>
      </c>
      <c r="E2366" s="10" t="s">
        <v>735</v>
      </c>
      <c r="F2366" s="10" t="str">
        <f>"21705780200 "</f>
        <v xml:space="preserve">21705780200 </v>
      </c>
      <c r="G2366" s="10" t="str">
        <f t="shared" si="98"/>
        <v>ON1</v>
      </c>
      <c r="H2366" s="10" t="s">
        <v>21</v>
      </c>
      <c r="I2366" s="10" t="s">
        <v>54</v>
      </c>
      <c r="J2366" s="10" t="str">
        <f>""</f>
        <v/>
      </c>
      <c r="K2366" s="10" t="str">
        <f>"PFES1162563672_0001"</f>
        <v>PFES1162563672_0001</v>
      </c>
      <c r="L2366" s="10">
        <v>1</v>
      </c>
      <c r="M2366" s="10">
        <v>1</v>
      </c>
    </row>
    <row r="2367" spans="1:13">
      <c r="A2367" s="8">
        <v>42935</v>
      </c>
      <c r="B2367" s="9">
        <v>0.68333333333333324</v>
      </c>
      <c r="C2367" s="10" t="str">
        <f>"FES1162563653"</f>
        <v>FES1162563653</v>
      </c>
      <c r="D2367" s="10" t="s">
        <v>19</v>
      </c>
      <c r="E2367" s="10" t="s">
        <v>158</v>
      </c>
      <c r="F2367" s="10" t="str">
        <f>"2170579927 "</f>
        <v xml:space="preserve">2170579927 </v>
      </c>
      <c r="G2367" s="10" t="str">
        <f t="shared" si="98"/>
        <v>ON1</v>
      </c>
      <c r="H2367" s="10" t="s">
        <v>21</v>
      </c>
      <c r="I2367" s="10" t="s">
        <v>159</v>
      </c>
      <c r="J2367" s="10" t="str">
        <f>""</f>
        <v/>
      </c>
      <c r="K2367" s="10" t="str">
        <f>"PFES1162563653_0001"</f>
        <v>PFES1162563653_0001</v>
      </c>
      <c r="L2367" s="10">
        <v>1</v>
      </c>
      <c r="M2367" s="10">
        <v>1</v>
      </c>
    </row>
    <row r="2368" spans="1:13">
      <c r="A2368" s="8">
        <v>42935</v>
      </c>
      <c r="B2368" s="9">
        <v>0.68333333333333324</v>
      </c>
      <c r="C2368" s="10" t="str">
        <f>"FES1162563673"</f>
        <v>FES1162563673</v>
      </c>
      <c r="D2368" s="10" t="s">
        <v>362</v>
      </c>
      <c r="E2368" s="10" t="s">
        <v>995</v>
      </c>
      <c r="F2368" s="10" t="str">
        <f>"2170580202 "</f>
        <v xml:space="preserve">2170580202 </v>
      </c>
      <c r="G2368" s="10" t="str">
        <f t="shared" si="98"/>
        <v>ON1</v>
      </c>
      <c r="H2368" s="10" t="s">
        <v>21</v>
      </c>
      <c r="I2368" s="10" t="s">
        <v>364</v>
      </c>
      <c r="J2368" s="10" t="str">
        <f>""</f>
        <v/>
      </c>
      <c r="K2368" s="10" t="str">
        <f>"PFES1162563673_0001"</f>
        <v>PFES1162563673_0001</v>
      </c>
      <c r="L2368" s="10">
        <v>1</v>
      </c>
      <c r="M2368" s="10">
        <v>1</v>
      </c>
    </row>
    <row r="2369" spans="1:13">
      <c r="A2369" s="8">
        <v>42935</v>
      </c>
      <c r="B2369" s="9">
        <v>0.68263888888888891</v>
      </c>
      <c r="C2369" s="10" t="str">
        <f>"FES1162563641"</f>
        <v>FES1162563641</v>
      </c>
      <c r="D2369" s="10" t="s">
        <v>362</v>
      </c>
      <c r="E2369" s="10" t="s">
        <v>323</v>
      </c>
      <c r="F2369" s="10" t="str">
        <f>"21705780140 "</f>
        <v xml:space="preserve">21705780140 </v>
      </c>
      <c r="G2369" s="10" t="str">
        <f t="shared" si="98"/>
        <v>ON1</v>
      </c>
      <c r="H2369" s="10" t="s">
        <v>21</v>
      </c>
      <c r="I2369" s="10" t="s">
        <v>75</v>
      </c>
      <c r="J2369" s="10" t="str">
        <f>""</f>
        <v/>
      </c>
      <c r="K2369" s="10" t="str">
        <f>"PFES1162563641_0001"</f>
        <v>PFES1162563641_0001</v>
      </c>
      <c r="L2369" s="10">
        <v>1</v>
      </c>
      <c r="M2369" s="10">
        <v>1</v>
      </c>
    </row>
    <row r="2370" spans="1:13">
      <c r="A2370" s="8">
        <v>42935</v>
      </c>
      <c r="B2370" s="9">
        <v>0.68263888888888891</v>
      </c>
      <c r="C2370" s="10" t="str">
        <f>"FES1162563600"</f>
        <v>FES1162563600</v>
      </c>
      <c r="D2370" s="10" t="s">
        <v>362</v>
      </c>
      <c r="E2370" s="10" t="s">
        <v>376</v>
      </c>
      <c r="F2370" s="10" t="str">
        <f>"217057800090 "</f>
        <v xml:space="preserve">217057800090 </v>
      </c>
      <c r="G2370" s="10" t="str">
        <f t="shared" si="98"/>
        <v>ON1</v>
      </c>
      <c r="H2370" s="10" t="s">
        <v>21</v>
      </c>
      <c r="I2370" s="10" t="s">
        <v>377</v>
      </c>
      <c r="J2370" s="10" t="str">
        <f>""</f>
        <v/>
      </c>
      <c r="K2370" s="10" t="str">
        <f>"PFES1162563600_0001"</f>
        <v>PFES1162563600_0001</v>
      </c>
      <c r="L2370" s="10">
        <v>1</v>
      </c>
      <c r="M2370" s="10">
        <v>1</v>
      </c>
    </row>
    <row r="2371" spans="1:13">
      <c r="A2371" s="8">
        <v>42935</v>
      </c>
      <c r="B2371" s="9">
        <v>0.68194444444444446</v>
      </c>
      <c r="C2371" s="10" t="str">
        <f>"FES1162563601"</f>
        <v>FES1162563601</v>
      </c>
      <c r="D2371" s="10" t="s">
        <v>362</v>
      </c>
      <c r="E2371" s="10" t="s">
        <v>376</v>
      </c>
      <c r="F2371" s="10" t="str">
        <f>"21705780094 "</f>
        <v xml:space="preserve">21705780094 </v>
      </c>
      <c r="G2371" s="10" t="str">
        <f t="shared" si="98"/>
        <v>ON1</v>
      </c>
      <c r="H2371" s="10" t="s">
        <v>21</v>
      </c>
      <c r="I2371" s="10" t="s">
        <v>377</v>
      </c>
      <c r="J2371" s="10" t="str">
        <f>""</f>
        <v/>
      </c>
      <c r="K2371" s="10" t="str">
        <f>"PFES1162563601_0001"</f>
        <v>PFES1162563601_0001</v>
      </c>
      <c r="L2371" s="10">
        <v>1</v>
      </c>
      <c r="M2371" s="10">
        <v>1</v>
      </c>
    </row>
    <row r="2372" spans="1:13">
      <c r="A2372" s="8">
        <v>42935</v>
      </c>
      <c r="B2372" s="9">
        <v>0.68194444444444446</v>
      </c>
      <c r="C2372" s="10" t="str">
        <f>"FES1162563368"</f>
        <v>FES1162563368</v>
      </c>
      <c r="D2372" s="10" t="s">
        <v>19</v>
      </c>
      <c r="E2372" s="10" t="s">
        <v>488</v>
      </c>
      <c r="F2372" s="10" t="str">
        <f>"2170579728 "</f>
        <v xml:space="preserve">2170579728 </v>
      </c>
      <c r="G2372" s="10" t="str">
        <f>"ON2"</f>
        <v>ON2</v>
      </c>
      <c r="H2372" s="10" t="s">
        <v>21</v>
      </c>
      <c r="I2372" s="10" t="s">
        <v>414</v>
      </c>
      <c r="J2372" s="10" t="str">
        <f>""</f>
        <v/>
      </c>
      <c r="K2372" s="10" t="str">
        <f>"PFES1162563368_0001"</f>
        <v>PFES1162563368_0001</v>
      </c>
      <c r="L2372" s="10">
        <v>1</v>
      </c>
      <c r="M2372" s="10">
        <v>6</v>
      </c>
    </row>
    <row r="2373" spans="1:13">
      <c r="A2373" s="8">
        <v>42935</v>
      </c>
      <c r="B2373" s="9">
        <v>0.68194444444444446</v>
      </c>
      <c r="C2373" s="10" t="str">
        <f>"FES1162563593"</f>
        <v>FES1162563593</v>
      </c>
      <c r="D2373" s="10" t="s">
        <v>362</v>
      </c>
      <c r="E2373" s="10" t="s">
        <v>680</v>
      </c>
      <c r="F2373" s="10" t="str">
        <f>"21705780074 "</f>
        <v xml:space="preserve">21705780074 </v>
      </c>
      <c r="G2373" s="10" t="str">
        <f t="shared" ref="G2373:G2421" si="99">"ON1"</f>
        <v>ON1</v>
      </c>
      <c r="H2373" s="10" t="s">
        <v>21</v>
      </c>
      <c r="I2373" s="10" t="s">
        <v>64</v>
      </c>
      <c r="J2373" s="10" t="str">
        <f>""</f>
        <v/>
      </c>
      <c r="K2373" s="10" t="str">
        <f>"PFES1162563593_0001"</f>
        <v>PFES1162563593_0001</v>
      </c>
      <c r="L2373" s="10">
        <v>1</v>
      </c>
      <c r="M2373" s="10">
        <v>1</v>
      </c>
    </row>
    <row r="2374" spans="1:13">
      <c r="A2374" s="8">
        <v>42935</v>
      </c>
      <c r="B2374" s="9">
        <v>0.68125000000000002</v>
      </c>
      <c r="C2374" s="10" t="str">
        <f>"FES1162563405"</f>
        <v>FES1162563405</v>
      </c>
      <c r="D2374" s="10" t="s">
        <v>362</v>
      </c>
      <c r="E2374" s="10" t="s">
        <v>867</v>
      </c>
      <c r="F2374" s="10" t="str">
        <f>"2170577819 "</f>
        <v xml:space="preserve">2170577819 </v>
      </c>
      <c r="G2374" s="10" t="str">
        <f t="shared" si="99"/>
        <v>ON1</v>
      </c>
      <c r="H2374" s="10" t="s">
        <v>21</v>
      </c>
      <c r="I2374" s="10" t="s">
        <v>514</v>
      </c>
      <c r="J2374" s="10" t="str">
        <f>""</f>
        <v/>
      </c>
      <c r="K2374" s="10" t="str">
        <f>"PFES1162563405_0001"</f>
        <v>PFES1162563405_0001</v>
      </c>
      <c r="L2374" s="10">
        <v>1</v>
      </c>
      <c r="M2374" s="10">
        <v>1</v>
      </c>
    </row>
    <row r="2375" spans="1:13">
      <c r="A2375" s="8">
        <v>42935</v>
      </c>
      <c r="B2375" s="9">
        <v>0.6791666666666667</v>
      </c>
      <c r="C2375" s="10" t="str">
        <f>"FES1162563575"</f>
        <v>FES1162563575</v>
      </c>
      <c r="D2375" s="10" t="s">
        <v>19</v>
      </c>
      <c r="E2375" s="10" t="s">
        <v>797</v>
      </c>
      <c r="F2375" s="10" t="str">
        <f>"2170580052 "</f>
        <v xml:space="preserve">2170580052 </v>
      </c>
      <c r="G2375" s="10" t="str">
        <f t="shared" si="99"/>
        <v>ON1</v>
      </c>
      <c r="H2375" s="10" t="s">
        <v>21</v>
      </c>
      <c r="I2375" s="10" t="s">
        <v>798</v>
      </c>
      <c r="J2375" s="10" t="str">
        <f>""</f>
        <v/>
      </c>
      <c r="K2375" s="10" t="str">
        <f>"PFES1162563575_0001"</f>
        <v>PFES1162563575_0001</v>
      </c>
      <c r="L2375" s="10">
        <v>1</v>
      </c>
      <c r="M2375" s="10">
        <v>1</v>
      </c>
    </row>
    <row r="2376" spans="1:13">
      <c r="A2376" s="8">
        <v>42935</v>
      </c>
      <c r="B2376" s="9">
        <v>0.67847222222222225</v>
      </c>
      <c r="C2376" s="10" t="str">
        <f>"FES1162563647"</f>
        <v>FES1162563647</v>
      </c>
      <c r="D2376" s="10" t="s">
        <v>19</v>
      </c>
      <c r="E2376" s="10" t="s">
        <v>39</v>
      </c>
      <c r="F2376" s="10" t="str">
        <f>"2170580168 "</f>
        <v xml:space="preserve">2170580168 </v>
      </c>
      <c r="G2376" s="10" t="str">
        <f t="shared" si="99"/>
        <v>ON1</v>
      </c>
      <c r="H2376" s="10" t="s">
        <v>21</v>
      </c>
      <c r="I2376" s="10" t="s">
        <v>40</v>
      </c>
      <c r="J2376" s="10" t="str">
        <f>""</f>
        <v/>
      </c>
      <c r="K2376" s="10" t="str">
        <f>"PFES1162563647_0001"</f>
        <v>PFES1162563647_0001</v>
      </c>
      <c r="L2376" s="10">
        <v>1</v>
      </c>
      <c r="M2376" s="10">
        <v>1</v>
      </c>
    </row>
    <row r="2377" spans="1:13">
      <c r="A2377" s="8">
        <v>42935</v>
      </c>
      <c r="B2377" s="9">
        <v>0.67638888888888893</v>
      </c>
      <c r="C2377" s="10" t="str">
        <f>"009935791628"</f>
        <v>009935791628</v>
      </c>
      <c r="D2377" s="10" t="s">
        <v>362</v>
      </c>
      <c r="E2377" s="10" t="s">
        <v>996</v>
      </c>
      <c r="F2377" s="10" t="str">
        <f>"ASSIGNMENT "</f>
        <v xml:space="preserve">ASSIGNMENT </v>
      </c>
      <c r="G2377" s="10" t="str">
        <f t="shared" si="99"/>
        <v>ON1</v>
      </c>
      <c r="H2377" s="10" t="s">
        <v>21</v>
      </c>
      <c r="I2377" s="10" t="s">
        <v>997</v>
      </c>
      <c r="J2377" s="10" t="str">
        <f>""</f>
        <v/>
      </c>
      <c r="K2377" s="10" t="str">
        <f>"P009935791628_0001"</f>
        <v>P009935791628_0001</v>
      </c>
      <c r="L2377" s="10">
        <v>1</v>
      </c>
      <c r="M2377" s="10">
        <v>1</v>
      </c>
    </row>
    <row r="2378" spans="1:13">
      <c r="A2378" s="8">
        <v>42935</v>
      </c>
      <c r="B2378" s="9">
        <v>0.65972222222222221</v>
      </c>
      <c r="C2378" s="10" t="str">
        <f>"FES1162563656"</f>
        <v>FES1162563656</v>
      </c>
      <c r="D2378" s="10" t="s">
        <v>19</v>
      </c>
      <c r="E2378" s="10" t="s">
        <v>998</v>
      </c>
      <c r="F2378" s="10" t="str">
        <f>"2170580172 "</f>
        <v xml:space="preserve">2170580172 </v>
      </c>
      <c r="G2378" s="10" t="str">
        <f t="shared" si="99"/>
        <v>ON1</v>
      </c>
      <c r="H2378" s="10" t="s">
        <v>21</v>
      </c>
      <c r="I2378" s="10" t="s">
        <v>898</v>
      </c>
      <c r="J2378" s="10" t="str">
        <f>""</f>
        <v/>
      </c>
      <c r="K2378" s="10" t="str">
        <f>"PFES1162563656_0001"</f>
        <v>PFES1162563656_0001</v>
      </c>
      <c r="L2378" s="10">
        <v>1</v>
      </c>
      <c r="M2378" s="10">
        <v>1</v>
      </c>
    </row>
    <row r="2379" spans="1:13">
      <c r="A2379" s="8">
        <v>42935</v>
      </c>
      <c r="B2379" s="9">
        <v>0.65694444444444444</v>
      </c>
      <c r="C2379" s="10" t="str">
        <f>"FES1162563662"</f>
        <v>FES1162563662</v>
      </c>
      <c r="D2379" s="10" t="s">
        <v>19</v>
      </c>
      <c r="E2379" s="10" t="s">
        <v>589</v>
      </c>
      <c r="F2379" s="10" t="str">
        <f>"2170580181 "</f>
        <v xml:space="preserve">2170580181 </v>
      </c>
      <c r="G2379" s="10" t="str">
        <f t="shared" si="99"/>
        <v>ON1</v>
      </c>
      <c r="H2379" s="10" t="s">
        <v>21</v>
      </c>
      <c r="I2379" s="10" t="s">
        <v>330</v>
      </c>
      <c r="J2379" s="10" t="str">
        <f>""</f>
        <v/>
      </c>
      <c r="K2379" s="10" t="str">
        <f>"PFES1162563662_0001"</f>
        <v>PFES1162563662_0001</v>
      </c>
      <c r="L2379" s="10">
        <v>1</v>
      </c>
      <c r="M2379" s="10">
        <v>1</v>
      </c>
    </row>
    <row r="2380" spans="1:13">
      <c r="A2380" s="8">
        <v>42935</v>
      </c>
      <c r="B2380" s="9">
        <v>0.65625</v>
      </c>
      <c r="C2380" s="10" t="str">
        <f>"FES1162563658"</f>
        <v>FES1162563658</v>
      </c>
      <c r="D2380" s="10" t="s">
        <v>19</v>
      </c>
      <c r="E2380" s="10" t="s">
        <v>365</v>
      </c>
      <c r="F2380" s="10" t="str">
        <f>"2170580187 "</f>
        <v xml:space="preserve">2170580187 </v>
      </c>
      <c r="G2380" s="10" t="str">
        <f t="shared" si="99"/>
        <v>ON1</v>
      </c>
      <c r="H2380" s="10" t="s">
        <v>21</v>
      </c>
      <c r="I2380" s="10" t="s">
        <v>330</v>
      </c>
      <c r="J2380" s="10" t="str">
        <f>""</f>
        <v/>
      </c>
      <c r="K2380" s="10" t="str">
        <f>"PFES1162563658_0001"</f>
        <v>PFES1162563658_0001</v>
      </c>
      <c r="L2380" s="10">
        <v>1</v>
      </c>
      <c r="M2380" s="10">
        <v>1</v>
      </c>
    </row>
    <row r="2381" spans="1:13">
      <c r="A2381" s="8">
        <v>42935</v>
      </c>
      <c r="B2381" s="9">
        <v>0.65486111111111112</v>
      </c>
      <c r="C2381" s="10" t="str">
        <f>"FES1162563657"</f>
        <v>FES1162563657</v>
      </c>
      <c r="D2381" s="10" t="s">
        <v>19</v>
      </c>
      <c r="E2381" s="10" t="s">
        <v>278</v>
      </c>
      <c r="F2381" s="10" t="str">
        <f>"2170580179 "</f>
        <v xml:space="preserve">2170580179 </v>
      </c>
      <c r="G2381" s="10" t="str">
        <f t="shared" si="99"/>
        <v>ON1</v>
      </c>
      <c r="H2381" s="10" t="s">
        <v>21</v>
      </c>
      <c r="I2381" s="10" t="s">
        <v>234</v>
      </c>
      <c r="J2381" s="10" t="str">
        <f>""</f>
        <v/>
      </c>
      <c r="K2381" s="10" t="str">
        <f>"PFES1162563657_0001"</f>
        <v>PFES1162563657_0001</v>
      </c>
      <c r="L2381" s="10">
        <v>1</v>
      </c>
      <c r="M2381" s="10">
        <v>1</v>
      </c>
    </row>
    <row r="2382" spans="1:13">
      <c r="A2382" s="8">
        <v>42935</v>
      </c>
      <c r="B2382" s="9">
        <v>0.65486111111111112</v>
      </c>
      <c r="C2382" s="10" t="str">
        <f>"FES1162563648"</f>
        <v>FES1162563648</v>
      </c>
      <c r="D2382" s="10" t="s">
        <v>19</v>
      </c>
      <c r="E2382" s="10" t="s">
        <v>366</v>
      </c>
      <c r="F2382" s="10" t="str">
        <f>"2170580162 "</f>
        <v xml:space="preserve">2170580162 </v>
      </c>
      <c r="G2382" s="10" t="str">
        <f t="shared" si="99"/>
        <v>ON1</v>
      </c>
      <c r="H2382" s="10" t="s">
        <v>21</v>
      </c>
      <c r="I2382" s="10" t="s">
        <v>234</v>
      </c>
      <c r="J2382" s="10" t="str">
        <f>""</f>
        <v/>
      </c>
      <c r="K2382" s="10" t="str">
        <f>"PFES1162563648_0001"</f>
        <v>PFES1162563648_0001</v>
      </c>
      <c r="L2382" s="10">
        <v>1</v>
      </c>
      <c r="M2382" s="10">
        <v>1</v>
      </c>
    </row>
    <row r="2383" spans="1:13">
      <c r="A2383" s="8">
        <v>42935</v>
      </c>
      <c r="B2383" s="9">
        <v>0.65347222222222223</v>
      </c>
      <c r="C2383" s="10" t="str">
        <f>"FES1162563650"</f>
        <v>FES1162563650</v>
      </c>
      <c r="D2383" s="10" t="s">
        <v>19</v>
      </c>
      <c r="E2383" s="10" t="s">
        <v>560</v>
      </c>
      <c r="F2383" s="10" t="str">
        <f>"2170580171 "</f>
        <v xml:space="preserve">2170580171 </v>
      </c>
      <c r="G2383" s="10" t="str">
        <f t="shared" si="99"/>
        <v>ON1</v>
      </c>
      <c r="H2383" s="10" t="s">
        <v>21</v>
      </c>
      <c r="I2383" s="10" t="s">
        <v>561</v>
      </c>
      <c r="J2383" s="10" t="str">
        <f>""</f>
        <v/>
      </c>
      <c r="K2383" s="10" t="str">
        <f>"PFES1162563650_0001"</f>
        <v>PFES1162563650_0001</v>
      </c>
      <c r="L2383" s="10">
        <v>1</v>
      </c>
      <c r="M2383" s="10">
        <v>0</v>
      </c>
    </row>
    <row r="2384" spans="1:13">
      <c r="A2384" s="8">
        <v>42935</v>
      </c>
      <c r="B2384" s="9">
        <v>0.65208333333333335</v>
      </c>
      <c r="C2384" s="10" t="str">
        <f>"FES1162563607"</f>
        <v>FES1162563607</v>
      </c>
      <c r="D2384" s="10" t="s">
        <v>19</v>
      </c>
      <c r="E2384" s="10" t="s">
        <v>641</v>
      </c>
      <c r="F2384" s="10" t="str">
        <f>"2170580106 "</f>
        <v xml:space="preserve">2170580106 </v>
      </c>
      <c r="G2384" s="10" t="str">
        <f t="shared" si="99"/>
        <v>ON1</v>
      </c>
      <c r="H2384" s="10" t="s">
        <v>21</v>
      </c>
      <c r="I2384" s="10" t="s">
        <v>887</v>
      </c>
      <c r="J2384" s="10" t="str">
        <f>""</f>
        <v/>
      </c>
      <c r="K2384" s="10" t="str">
        <f>"PFES1162563607_0001"</f>
        <v>PFES1162563607_0001</v>
      </c>
      <c r="L2384" s="10">
        <v>1</v>
      </c>
      <c r="M2384" s="10">
        <v>1</v>
      </c>
    </row>
    <row r="2385" spans="1:13">
      <c r="A2385" s="8">
        <v>42935</v>
      </c>
      <c r="B2385" s="9">
        <v>0.65138888888888891</v>
      </c>
      <c r="C2385" s="10" t="str">
        <f>"FES1162563474"</f>
        <v>FES1162563474</v>
      </c>
      <c r="D2385" s="10" t="s">
        <v>19</v>
      </c>
      <c r="E2385" s="10" t="s">
        <v>33</v>
      </c>
      <c r="F2385" s="10" t="str">
        <f>"2170579932 "</f>
        <v xml:space="preserve">2170579932 </v>
      </c>
      <c r="G2385" s="10" t="str">
        <f t="shared" si="99"/>
        <v>ON1</v>
      </c>
      <c r="H2385" s="10" t="s">
        <v>21</v>
      </c>
      <c r="I2385" s="10" t="s">
        <v>34</v>
      </c>
      <c r="J2385" s="10" t="str">
        <f>""</f>
        <v/>
      </c>
      <c r="K2385" s="10" t="str">
        <f>"PFES1162563474_0001"</f>
        <v>PFES1162563474_0001</v>
      </c>
      <c r="L2385" s="10">
        <v>1</v>
      </c>
      <c r="M2385" s="10">
        <v>4</v>
      </c>
    </row>
    <row r="2386" spans="1:13">
      <c r="A2386" s="8">
        <v>42935</v>
      </c>
      <c r="B2386" s="9">
        <v>0.65069444444444446</v>
      </c>
      <c r="C2386" s="10" t="str">
        <f>"FES1162563526"</f>
        <v>FES1162563526</v>
      </c>
      <c r="D2386" s="10" t="s">
        <v>19</v>
      </c>
      <c r="E2386" s="10" t="s">
        <v>173</v>
      </c>
      <c r="F2386" s="10" t="str">
        <f>"21705799994 "</f>
        <v xml:space="preserve">21705799994 </v>
      </c>
      <c r="G2386" s="10" t="str">
        <f t="shared" si="99"/>
        <v>ON1</v>
      </c>
      <c r="H2386" s="10" t="s">
        <v>21</v>
      </c>
      <c r="I2386" s="10" t="s">
        <v>174</v>
      </c>
      <c r="J2386" s="10" t="str">
        <f>""</f>
        <v/>
      </c>
      <c r="K2386" s="10" t="str">
        <f>"PFES1162563526_0001"</f>
        <v>PFES1162563526_0001</v>
      </c>
      <c r="L2386" s="10">
        <v>1</v>
      </c>
      <c r="M2386" s="10">
        <v>2</v>
      </c>
    </row>
    <row r="2387" spans="1:13">
      <c r="A2387" s="8">
        <v>42935</v>
      </c>
      <c r="B2387" s="9">
        <v>0.65069444444444446</v>
      </c>
      <c r="C2387" s="10" t="str">
        <f>"FES1162563556"</f>
        <v>FES1162563556</v>
      </c>
      <c r="D2387" s="10" t="s">
        <v>19</v>
      </c>
      <c r="E2387" s="10" t="s">
        <v>326</v>
      </c>
      <c r="F2387" s="10" t="str">
        <f>"2170580029 "</f>
        <v xml:space="preserve">2170580029 </v>
      </c>
      <c r="G2387" s="10" t="str">
        <f t="shared" si="99"/>
        <v>ON1</v>
      </c>
      <c r="H2387" s="10" t="s">
        <v>21</v>
      </c>
      <c r="I2387" s="10" t="s">
        <v>327</v>
      </c>
      <c r="J2387" s="10" t="str">
        <f>""</f>
        <v/>
      </c>
      <c r="K2387" s="10" t="str">
        <f>"PFES1162563556_0001"</f>
        <v>PFES1162563556_0001</v>
      </c>
      <c r="L2387" s="10">
        <v>1</v>
      </c>
      <c r="M2387" s="10">
        <v>1</v>
      </c>
    </row>
    <row r="2388" spans="1:13">
      <c r="A2388" s="8">
        <v>42935</v>
      </c>
      <c r="B2388" s="9">
        <v>0.65</v>
      </c>
      <c r="C2388" s="10" t="str">
        <f>"FES1162563616"</f>
        <v>FES1162563616</v>
      </c>
      <c r="D2388" s="10" t="s">
        <v>19</v>
      </c>
      <c r="E2388" s="10" t="s">
        <v>355</v>
      </c>
      <c r="F2388" s="10" t="str">
        <f>"21705780120 "</f>
        <v xml:space="preserve">21705780120 </v>
      </c>
      <c r="G2388" s="10" t="str">
        <f t="shared" si="99"/>
        <v>ON1</v>
      </c>
      <c r="H2388" s="10" t="s">
        <v>21</v>
      </c>
      <c r="I2388" s="10" t="s">
        <v>330</v>
      </c>
      <c r="J2388" s="10" t="str">
        <f>""</f>
        <v/>
      </c>
      <c r="K2388" s="10" t="str">
        <f>"PFES1162563616_0001"</f>
        <v>PFES1162563616_0001</v>
      </c>
      <c r="L2388" s="10">
        <v>1</v>
      </c>
      <c r="M2388" s="10">
        <v>11</v>
      </c>
    </row>
    <row r="2389" spans="1:13">
      <c r="A2389" s="8">
        <v>42935</v>
      </c>
      <c r="B2389" s="9">
        <v>0.64930555555555558</v>
      </c>
      <c r="C2389" s="10" t="str">
        <f>"FES1162563617"</f>
        <v>FES1162563617</v>
      </c>
      <c r="D2389" s="10" t="s">
        <v>19</v>
      </c>
      <c r="E2389" s="10" t="s">
        <v>180</v>
      </c>
      <c r="F2389" s="10" t="str">
        <f>"2170580123 "</f>
        <v xml:space="preserve">2170580123 </v>
      </c>
      <c r="G2389" s="10" t="str">
        <f t="shared" si="99"/>
        <v>ON1</v>
      </c>
      <c r="H2389" s="10" t="s">
        <v>21</v>
      </c>
      <c r="I2389" s="10" t="s">
        <v>168</v>
      </c>
      <c r="J2389" s="10" t="str">
        <f>""</f>
        <v/>
      </c>
      <c r="K2389" s="10" t="str">
        <f>"PFES1162563617_0001"</f>
        <v>PFES1162563617_0001</v>
      </c>
      <c r="L2389" s="10">
        <v>1</v>
      </c>
      <c r="M2389" s="10">
        <v>1</v>
      </c>
    </row>
    <row r="2390" spans="1:13">
      <c r="A2390" s="8">
        <v>42935</v>
      </c>
      <c r="B2390" s="9">
        <v>0.64861111111111114</v>
      </c>
      <c r="C2390" s="10" t="str">
        <f>"FES1162563605"</f>
        <v>FES1162563605</v>
      </c>
      <c r="D2390" s="10" t="s">
        <v>19</v>
      </c>
      <c r="E2390" s="10" t="s">
        <v>175</v>
      </c>
      <c r="F2390" s="10" t="str">
        <f>"2170580102 "</f>
        <v xml:space="preserve">2170580102 </v>
      </c>
      <c r="G2390" s="10" t="str">
        <f t="shared" si="99"/>
        <v>ON1</v>
      </c>
      <c r="H2390" s="10" t="s">
        <v>21</v>
      </c>
      <c r="I2390" s="10" t="s">
        <v>168</v>
      </c>
      <c r="J2390" s="10" t="str">
        <f>""</f>
        <v/>
      </c>
      <c r="K2390" s="10" t="str">
        <f>"PFES1162563605_0001"</f>
        <v>PFES1162563605_0001</v>
      </c>
      <c r="L2390" s="10">
        <v>1</v>
      </c>
      <c r="M2390" s="10">
        <v>1</v>
      </c>
    </row>
    <row r="2391" spans="1:13">
      <c r="A2391" s="8">
        <v>42935</v>
      </c>
      <c r="B2391" s="9">
        <v>0.64861111111111114</v>
      </c>
      <c r="C2391" s="10" t="str">
        <f>"FES1162563640"</f>
        <v>FES1162563640</v>
      </c>
      <c r="D2391" s="10" t="s">
        <v>19</v>
      </c>
      <c r="E2391" s="10" t="s">
        <v>295</v>
      </c>
      <c r="F2391" s="10" t="str">
        <f>"2170579925 "</f>
        <v xml:space="preserve">2170579925 </v>
      </c>
      <c r="G2391" s="10" t="str">
        <f t="shared" si="99"/>
        <v>ON1</v>
      </c>
      <c r="H2391" s="10" t="s">
        <v>21</v>
      </c>
      <c r="I2391" s="10" t="s">
        <v>179</v>
      </c>
      <c r="J2391" s="10" t="str">
        <f>""</f>
        <v/>
      </c>
      <c r="K2391" s="10" t="str">
        <f>"PFES1162563640_0001"</f>
        <v>PFES1162563640_0001</v>
      </c>
      <c r="L2391" s="10">
        <v>1</v>
      </c>
      <c r="M2391" s="10">
        <v>5</v>
      </c>
    </row>
    <row r="2392" spans="1:13">
      <c r="A2392" s="8">
        <v>42935</v>
      </c>
      <c r="B2392" s="9">
        <v>0.6479166666666667</v>
      </c>
      <c r="C2392" s="10" t="str">
        <f>"FES1162563408"</f>
        <v>FES1162563408</v>
      </c>
      <c r="D2392" s="10" t="s">
        <v>19</v>
      </c>
      <c r="E2392" s="10" t="s">
        <v>631</v>
      </c>
      <c r="F2392" s="10" t="str">
        <f>"2170577851 "</f>
        <v xml:space="preserve">2170577851 </v>
      </c>
      <c r="G2392" s="10" t="str">
        <f t="shared" si="99"/>
        <v>ON1</v>
      </c>
      <c r="H2392" s="10" t="s">
        <v>21</v>
      </c>
      <c r="I2392" s="10" t="s">
        <v>90</v>
      </c>
      <c r="J2392" s="10" t="str">
        <f>""</f>
        <v/>
      </c>
      <c r="K2392" s="10" t="str">
        <f>"PFES1162563408_0001"</f>
        <v>PFES1162563408_0001</v>
      </c>
      <c r="L2392" s="10">
        <v>1</v>
      </c>
      <c r="M2392" s="10">
        <v>3</v>
      </c>
    </row>
    <row r="2393" spans="1:13">
      <c r="A2393" s="8">
        <v>42935</v>
      </c>
      <c r="B2393" s="9">
        <v>0.6479166666666667</v>
      </c>
      <c r="C2393" s="10" t="str">
        <f>"FES1162563495"</f>
        <v>FES1162563495</v>
      </c>
      <c r="D2393" s="10" t="s">
        <v>19</v>
      </c>
      <c r="E2393" s="10" t="s">
        <v>924</v>
      </c>
      <c r="F2393" s="10" t="str">
        <f>"2170579961 "</f>
        <v xml:space="preserve">2170579961 </v>
      </c>
      <c r="G2393" s="10" t="str">
        <f t="shared" si="99"/>
        <v>ON1</v>
      </c>
      <c r="H2393" s="10" t="s">
        <v>21</v>
      </c>
      <c r="I2393" s="10" t="s">
        <v>700</v>
      </c>
      <c r="J2393" s="10" t="str">
        <f>""</f>
        <v/>
      </c>
      <c r="K2393" s="10" t="str">
        <f>"PFES1162563495_0001"</f>
        <v>PFES1162563495_0001</v>
      </c>
      <c r="L2393" s="10">
        <v>1</v>
      </c>
      <c r="M2393" s="10">
        <v>1</v>
      </c>
    </row>
    <row r="2394" spans="1:13">
      <c r="A2394" s="8">
        <v>42935</v>
      </c>
      <c r="B2394" s="9">
        <v>0.6479166666666667</v>
      </c>
      <c r="C2394" s="10" t="str">
        <f>"FES1162563487"</f>
        <v>FES1162563487</v>
      </c>
      <c r="D2394" s="10" t="s">
        <v>19</v>
      </c>
      <c r="E2394" s="10" t="s">
        <v>395</v>
      </c>
      <c r="F2394" s="10" t="str">
        <f>"2170579950 "</f>
        <v xml:space="preserve">2170579950 </v>
      </c>
      <c r="G2394" s="10" t="str">
        <f t="shared" si="99"/>
        <v>ON1</v>
      </c>
      <c r="H2394" s="10" t="s">
        <v>21</v>
      </c>
      <c r="I2394" s="10" t="s">
        <v>24</v>
      </c>
      <c r="J2394" s="10" t="str">
        <f>""</f>
        <v/>
      </c>
      <c r="K2394" s="10" t="str">
        <f>"PFES1162563487_0001"</f>
        <v>PFES1162563487_0001</v>
      </c>
      <c r="L2394" s="10">
        <v>1</v>
      </c>
      <c r="M2394" s="10">
        <v>4</v>
      </c>
    </row>
    <row r="2395" spans="1:13">
      <c r="A2395" s="8">
        <v>42935</v>
      </c>
      <c r="B2395" s="9">
        <v>0.64722222222222225</v>
      </c>
      <c r="C2395" s="10" t="str">
        <f>"FES1162563530"</f>
        <v>FES1162563530</v>
      </c>
      <c r="D2395" s="10" t="s">
        <v>19</v>
      </c>
      <c r="E2395" s="10" t="s">
        <v>288</v>
      </c>
      <c r="F2395" s="10" t="str">
        <f>"2170579981 "</f>
        <v xml:space="preserve">2170579981 </v>
      </c>
      <c r="G2395" s="10" t="str">
        <f t="shared" si="99"/>
        <v>ON1</v>
      </c>
      <c r="H2395" s="10" t="s">
        <v>21</v>
      </c>
      <c r="I2395" s="10" t="s">
        <v>412</v>
      </c>
      <c r="J2395" s="10" t="str">
        <f>""</f>
        <v/>
      </c>
      <c r="K2395" s="10" t="str">
        <f>"PFES1162563530_0001"</f>
        <v>PFES1162563530_0001</v>
      </c>
      <c r="L2395" s="10">
        <v>1</v>
      </c>
      <c r="M2395" s="10">
        <v>1</v>
      </c>
    </row>
    <row r="2396" spans="1:13">
      <c r="A2396" s="8">
        <v>42935</v>
      </c>
      <c r="B2396" s="9">
        <v>0.64722222222222225</v>
      </c>
      <c r="C2396" s="10" t="str">
        <f>"FES1162563493"</f>
        <v>FES1162563493</v>
      </c>
      <c r="D2396" s="10" t="s">
        <v>19</v>
      </c>
      <c r="E2396" s="10" t="s">
        <v>87</v>
      </c>
      <c r="F2396" s="10" t="str">
        <f>"2170579957 "</f>
        <v xml:space="preserve">2170579957 </v>
      </c>
      <c r="G2396" s="10" t="str">
        <f t="shared" si="99"/>
        <v>ON1</v>
      </c>
      <c r="H2396" s="10" t="s">
        <v>21</v>
      </c>
      <c r="I2396" s="10" t="s">
        <v>88</v>
      </c>
      <c r="J2396" s="10" t="str">
        <f>""</f>
        <v/>
      </c>
      <c r="K2396" s="10" t="str">
        <f>"PFES1162563493_0001"</f>
        <v>PFES1162563493_0001</v>
      </c>
      <c r="L2396" s="10">
        <v>1</v>
      </c>
      <c r="M2396" s="10">
        <v>1</v>
      </c>
    </row>
    <row r="2397" spans="1:13">
      <c r="A2397" s="8">
        <v>42935</v>
      </c>
      <c r="B2397" s="9">
        <v>0.64652777777777781</v>
      </c>
      <c r="C2397" s="10" t="str">
        <f>"FES1162563434"</f>
        <v>FES1162563434</v>
      </c>
      <c r="D2397" s="10" t="s">
        <v>19</v>
      </c>
      <c r="E2397" s="10" t="s">
        <v>880</v>
      </c>
      <c r="F2397" s="10" t="str">
        <f>"21705784000 "</f>
        <v xml:space="preserve">21705784000 </v>
      </c>
      <c r="G2397" s="10" t="str">
        <f t="shared" si="99"/>
        <v>ON1</v>
      </c>
      <c r="H2397" s="10" t="s">
        <v>21</v>
      </c>
      <c r="I2397" s="10" t="s">
        <v>32</v>
      </c>
      <c r="J2397" s="10" t="str">
        <f>""</f>
        <v/>
      </c>
      <c r="K2397" s="10" t="str">
        <f>"PFES1162563434_0001"</f>
        <v>PFES1162563434_0001</v>
      </c>
      <c r="L2397" s="10">
        <v>1</v>
      </c>
      <c r="M2397" s="10">
        <v>1</v>
      </c>
    </row>
    <row r="2398" spans="1:13">
      <c r="A2398" s="8">
        <v>42935</v>
      </c>
      <c r="B2398" s="9">
        <v>0.64652777777777781</v>
      </c>
      <c r="C2398" s="10" t="str">
        <f>"FES1162563541"</f>
        <v>FES1162563541</v>
      </c>
      <c r="D2398" s="10" t="s">
        <v>19</v>
      </c>
      <c r="E2398" s="10" t="s">
        <v>999</v>
      </c>
      <c r="F2398" s="10" t="str">
        <f>"2170580014 "</f>
        <v xml:space="preserve">2170580014 </v>
      </c>
      <c r="G2398" s="10" t="str">
        <f t="shared" si="99"/>
        <v>ON1</v>
      </c>
      <c r="H2398" s="10" t="s">
        <v>21</v>
      </c>
      <c r="I2398" s="10" t="s">
        <v>90</v>
      </c>
      <c r="J2398" s="10" t="str">
        <f>""</f>
        <v/>
      </c>
      <c r="K2398" s="10" t="str">
        <f>"PFES1162563541_0001"</f>
        <v>PFES1162563541_0001</v>
      </c>
      <c r="L2398" s="10">
        <v>1</v>
      </c>
      <c r="M2398" s="10">
        <v>2</v>
      </c>
    </row>
    <row r="2399" spans="1:13">
      <c r="A2399" s="8">
        <v>42935</v>
      </c>
      <c r="B2399" s="9">
        <v>0.64583333333333337</v>
      </c>
      <c r="C2399" s="10" t="str">
        <f>"FES1162563491"</f>
        <v>FES1162563491</v>
      </c>
      <c r="D2399" s="10" t="s">
        <v>19</v>
      </c>
      <c r="E2399" s="10" t="s">
        <v>87</v>
      </c>
      <c r="F2399" s="10" t="str">
        <f>"2170579523 "</f>
        <v xml:space="preserve">2170579523 </v>
      </c>
      <c r="G2399" s="10" t="str">
        <f t="shared" si="99"/>
        <v>ON1</v>
      </c>
      <c r="H2399" s="10" t="s">
        <v>21</v>
      </c>
      <c r="I2399" s="10" t="s">
        <v>88</v>
      </c>
      <c r="J2399" s="10" t="str">
        <f>""</f>
        <v/>
      </c>
      <c r="K2399" s="10" t="str">
        <f>"PFES1162563491_0001"</f>
        <v>PFES1162563491_0001</v>
      </c>
      <c r="L2399" s="10">
        <v>1</v>
      </c>
      <c r="M2399" s="10">
        <v>1</v>
      </c>
    </row>
    <row r="2400" spans="1:13">
      <c r="A2400" s="8">
        <v>42935</v>
      </c>
      <c r="B2400" s="9">
        <v>0.64583333333333337</v>
      </c>
      <c r="C2400" s="10" t="str">
        <f>"FES1162563543"</f>
        <v>FES1162563543</v>
      </c>
      <c r="D2400" s="10" t="s">
        <v>19</v>
      </c>
      <c r="E2400" s="10" t="s">
        <v>999</v>
      </c>
      <c r="F2400" s="10" t="str">
        <f>"2170580016 "</f>
        <v xml:space="preserve">2170580016 </v>
      </c>
      <c r="G2400" s="10" t="str">
        <f t="shared" si="99"/>
        <v>ON1</v>
      </c>
      <c r="H2400" s="10" t="s">
        <v>21</v>
      </c>
      <c r="I2400" s="10" t="s">
        <v>90</v>
      </c>
      <c r="J2400" s="10" t="str">
        <f>""</f>
        <v/>
      </c>
      <c r="K2400" s="10" t="str">
        <f>"PFES1162563543_0001"</f>
        <v>PFES1162563543_0001</v>
      </c>
      <c r="L2400" s="10">
        <v>1</v>
      </c>
      <c r="M2400" s="10">
        <v>1</v>
      </c>
    </row>
    <row r="2401" spans="1:13">
      <c r="A2401" s="8">
        <v>42935</v>
      </c>
      <c r="B2401" s="9">
        <v>0.64583333333333337</v>
      </c>
      <c r="C2401" s="10" t="str">
        <f>"FES1162563423"</f>
        <v>FES1162563423</v>
      </c>
      <c r="D2401" s="10" t="s">
        <v>19</v>
      </c>
      <c r="E2401" s="10" t="s">
        <v>477</v>
      </c>
      <c r="F2401" s="10" t="str">
        <f>"2170577973 "</f>
        <v xml:space="preserve">2170577973 </v>
      </c>
      <c r="G2401" s="10" t="str">
        <f t="shared" si="99"/>
        <v>ON1</v>
      </c>
      <c r="H2401" s="10" t="s">
        <v>21</v>
      </c>
      <c r="I2401" s="10" t="s">
        <v>138</v>
      </c>
      <c r="J2401" s="10" t="str">
        <f>""</f>
        <v/>
      </c>
      <c r="K2401" s="10" t="str">
        <f>"PFES1162563423_0001"</f>
        <v>PFES1162563423_0001</v>
      </c>
      <c r="L2401" s="10">
        <v>1</v>
      </c>
      <c r="M2401" s="10">
        <v>1</v>
      </c>
    </row>
    <row r="2402" spans="1:13">
      <c r="A2402" s="8">
        <v>42935</v>
      </c>
      <c r="B2402" s="9">
        <v>0.64444444444444449</v>
      </c>
      <c r="C2402" s="10" t="str">
        <f>"FES1162563422"</f>
        <v>FES1162563422</v>
      </c>
      <c r="D2402" s="10" t="s">
        <v>19</v>
      </c>
      <c r="E2402" s="10" t="s">
        <v>33</v>
      </c>
      <c r="F2402" s="10" t="str">
        <f>"2170577972 "</f>
        <v xml:space="preserve">2170577972 </v>
      </c>
      <c r="G2402" s="10" t="str">
        <f t="shared" si="99"/>
        <v>ON1</v>
      </c>
      <c r="H2402" s="10" t="s">
        <v>21</v>
      </c>
      <c r="I2402" s="10" t="s">
        <v>34</v>
      </c>
      <c r="J2402" s="10" t="str">
        <f>""</f>
        <v/>
      </c>
      <c r="K2402" s="10" t="str">
        <f>"PFES1162563422_0001"</f>
        <v>PFES1162563422_0001</v>
      </c>
      <c r="L2402" s="10">
        <v>1</v>
      </c>
      <c r="M2402" s="10">
        <v>1</v>
      </c>
    </row>
    <row r="2403" spans="1:13">
      <c r="A2403" s="8">
        <v>42935</v>
      </c>
      <c r="B2403" s="9">
        <v>0.64444444444444449</v>
      </c>
      <c r="C2403" s="10" t="str">
        <f>"FES1162563531"</f>
        <v>FES1162563531</v>
      </c>
      <c r="D2403" s="10" t="s">
        <v>19</v>
      </c>
      <c r="E2403" s="10" t="s">
        <v>266</v>
      </c>
      <c r="F2403" s="10" t="str">
        <f>"2170579986 "</f>
        <v xml:space="preserve">2170579986 </v>
      </c>
      <c r="G2403" s="10" t="str">
        <f t="shared" si="99"/>
        <v>ON1</v>
      </c>
      <c r="H2403" s="10" t="s">
        <v>21</v>
      </c>
      <c r="I2403" s="10" t="s">
        <v>290</v>
      </c>
      <c r="J2403" s="10" t="str">
        <f>""</f>
        <v/>
      </c>
      <c r="K2403" s="10" t="str">
        <f>"PFES1162563531_0001"</f>
        <v>PFES1162563531_0001</v>
      </c>
      <c r="L2403" s="10">
        <v>1</v>
      </c>
      <c r="M2403" s="10">
        <v>1</v>
      </c>
    </row>
    <row r="2404" spans="1:13">
      <c r="A2404" s="8">
        <v>42935</v>
      </c>
      <c r="B2404" s="9">
        <v>0.64444444444444449</v>
      </c>
      <c r="C2404" s="10" t="str">
        <f>"FES1162563611"</f>
        <v>FES1162563611</v>
      </c>
      <c r="D2404" s="10" t="s">
        <v>19</v>
      </c>
      <c r="E2404" s="10" t="s">
        <v>146</v>
      </c>
      <c r="F2404" s="10" t="str">
        <f>"2170580114 "</f>
        <v xml:space="preserve">2170580114 </v>
      </c>
      <c r="G2404" s="10" t="str">
        <f t="shared" si="99"/>
        <v>ON1</v>
      </c>
      <c r="H2404" s="10" t="s">
        <v>21</v>
      </c>
      <c r="I2404" s="10" t="s">
        <v>147</v>
      </c>
      <c r="J2404" s="10" t="str">
        <f>""</f>
        <v/>
      </c>
      <c r="K2404" s="10" t="str">
        <f>"PFES1162563611_0001"</f>
        <v>PFES1162563611_0001</v>
      </c>
      <c r="L2404" s="10">
        <v>1</v>
      </c>
      <c r="M2404" s="10">
        <v>1</v>
      </c>
    </row>
    <row r="2405" spans="1:13">
      <c r="A2405" s="8">
        <v>42935</v>
      </c>
      <c r="B2405" s="9">
        <v>0.64374999999999993</v>
      </c>
      <c r="C2405" s="10" t="str">
        <f>"FES1162563533"</f>
        <v>FES1162563533</v>
      </c>
      <c r="D2405" s="10" t="s">
        <v>19</v>
      </c>
      <c r="E2405" s="10" t="s">
        <v>266</v>
      </c>
      <c r="F2405" s="10" t="str">
        <f>"2170579998 "</f>
        <v xml:space="preserve">2170579998 </v>
      </c>
      <c r="G2405" s="10" t="str">
        <f t="shared" si="99"/>
        <v>ON1</v>
      </c>
      <c r="H2405" s="10" t="s">
        <v>21</v>
      </c>
      <c r="I2405" s="10" t="s">
        <v>290</v>
      </c>
      <c r="J2405" s="10" t="str">
        <f>""</f>
        <v/>
      </c>
      <c r="K2405" s="10" t="str">
        <f>"PFES1162563533_0001"</f>
        <v>PFES1162563533_0001</v>
      </c>
      <c r="L2405" s="10">
        <v>1</v>
      </c>
      <c r="M2405" s="10">
        <v>1</v>
      </c>
    </row>
    <row r="2406" spans="1:13">
      <c r="A2406" s="8">
        <v>42935</v>
      </c>
      <c r="B2406" s="9">
        <v>0.64374999999999993</v>
      </c>
      <c r="C2406" s="10" t="str">
        <f>"FES1162563470"</f>
        <v>FES1162563470</v>
      </c>
      <c r="D2406" s="10" t="s">
        <v>19</v>
      </c>
      <c r="E2406" s="10" t="s">
        <v>131</v>
      </c>
      <c r="F2406" s="10" t="str">
        <f>"2170579928 "</f>
        <v xml:space="preserve">2170579928 </v>
      </c>
      <c r="G2406" s="10" t="str">
        <f t="shared" si="99"/>
        <v>ON1</v>
      </c>
      <c r="H2406" s="10" t="s">
        <v>21</v>
      </c>
      <c r="I2406" s="10" t="s">
        <v>132</v>
      </c>
      <c r="J2406" s="10" t="str">
        <f>""</f>
        <v/>
      </c>
      <c r="K2406" s="10" t="str">
        <f>"PFES1162563470_0001"</f>
        <v>PFES1162563470_0001</v>
      </c>
      <c r="L2406" s="10">
        <v>1</v>
      </c>
      <c r="M2406" s="10">
        <v>1</v>
      </c>
    </row>
    <row r="2407" spans="1:13">
      <c r="A2407" s="8">
        <v>42935</v>
      </c>
      <c r="B2407" s="9">
        <v>0.64374999999999993</v>
      </c>
      <c r="C2407" s="10" t="str">
        <f>"FES1162563532"</f>
        <v>FES1162563532</v>
      </c>
      <c r="D2407" s="10" t="s">
        <v>19</v>
      </c>
      <c r="E2407" s="10" t="s">
        <v>266</v>
      </c>
      <c r="F2407" s="10" t="str">
        <f>"2170577997 "</f>
        <v xml:space="preserve">2170577997 </v>
      </c>
      <c r="G2407" s="10" t="str">
        <f t="shared" si="99"/>
        <v>ON1</v>
      </c>
      <c r="H2407" s="10" t="s">
        <v>21</v>
      </c>
      <c r="I2407" s="10" t="s">
        <v>290</v>
      </c>
      <c r="J2407" s="10" t="str">
        <f>""</f>
        <v/>
      </c>
      <c r="K2407" s="10" t="str">
        <f>"PFES1162563532_0001"</f>
        <v>PFES1162563532_0001</v>
      </c>
      <c r="L2407" s="10">
        <v>1</v>
      </c>
      <c r="M2407" s="10">
        <v>1</v>
      </c>
    </row>
    <row r="2408" spans="1:13">
      <c r="A2408" s="8">
        <v>42935</v>
      </c>
      <c r="B2408" s="9">
        <v>0.6430555555555556</v>
      </c>
      <c r="C2408" s="10" t="str">
        <f>"FES1162563376"</f>
        <v>FES1162563376</v>
      </c>
      <c r="D2408" s="10" t="s">
        <v>19</v>
      </c>
      <c r="E2408" s="10" t="s">
        <v>825</v>
      </c>
      <c r="F2408" s="10" t="str">
        <f>"2170579907 "</f>
        <v xml:space="preserve">2170579907 </v>
      </c>
      <c r="G2408" s="10" t="str">
        <f t="shared" si="99"/>
        <v>ON1</v>
      </c>
      <c r="H2408" s="10" t="s">
        <v>21</v>
      </c>
      <c r="I2408" s="10" t="s">
        <v>724</v>
      </c>
      <c r="J2408" s="10" t="str">
        <f>""</f>
        <v/>
      </c>
      <c r="K2408" s="10" t="str">
        <f>"PFES1162563376_0001"</f>
        <v>PFES1162563376_0001</v>
      </c>
      <c r="L2408" s="10">
        <v>1</v>
      </c>
      <c r="M2408" s="10">
        <v>1</v>
      </c>
    </row>
    <row r="2409" spans="1:13">
      <c r="A2409" s="8">
        <v>42935</v>
      </c>
      <c r="B2409" s="9">
        <v>0.6430555555555556</v>
      </c>
      <c r="C2409" s="10" t="str">
        <f>"FES1162563606"</f>
        <v>FES1162563606</v>
      </c>
      <c r="D2409" s="10" t="s">
        <v>19</v>
      </c>
      <c r="E2409" s="10" t="s">
        <v>175</v>
      </c>
      <c r="F2409" s="10" t="str">
        <f>"2170580105 "</f>
        <v xml:space="preserve">2170580105 </v>
      </c>
      <c r="G2409" s="10" t="str">
        <f t="shared" si="99"/>
        <v>ON1</v>
      </c>
      <c r="H2409" s="10" t="s">
        <v>21</v>
      </c>
      <c r="I2409" s="10" t="s">
        <v>168</v>
      </c>
      <c r="J2409" s="10" t="str">
        <f>""</f>
        <v/>
      </c>
      <c r="K2409" s="10" t="str">
        <f>"PFES1162563606_0001"</f>
        <v>PFES1162563606_0001</v>
      </c>
      <c r="L2409" s="10">
        <v>1</v>
      </c>
      <c r="M2409" s="10">
        <v>1</v>
      </c>
    </row>
    <row r="2410" spans="1:13">
      <c r="A2410" s="8">
        <v>42935</v>
      </c>
      <c r="B2410" s="9">
        <v>0.64236111111111105</v>
      </c>
      <c r="C2410" s="10" t="str">
        <f>"FES1162563471"</f>
        <v>FES1162563471</v>
      </c>
      <c r="D2410" s="10" t="s">
        <v>19</v>
      </c>
      <c r="E2410" s="10" t="s">
        <v>131</v>
      </c>
      <c r="F2410" s="10" t="str">
        <f>"2170579929 "</f>
        <v xml:space="preserve">2170579929 </v>
      </c>
      <c r="G2410" s="10" t="str">
        <f t="shared" si="99"/>
        <v>ON1</v>
      </c>
      <c r="H2410" s="10" t="s">
        <v>21</v>
      </c>
      <c r="I2410" s="10" t="s">
        <v>132</v>
      </c>
      <c r="J2410" s="10" t="str">
        <f>""</f>
        <v/>
      </c>
      <c r="K2410" s="10" t="str">
        <f>"PFES1162563471_0001"</f>
        <v>PFES1162563471_0001</v>
      </c>
      <c r="L2410" s="10">
        <v>1</v>
      </c>
      <c r="M2410" s="10">
        <v>1</v>
      </c>
    </row>
    <row r="2411" spans="1:13">
      <c r="A2411" s="8">
        <v>42935</v>
      </c>
      <c r="B2411" s="9">
        <v>0.64236111111111105</v>
      </c>
      <c r="C2411" s="10" t="str">
        <f>"FES1162563446"</f>
        <v>FES1162563446</v>
      </c>
      <c r="D2411" s="10" t="s">
        <v>19</v>
      </c>
      <c r="E2411" s="10" t="s">
        <v>515</v>
      </c>
      <c r="F2411" s="10" t="str">
        <f>"2170579049 "</f>
        <v xml:space="preserve">2170579049 </v>
      </c>
      <c r="G2411" s="10" t="str">
        <f t="shared" si="99"/>
        <v>ON1</v>
      </c>
      <c r="H2411" s="10" t="s">
        <v>21</v>
      </c>
      <c r="I2411" s="10" t="s">
        <v>410</v>
      </c>
      <c r="J2411" s="10" t="str">
        <f>""</f>
        <v/>
      </c>
      <c r="K2411" s="10" t="str">
        <f>"PFES1162563446_0001"</f>
        <v>PFES1162563446_0001</v>
      </c>
      <c r="L2411" s="10">
        <v>1</v>
      </c>
      <c r="M2411" s="10">
        <v>1</v>
      </c>
    </row>
    <row r="2412" spans="1:13">
      <c r="A2412" s="8">
        <v>42935</v>
      </c>
      <c r="B2412" s="9">
        <v>0.64166666666666672</v>
      </c>
      <c r="C2412" s="10" t="str">
        <f>"FES1162563567"</f>
        <v>FES1162563567</v>
      </c>
      <c r="D2412" s="10" t="s">
        <v>19</v>
      </c>
      <c r="E2412" s="10" t="s">
        <v>355</v>
      </c>
      <c r="F2412" s="10" t="str">
        <f>"2170580045 "</f>
        <v xml:space="preserve">2170580045 </v>
      </c>
      <c r="G2412" s="10" t="str">
        <f t="shared" si="99"/>
        <v>ON1</v>
      </c>
      <c r="H2412" s="10" t="s">
        <v>21</v>
      </c>
      <c r="I2412" s="10" t="s">
        <v>330</v>
      </c>
      <c r="J2412" s="10" t="str">
        <f>""</f>
        <v/>
      </c>
      <c r="K2412" s="10" t="str">
        <f>"PFES1162563567_0001"</f>
        <v>PFES1162563567_0001</v>
      </c>
      <c r="L2412" s="10">
        <v>1</v>
      </c>
      <c r="M2412" s="10">
        <v>1</v>
      </c>
    </row>
    <row r="2413" spans="1:13">
      <c r="A2413" s="8">
        <v>42935</v>
      </c>
      <c r="B2413" s="9">
        <v>0.64166666666666672</v>
      </c>
      <c r="C2413" s="10" t="str">
        <f>"FES1162563623"</f>
        <v>FES1162563623</v>
      </c>
      <c r="D2413" s="10" t="s">
        <v>19</v>
      </c>
      <c r="E2413" s="10" t="s">
        <v>765</v>
      </c>
      <c r="F2413" s="10" t="str">
        <f>"2170578013 "</f>
        <v xml:space="preserve">2170578013 </v>
      </c>
      <c r="G2413" s="10" t="str">
        <f t="shared" si="99"/>
        <v>ON1</v>
      </c>
      <c r="H2413" s="10" t="s">
        <v>21</v>
      </c>
      <c r="I2413" s="10" t="s">
        <v>563</v>
      </c>
      <c r="J2413" s="10" t="str">
        <f>""</f>
        <v/>
      </c>
      <c r="K2413" s="10" t="str">
        <f>"PFES1162563623_0001"</f>
        <v>PFES1162563623_0001</v>
      </c>
      <c r="L2413" s="10">
        <v>1</v>
      </c>
      <c r="M2413" s="10">
        <v>1</v>
      </c>
    </row>
    <row r="2414" spans="1:13">
      <c r="A2414" s="8">
        <v>42935</v>
      </c>
      <c r="B2414" s="9">
        <v>0.64097222222222217</v>
      </c>
      <c r="C2414" s="10" t="str">
        <f>"FES1162563620"</f>
        <v>FES1162563620</v>
      </c>
      <c r="D2414" s="10" t="s">
        <v>19</v>
      </c>
      <c r="E2414" s="10" t="s">
        <v>1000</v>
      </c>
      <c r="F2414" s="10" t="str">
        <f>"21705780127 "</f>
        <v xml:space="preserve">21705780127 </v>
      </c>
      <c r="G2414" s="10" t="str">
        <f t="shared" si="99"/>
        <v>ON1</v>
      </c>
      <c r="H2414" s="10" t="s">
        <v>21</v>
      </c>
      <c r="I2414" s="10" t="s">
        <v>185</v>
      </c>
      <c r="J2414" s="10" t="str">
        <f>""</f>
        <v/>
      </c>
      <c r="K2414" s="10" t="str">
        <f>"PFES1162563620_0001"</f>
        <v>PFES1162563620_0001</v>
      </c>
      <c r="L2414" s="10">
        <v>1</v>
      </c>
      <c r="M2414" s="10">
        <v>1</v>
      </c>
    </row>
    <row r="2415" spans="1:13">
      <c r="A2415" s="8">
        <v>42935</v>
      </c>
      <c r="B2415" s="9">
        <v>0.64097222222222217</v>
      </c>
      <c r="C2415" s="10" t="str">
        <f>"FES1162563586"</f>
        <v>FES1162563586</v>
      </c>
      <c r="D2415" s="10" t="s">
        <v>19</v>
      </c>
      <c r="E2415" s="10" t="s">
        <v>1001</v>
      </c>
      <c r="F2415" s="10" t="str">
        <f>"2170580058 "</f>
        <v xml:space="preserve">2170580058 </v>
      </c>
      <c r="G2415" s="10" t="str">
        <f t="shared" si="99"/>
        <v>ON1</v>
      </c>
      <c r="H2415" s="10" t="s">
        <v>21</v>
      </c>
      <c r="I2415" s="10" t="s">
        <v>340</v>
      </c>
      <c r="J2415" s="10" t="str">
        <f>""</f>
        <v/>
      </c>
      <c r="K2415" s="10" t="str">
        <f>"PFES1162563586_0001"</f>
        <v>PFES1162563586_0001</v>
      </c>
      <c r="L2415" s="10">
        <v>1</v>
      </c>
      <c r="M2415" s="10">
        <v>1</v>
      </c>
    </row>
    <row r="2416" spans="1:13">
      <c r="A2416" s="8">
        <v>42935</v>
      </c>
      <c r="B2416" s="9">
        <v>0.64027777777777783</v>
      </c>
      <c r="C2416" s="10" t="str">
        <f>"FES1162563631"</f>
        <v>FES1162563631</v>
      </c>
      <c r="D2416" s="10" t="s">
        <v>19</v>
      </c>
      <c r="E2416" s="10" t="s">
        <v>110</v>
      </c>
      <c r="F2416" s="10" t="str">
        <f>"2170580142 "</f>
        <v xml:space="preserve">2170580142 </v>
      </c>
      <c r="G2416" s="10" t="str">
        <f t="shared" si="99"/>
        <v>ON1</v>
      </c>
      <c r="H2416" s="10" t="s">
        <v>21</v>
      </c>
      <c r="I2416" s="10" t="s">
        <v>111</v>
      </c>
      <c r="J2416" s="10" t="str">
        <f>""</f>
        <v/>
      </c>
      <c r="K2416" s="10" t="str">
        <f>"PFES1162563631_0001"</f>
        <v>PFES1162563631_0001</v>
      </c>
      <c r="L2416" s="10">
        <v>1</v>
      </c>
      <c r="M2416" s="10">
        <v>1</v>
      </c>
    </row>
    <row r="2417" spans="1:13">
      <c r="A2417" s="8">
        <v>42935</v>
      </c>
      <c r="B2417" s="9">
        <v>0.63541666666666663</v>
      </c>
      <c r="C2417" s="10" t="str">
        <f>"FES1162563637"</f>
        <v>FES1162563637</v>
      </c>
      <c r="D2417" s="10" t="s">
        <v>19</v>
      </c>
      <c r="E2417" s="10" t="s">
        <v>1002</v>
      </c>
      <c r="F2417" s="10" t="str">
        <f>"2170580149 "</f>
        <v xml:space="preserve">2170580149 </v>
      </c>
      <c r="G2417" s="10" t="str">
        <f t="shared" si="99"/>
        <v>ON1</v>
      </c>
      <c r="H2417" s="10" t="s">
        <v>21</v>
      </c>
      <c r="I2417" s="10" t="s">
        <v>726</v>
      </c>
      <c r="J2417" s="10" t="str">
        <f>""</f>
        <v/>
      </c>
      <c r="K2417" s="10" t="str">
        <f>"PFES1162563637_0001"</f>
        <v>PFES1162563637_0001</v>
      </c>
      <c r="L2417" s="10">
        <v>1</v>
      </c>
      <c r="M2417" s="10">
        <v>1</v>
      </c>
    </row>
    <row r="2418" spans="1:13">
      <c r="A2418" s="8">
        <v>42935</v>
      </c>
      <c r="B2418" s="9">
        <v>0.63402777777777775</v>
      </c>
      <c r="C2418" s="10" t="str">
        <f>"FES1162563566"</f>
        <v>FES1162563566</v>
      </c>
      <c r="D2418" s="10" t="s">
        <v>19</v>
      </c>
      <c r="E2418" s="10" t="s">
        <v>329</v>
      </c>
      <c r="F2418" s="10" t="str">
        <f>"2170580044 "</f>
        <v xml:space="preserve">2170580044 </v>
      </c>
      <c r="G2418" s="10" t="str">
        <f t="shared" si="99"/>
        <v>ON1</v>
      </c>
      <c r="H2418" s="10" t="s">
        <v>21</v>
      </c>
      <c r="I2418" s="10" t="s">
        <v>330</v>
      </c>
      <c r="J2418" s="10" t="str">
        <f>""</f>
        <v/>
      </c>
      <c r="K2418" s="10" t="str">
        <f>"PFES1162563566_0001"</f>
        <v>PFES1162563566_0001</v>
      </c>
      <c r="L2418" s="10">
        <v>1</v>
      </c>
      <c r="M2418" s="10">
        <v>1</v>
      </c>
    </row>
    <row r="2419" spans="1:13">
      <c r="A2419" s="8">
        <v>42935</v>
      </c>
      <c r="B2419" s="9">
        <v>0.62916666666666665</v>
      </c>
      <c r="C2419" s="10" t="str">
        <f>"FES1162563642"</f>
        <v>FES1162563642</v>
      </c>
      <c r="D2419" s="10" t="s">
        <v>19</v>
      </c>
      <c r="E2419" s="10" t="s">
        <v>268</v>
      </c>
      <c r="F2419" s="10" t="str">
        <f>"2170580154 "</f>
        <v xml:space="preserve">2170580154 </v>
      </c>
      <c r="G2419" s="10" t="str">
        <f t="shared" si="99"/>
        <v>ON1</v>
      </c>
      <c r="H2419" s="10" t="s">
        <v>21</v>
      </c>
      <c r="I2419" s="10" t="s">
        <v>185</v>
      </c>
      <c r="J2419" s="10" t="str">
        <f>""</f>
        <v/>
      </c>
      <c r="K2419" s="10" t="str">
        <f>"PFES1162563642_0001"</f>
        <v>PFES1162563642_0001</v>
      </c>
      <c r="L2419" s="10">
        <v>1</v>
      </c>
      <c r="M2419" s="10">
        <v>1</v>
      </c>
    </row>
    <row r="2420" spans="1:13">
      <c r="A2420" s="8">
        <v>42935</v>
      </c>
      <c r="B2420" s="9">
        <v>0.62847222222222221</v>
      </c>
      <c r="C2420" s="10" t="str">
        <f>"FES1162563645"</f>
        <v>FES1162563645</v>
      </c>
      <c r="D2420" s="10" t="s">
        <v>19</v>
      </c>
      <c r="E2420" s="10" t="s">
        <v>278</v>
      </c>
      <c r="F2420" s="10" t="str">
        <f>"2170580163 "</f>
        <v xml:space="preserve">2170580163 </v>
      </c>
      <c r="G2420" s="10" t="str">
        <f t="shared" si="99"/>
        <v>ON1</v>
      </c>
      <c r="H2420" s="10" t="s">
        <v>21</v>
      </c>
      <c r="I2420" s="10" t="s">
        <v>234</v>
      </c>
      <c r="J2420" s="10" t="str">
        <f>""</f>
        <v/>
      </c>
      <c r="K2420" s="10" t="str">
        <f>"PFES1162563645_0001"</f>
        <v>PFES1162563645_0001</v>
      </c>
      <c r="L2420" s="10">
        <v>1</v>
      </c>
      <c r="M2420" s="10">
        <v>1</v>
      </c>
    </row>
    <row r="2421" spans="1:13">
      <c r="A2421" s="8">
        <v>42935</v>
      </c>
      <c r="B2421" s="9">
        <v>0.61458333333333337</v>
      </c>
      <c r="C2421" s="10" t="str">
        <f>"FES1162563416"</f>
        <v>FES1162563416</v>
      </c>
      <c r="D2421" s="10" t="s">
        <v>19</v>
      </c>
      <c r="E2421" s="10" t="s">
        <v>867</v>
      </c>
      <c r="F2421" s="10" t="str">
        <f>"2170577937 "</f>
        <v xml:space="preserve">2170577937 </v>
      </c>
      <c r="G2421" s="10" t="str">
        <f t="shared" si="99"/>
        <v>ON1</v>
      </c>
      <c r="H2421" s="10" t="s">
        <v>21</v>
      </c>
      <c r="I2421" s="10" t="s">
        <v>514</v>
      </c>
      <c r="J2421" s="10" t="str">
        <f>""</f>
        <v/>
      </c>
      <c r="K2421" s="10" t="str">
        <f>"PFES1162563416_0001"</f>
        <v>PFES1162563416_0001</v>
      </c>
      <c r="L2421" s="10">
        <v>1</v>
      </c>
      <c r="M2421" s="10">
        <v>2</v>
      </c>
    </row>
    <row r="2422" spans="1:13">
      <c r="A2422" s="8">
        <v>42936</v>
      </c>
      <c r="B2422" s="9">
        <v>0.60902777777777783</v>
      </c>
      <c r="C2422" s="10" t="str">
        <f>"FES1162563900"</f>
        <v>FES1162563900</v>
      </c>
      <c r="D2422" s="10" t="s">
        <v>19</v>
      </c>
      <c r="E2422" s="10" t="s">
        <v>1003</v>
      </c>
      <c r="F2422" s="10" t="str">
        <f>"217058080 "</f>
        <v xml:space="preserve">217058080 </v>
      </c>
      <c r="G2422" s="10" t="str">
        <f>"DBC"</f>
        <v>DBC</v>
      </c>
      <c r="H2422" s="10" t="s">
        <v>21</v>
      </c>
      <c r="I2422" s="10" t="s">
        <v>130</v>
      </c>
      <c r="J2422" s="10" t="str">
        <f>""</f>
        <v/>
      </c>
      <c r="K2422" s="10" t="str">
        <f>"PFES1162563900_0001"</f>
        <v>PFES1162563900_0001</v>
      </c>
      <c r="L2422" s="10">
        <v>1</v>
      </c>
      <c r="M2422" s="10">
        <v>51</v>
      </c>
    </row>
    <row r="2423" spans="1:13">
      <c r="A2423" s="8">
        <v>42936</v>
      </c>
      <c r="B2423" s="9">
        <v>0.60486111111111118</v>
      </c>
      <c r="C2423" s="10" t="str">
        <f>"FES1162563908"</f>
        <v>FES1162563908</v>
      </c>
      <c r="D2423" s="10" t="s">
        <v>19</v>
      </c>
      <c r="E2423" s="10" t="s">
        <v>953</v>
      </c>
      <c r="F2423" s="10" t="str">
        <f>"2170580437 "</f>
        <v xml:space="preserve">2170580437 </v>
      </c>
      <c r="G2423" s="10" t="str">
        <f t="shared" ref="G2423:G2429" si="100">"ON1"</f>
        <v>ON1</v>
      </c>
      <c r="H2423" s="10" t="s">
        <v>21</v>
      </c>
      <c r="I2423" s="10" t="s">
        <v>954</v>
      </c>
      <c r="J2423" s="10" t="str">
        <f>""</f>
        <v/>
      </c>
      <c r="K2423" s="10" t="str">
        <f>"PFES1162563908_0001"</f>
        <v>PFES1162563908_0001</v>
      </c>
      <c r="L2423" s="10">
        <v>1</v>
      </c>
      <c r="M2423" s="10">
        <v>1</v>
      </c>
    </row>
    <row r="2424" spans="1:13">
      <c r="A2424" s="8">
        <v>42936</v>
      </c>
      <c r="B2424" s="9">
        <v>0.60416666666666663</v>
      </c>
      <c r="C2424" s="10" t="str">
        <f>"FES1162563899"</f>
        <v>FES1162563899</v>
      </c>
      <c r="D2424" s="10" t="s">
        <v>19</v>
      </c>
      <c r="E2424" s="10" t="s">
        <v>953</v>
      </c>
      <c r="F2424" s="10" t="str">
        <f>"2170580431 "</f>
        <v xml:space="preserve">2170580431 </v>
      </c>
      <c r="G2424" s="10" t="str">
        <f t="shared" si="100"/>
        <v>ON1</v>
      </c>
      <c r="H2424" s="10" t="s">
        <v>21</v>
      </c>
      <c r="I2424" s="10" t="s">
        <v>954</v>
      </c>
      <c r="J2424" s="10" t="str">
        <f>""</f>
        <v/>
      </c>
      <c r="K2424" s="10" t="str">
        <f>"PFES1162563899_0001"</f>
        <v>PFES1162563899_0001</v>
      </c>
      <c r="L2424" s="10">
        <v>1</v>
      </c>
      <c r="M2424" s="10">
        <v>3</v>
      </c>
    </row>
    <row r="2425" spans="1:13">
      <c r="A2425" s="8">
        <v>42936</v>
      </c>
      <c r="B2425" s="9">
        <v>0.60416666666666663</v>
      </c>
      <c r="C2425" s="10" t="str">
        <f>"FES1162563896"</f>
        <v>FES1162563896</v>
      </c>
      <c r="D2425" s="10" t="s">
        <v>19</v>
      </c>
      <c r="E2425" s="10" t="s">
        <v>162</v>
      </c>
      <c r="F2425" s="10" t="str">
        <f>"2170580425 "</f>
        <v xml:space="preserve">2170580425 </v>
      </c>
      <c r="G2425" s="10" t="str">
        <f t="shared" si="100"/>
        <v>ON1</v>
      </c>
      <c r="H2425" s="10" t="s">
        <v>21</v>
      </c>
      <c r="I2425" s="10" t="s">
        <v>163</v>
      </c>
      <c r="J2425" s="10" t="str">
        <f>""</f>
        <v/>
      </c>
      <c r="K2425" s="10" t="str">
        <f>"PFES1162563896_0001"</f>
        <v>PFES1162563896_0001</v>
      </c>
      <c r="L2425" s="10">
        <v>1</v>
      </c>
      <c r="M2425" s="10">
        <v>1</v>
      </c>
    </row>
    <row r="2426" spans="1:13">
      <c r="A2426" s="8">
        <v>42936</v>
      </c>
      <c r="B2426" s="9">
        <v>0.60347222222222219</v>
      </c>
      <c r="C2426" s="10" t="str">
        <f>"FES1162563901"</f>
        <v>FES1162563901</v>
      </c>
      <c r="D2426" s="10" t="s">
        <v>19</v>
      </c>
      <c r="E2426" s="10" t="s">
        <v>184</v>
      </c>
      <c r="F2426" s="10" t="str">
        <f>"2170580097 "</f>
        <v xml:space="preserve">2170580097 </v>
      </c>
      <c r="G2426" s="10" t="str">
        <f t="shared" si="100"/>
        <v>ON1</v>
      </c>
      <c r="H2426" s="10" t="s">
        <v>21</v>
      </c>
      <c r="I2426" s="10" t="s">
        <v>185</v>
      </c>
      <c r="J2426" s="10" t="str">
        <f>""</f>
        <v/>
      </c>
      <c r="K2426" s="10" t="str">
        <f>"PFES1162563901_0001"</f>
        <v>PFES1162563901_0001</v>
      </c>
      <c r="L2426" s="10">
        <v>1</v>
      </c>
      <c r="M2426" s="10">
        <v>3</v>
      </c>
    </row>
    <row r="2427" spans="1:13">
      <c r="A2427" s="8">
        <v>42936</v>
      </c>
      <c r="B2427" s="9">
        <v>0.60347222222222219</v>
      </c>
      <c r="C2427" s="10" t="str">
        <f>"FES1162563867"</f>
        <v>FES1162563867</v>
      </c>
      <c r="D2427" s="10" t="s">
        <v>19</v>
      </c>
      <c r="E2427" s="10" t="s">
        <v>1004</v>
      </c>
      <c r="F2427" s="10" t="str">
        <f>"2170580387 "</f>
        <v xml:space="preserve">2170580387 </v>
      </c>
      <c r="G2427" s="10" t="str">
        <f t="shared" si="100"/>
        <v>ON1</v>
      </c>
      <c r="H2427" s="10" t="s">
        <v>21</v>
      </c>
      <c r="I2427" s="10" t="s">
        <v>1005</v>
      </c>
      <c r="J2427" s="10" t="str">
        <f>""</f>
        <v/>
      </c>
      <c r="K2427" s="10" t="str">
        <f>"PFES1162563867_0001"</f>
        <v>PFES1162563867_0001</v>
      </c>
      <c r="L2427" s="10">
        <v>1</v>
      </c>
      <c r="M2427" s="10">
        <v>3</v>
      </c>
    </row>
    <row r="2428" spans="1:13">
      <c r="A2428" s="8">
        <v>42936</v>
      </c>
      <c r="B2428" s="9">
        <v>0.60277777777777775</v>
      </c>
      <c r="C2428" s="10" t="str">
        <f>"FES1162563862"</f>
        <v>FES1162563862</v>
      </c>
      <c r="D2428" s="10" t="s">
        <v>19</v>
      </c>
      <c r="E2428" s="10" t="s">
        <v>33</v>
      </c>
      <c r="F2428" s="10" t="str">
        <f>"21705780380 "</f>
        <v xml:space="preserve">21705780380 </v>
      </c>
      <c r="G2428" s="10" t="str">
        <f t="shared" si="100"/>
        <v>ON1</v>
      </c>
      <c r="H2428" s="10" t="s">
        <v>21</v>
      </c>
      <c r="I2428" s="10" t="s">
        <v>34</v>
      </c>
      <c r="J2428" s="10" t="str">
        <f>""</f>
        <v/>
      </c>
      <c r="K2428" s="10" t="str">
        <f>"PFES1162563862_0001"</f>
        <v>PFES1162563862_0001</v>
      </c>
      <c r="L2428" s="10">
        <v>1</v>
      </c>
      <c r="M2428" s="10">
        <v>7</v>
      </c>
    </row>
    <row r="2429" spans="1:13">
      <c r="A2429" s="8">
        <v>42936</v>
      </c>
      <c r="B2429" s="9">
        <v>0.60277777777777775</v>
      </c>
      <c r="C2429" s="10" t="str">
        <f>"FES1162563886"</f>
        <v>FES1162563886</v>
      </c>
      <c r="D2429" s="10" t="s">
        <v>19</v>
      </c>
      <c r="E2429" s="10" t="s">
        <v>1006</v>
      </c>
      <c r="F2429" s="10" t="str">
        <f>"2170580411 "</f>
        <v xml:space="preserve">2170580411 </v>
      </c>
      <c r="G2429" s="10" t="str">
        <f t="shared" si="100"/>
        <v>ON1</v>
      </c>
      <c r="H2429" s="10" t="s">
        <v>21</v>
      </c>
      <c r="I2429" s="10" t="s">
        <v>673</v>
      </c>
      <c r="J2429" s="10" t="str">
        <f>""</f>
        <v/>
      </c>
      <c r="K2429" s="10" t="str">
        <f>"PFES1162563886_0001"</f>
        <v>PFES1162563886_0001</v>
      </c>
      <c r="L2429" s="10">
        <v>1</v>
      </c>
      <c r="M2429" s="10">
        <v>3</v>
      </c>
    </row>
    <row r="2430" spans="1:13">
      <c r="A2430" s="8">
        <v>42936</v>
      </c>
      <c r="B2430" s="9">
        <v>0.60069444444444442</v>
      </c>
      <c r="C2430" s="10" t="str">
        <f t="shared" ref="C2430:C2435" si="101">"FES1162563863"</f>
        <v>FES1162563863</v>
      </c>
      <c r="D2430" s="10" t="s">
        <v>19</v>
      </c>
      <c r="E2430" s="10" t="s">
        <v>1007</v>
      </c>
      <c r="F2430" s="10" t="str">
        <f>"2170580385 "</f>
        <v xml:space="preserve">2170580385 </v>
      </c>
      <c r="G2430" s="10" t="str">
        <f>"DBC"</f>
        <v>DBC</v>
      </c>
      <c r="H2430" s="10" t="s">
        <v>21</v>
      </c>
      <c r="I2430" s="10" t="s">
        <v>36</v>
      </c>
      <c r="J2430" s="10" t="str">
        <f>""</f>
        <v/>
      </c>
      <c r="K2430" s="10" t="str">
        <f>"PFES1162563863_0001"</f>
        <v>PFES1162563863_0001</v>
      </c>
      <c r="L2430" s="10">
        <v>6</v>
      </c>
      <c r="M2430" s="10">
        <v>19</v>
      </c>
    </row>
    <row r="2431" spans="1:13">
      <c r="A2431" s="8">
        <v>42936</v>
      </c>
      <c r="B2431" s="9">
        <v>0.60069444444444442</v>
      </c>
      <c r="C2431" s="10" t="str">
        <f t="shared" si="101"/>
        <v>FES1162563863</v>
      </c>
      <c r="D2431" s="10" t="s">
        <v>19</v>
      </c>
      <c r="E2431" s="10" t="s">
        <v>1007</v>
      </c>
      <c r="F2431" s="10" t="str">
        <f t="shared" ref="F2431:F2435" si="102">"2170580385 "</f>
        <v xml:space="preserve">2170580385 </v>
      </c>
      <c r="G2431" s="10" t="str">
        <f t="shared" ref="G2431:G2435" si="103">"DBC"</f>
        <v>DBC</v>
      </c>
      <c r="H2431" s="10" t="s">
        <v>21</v>
      </c>
      <c r="I2431" s="10" t="s">
        <v>36</v>
      </c>
      <c r="J2431" s="10"/>
      <c r="K2431" s="10" t="str">
        <f>"PFES1162563863_0002"</f>
        <v>PFES1162563863_0002</v>
      </c>
      <c r="L2431" s="10">
        <v>6</v>
      </c>
      <c r="M2431" s="10">
        <v>19</v>
      </c>
    </row>
    <row r="2432" spans="1:13">
      <c r="A2432" s="8">
        <v>42936</v>
      </c>
      <c r="B2432" s="9">
        <v>0.60069444444444442</v>
      </c>
      <c r="C2432" s="10" t="str">
        <f t="shared" si="101"/>
        <v>FES1162563863</v>
      </c>
      <c r="D2432" s="10" t="s">
        <v>19</v>
      </c>
      <c r="E2432" s="10" t="s">
        <v>1007</v>
      </c>
      <c r="F2432" s="10" t="str">
        <f t="shared" si="102"/>
        <v xml:space="preserve">2170580385 </v>
      </c>
      <c r="G2432" s="10" t="str">
        <f t="shared" si="103"/>
        <v>DBC</v>
      </c>
      <c r="H2432" s="10" t="s">
        <v>21</v>
      </c>
      <c r="I2432" s="10" t="s">
        <v>36</v>
      </c>
      <c r="J2432" s="10"/>
      <c r="K2432" s="10" t="str">
        <f>"PFES1162563863_0003"</f>
        <v>PFES1162563863_0003</v>
      </c>
      <c r="L2432" s="10">
        <v>6</v>
      </c>
      <c r="M2432" s="10">
        <v>19</v>
      </c>
    </row>
    <row r="2433" spans="1:13">
      <c r="A2433" s="8">
        <v>42936</v>
      </c>
      <c r="B2433" s="9">
        <v>0.60069444444444442</v>
      </c>
      <c r="C2433" s="10" t="str">
        <f t="shared" si="101"/>
        <v>FES1162563863</v>
      </c>
      <c r="D2433" s="10" t="s">
        <v>19</v>
      </c>
      <c r="E2433" s="10" t="s">
        <v>1007</v>
      </c>
      <c r="F2433" s="10" t="str">
        <f t="shared" si="102"/>
        <v xml:space="preserve">2170580385 </v>
      </c>
      <c r="G2433" s="10" t="str">
        <f t="shared" si="103"/>
        <v>DBC</v>
      </c>
      <c r="H2433" s="10" t="s">
        <v>21</v>
      </c>
      <c r="I2433" s="10" t="s">
        <v>36</v>
      </c>
      <c r="J2433" s="10"/>
      <c r="K2433" s="10" t="str">
        <f>"PFES1162563863_0004"</f>
        <v>PFES1162563863_0004</v>
      </c>
      <c r="L2433" s="10">
        <v>6</v>
      </c>
      <c r="M2433" s="10">
        <v>19</v>
      </c>
    </row>
    <row r="2434" spans="1:13">
      <c r="A2434" s="8">
        <v>42936</v>
      </c>
      <c r="B2434" s="9">
        <v>0.60069444444444442</v>
      </c>
      <c r="C2434" s="10" t="str">
        <f t="shared" si="101"/>
        <v>FES1162563863</v>
      </c>
      <c r="D2434" s="10" t="s">
        <v>19</v>
      </c>
      <c r="E2434" s="10" t="s">
        <v>1007</v>
      </c>
      <c r="F2434" s="10" t="str">
        <f t="shared" si="102"/>
        <v xml:space="preserve">2170580385 </v>
      </c>
      <c r="G2434" s="10" t="str">
        <f t="shared" si="103"/>
        <v>DBC</v>
      </c>
      <c r="H2434" s="10" t="s">
        <v>21</v>
      </c>
      <c r="I2434" s="10" t="s">
        <v>36</v>
      </c>
      <c r="J2434" s="10"/>
      <c r="K2434" s="10" t="str">
        <f>"PFES1162563863_0005"</f>
        <v>PFES1162563863_0005</v>
      </c>
      <c r="L2434" s="10">
        <v>6</v>
      </c>
      <c r="M2434" s="10">
        <v>19</v>
      </c>
    </row>
    <row r="2435" spans="1:13">
      <c r="A2435" s="8">
        <v>42936</v>
      </c>
      <c r="B2435" s="9">
        <v>0.60069444444444442</v>
      </c>
      <c r="C2435" s="10" t="str">
        <f t="shared" si="101"/>
        <v>FES1162563863</v>
      </c>
      <c r="D2435" s="10" t="s">
        <v>19</v>
      </c>
      <c r="E2435" s="10" t="s">
        <v>1007</v>
      </c>
      <c r="F2435" s="10" t="str">
        <f t="shared" si="102"/>
        <v xml:space="preserve">2170580385 </v>
      </c>
      <c r="G2435" s="10" t="str">
        <f t="shared" si="103"/>
        <v>DBC</v>
      </c>
      <c r="H2435" s="10" t="s">
        <v>21</v>
      </c>
      <c r="I2435" s="10" t="s">
        <v>36</v>
      </c>
      <c r="J2435" s="10"/>
      <c r="K2435" s="10" t="str">
        <f>"PFES1162563863_0006"</f>
        <v>PFES1162563863_0006</v>
      </c>
      <c r="L2435" s="10">
        <v>6</v>
      </c>
      <c r="M2435" s="10">
        <v>19</v>
      </c>
    </row>
    <row r="2436" spans="1:13">
      <c r="A2436" s="8">
        <v>42936</v>
      </c>
      <c r="B2436" s="9">
        <v>0.59513888888888888</v>
      </c>
      <c r="C2436" s="10" t="str">
        <f>"FES1162563820"</f>
        <v>FES1162563820</v>
      </c>
      <c r="D2436" s="10" t="s">
        <v>19</v>
      </c>
      <c r="E2436" s="10" t="s">
        <v>178</v>
      </c>
      <c r="F2436" s="10" t="str">
        <f>"217058034 "</f>
        <v xml:space="preserve">217058034 </v>
      </c>
      <c r="G2436" s="10" t="str">
        <f>"ON1"</f>
        <v>ON1</v>
      </c>
      <c r="H2436" s="10" t="s">
        <v>21</v>
      </c>
      <c r="I2436" s="10" t="s">
        <v>179</v>
      </c>
      <c r="J2436" s="10" t="str">
        <f>""</f>
        <v/>
      </c>
      <c r="K2436" s="10" t="str">
        <f>"PFES1162563820_0001"</f>
        <v>PFES1162563820_0001</v>
      </c>
      <c r="L2436" s="10">
        <v>1</v>
      </c>
      <c r="M2436" s="10">
        <v>1</v>
      </c>
    </row>
    <row r="2437" spans="1:13">
      <c r="A2437" s="8">
        <v>42936</v>
      </c>
      <c r="B2437" s="9">
        <v>0.59513888888888888</v>
      </c>
      <c r="C2437" s="10" t="str">
        <f>"FES1162563885"</f>
        <v>FES1162563885</v>
      </c>
      <c r="D2437" s="10" t="s">
        <v>19</v>
      </c>
      <c r="E2437" s="10" t="s">
        <v>535</v>
      </c>
      <c r="F2437" s="10" t="str">
        <f>"2170580410 "</f>
        <v xml:space="preserve">2170580410 </v>
      </c>
      <c r="G2437" s="10" t="str">
        <f>"ON1"</f>
        <v>ON1</v>
      </c>
      <c r="H2437" s="10" t="s">
        <v>21</v>
      </c>
      <c r="I2437" s="10" t="s">
        <v>240</v>
      </c>
      <c r="J2437" s="10" t="str">
        <f>""</f>
        <v/>
      </c>
      <c r="K2437" s="10" t="str">
        <f>"PFES1162563885_0001"</f>
        <v>PFES1162563885_0001</v>
      </c>
      <c r="L2437" s="10">
        <v>1</v>
      </c>
      <c r="M2437" s="10">
        <v>7</v>
      </c>
    </row>
    <row r="2438" spans="1:13">
      <c r="A2438" s="8">
        <v>42936</v>
      </c>
      <c r="B2438" s="9">
        <v>0.59444444444444444</v>
      </c>
      <c r="C2438" s="10" t="str">
        <f>"FES1162563852"</f>
        <v>FES1162563852</v>
      </c>
      <c r="D2438" s="10" t="s">
        <v>19</v>
      </c>
      <c r="E2438" s="10" t="s">
        <v>41</v>
      </c>
      <c r="F2438" s="10" t="str">
        <f>"2170580372 "</f>
        <v xml:space="preserve">2170580372 </v>
      </c>
      <c r="G2438" s="10" t="str">
        <f>"ON1"</f>
        <v>ON1</v>
      </c>
      <c r="H2438" s="10" t="s">
        <v>21</v>
      </c>
      <c r="I2438" s="10" t="s">
        <v>42</v>
      </c>
      <c r="J2438" s="10" t="str">
        <f>""</f>
        <v/>
      </c>
      <c r="K2438" s="10" t="str">
        <f>"PFES1162563852_0001"</f>
        <v>PFES1162563852_0001</v>
      </c>
      <c r="L2438" s="10">
        <v>1</v>
      </c>
      <c r="M2438" s="10">
        <v>8</v>
      </c>
    </row>
    <row r="2439" spans="1:13">
      <c r="A2439" s="8">
        <v>42936</v>
      </c>
      <c r="B2439" s="9">
        <v>0.59444444444444444</v>
      </c>
      <c r="C2439" s="10" t="str">
        <f>"FES1162563773"</f>
        <v>FES1162563773</v>
      </c>
      <c r="D2439" s="10" t="s">
        <v>19</v>
      </c>
      <c r="E2439" s="10" t="s">
        <v>643</v>
      </c>
      <c r="F2439" s="10" t="str">
        <f>"2170579775 "</f>
        <v xml:space="preserve">2170579775 </v>
      </c>
      <c r="G2439" s="10" t="str">
        <f>"ON1"</f>
        <v>ON1</v>
      </c>
      <c r="H2439" s="10" t="s">
        <v>21</v>
      </c>
      <c r="I2439" s="10" t="s">
        <v>185</v>
      </c>
      <c r="J2439" s="10" t="str">
        <f>""</f>
        <v/>
      </c>
      <c r="K2439" s="10" t="str">
        <f>"PFES1162563773_0001"</f>
        <v>PFES1162563773_0001</v>
      </c>
      <c r="L2439" s="10">
        <v>1</v>
      </c>
      <c r="M2439" s="10">
        <v>3</v>
      </c>
    </row>
    <row r="2440" spans="1:13">
      <c r="A2440" s="8">
        <v>42936</v>
      </c>
      <c r="B2440" s="9">
        <v>0.59375</v>
      </c>
      <c r="C2440" s="10" t="str">
        <f>"FES1162563789"</f>
        <v>FES1162563789</v>
      </c>
      <c r="D2440" s="10" t="s">
        <v>19</v>
      </c>
      <c r="E2440" s="10" t="s">
        <v>308</v>
      </c>
      <c r="F2440" s="10" t="str">
        <f>"2170580310 "</f>
        <v xml:space="preserve">2170580310 </v>
      </c>
      <c r="G2440" s="10" t="str">
        <f>"DBC"</f>
        <v>DBC</v>
      </c>
      <c r="H2440" s="10" t="s">
        <v>21</v>
      </c>
      <c r="I2440" s="10" t="s">
        <v>1008</v>
      </c>
      <c r="J2440" s="10" t="str">
        <f>""</f>
        <v/>
      </c>
      <c r="K2440" s="10" t="str">
        <f>"PFES1162563789_0001"</f>
        <v>PFES1162563789_0001</v>
      </c>
      <c r="L2440" s="10">
        <v>2</v>
      </c>
      <c r="M2440" s="10">
        <v>30</v>
      </c>
    </row>
    <row r="2441" spans="1:13">
      <c r="A2441" s="8">
        <v>42936</v>
      </c>
      <c r="B2441" s="9">
        <v>0.59375</v>
      </c>
      <c r="C2441" s="10" t="str">
        <f>"FES1162563789"</f>
        <v>FES1162563789</v>
      </c>
      <c r="D2441" s="10" t="s">
        <v>19</v>
      </c>
      <c r="E2441" s="10" t="s">
        <v>308</v>
      </c>
      <c r="F2441" s="10" t="str">
        <f>"2170580310 "</f>
        <v xml:space="preserve">2170580310 </v>
      </c>
      <c r="G2441" s="10" t="str">
        <f>"DBC"</f>
        <v>DBC</v>
      </c>
      <c r="H2441" s="10" t="s">
        <v>21</v>
      </c>
      <c r="I2441" s="10" t="s">
        <v>1008</v>
      </c>
      <c r="J2441" s="10"/>
      <c r="K2441" s="10" t="str">
        <f>"PFES1162563789_0002"</f>
        <v>PFES1162563789_0002</v>
      </c>
      <c r="L2441" s="10">
        <v>2</v>
      </c>
      <c r="M2441" s="10">
        <v>30</v>
      </c>
    </row>
    <row r="2442" spans="1:13">
      <c r="A2442" s="8">
        <v>42936</v>
      </c>
      <c r="B2442" s="9">
        <v>0.57847222222222217</v>
      </c>
      <c r="C2442" s="10" t="str">
        <f>"FES1162563710"</f>
        <v>FES1162563710</v>
      </c>
      <c r="D2442" s="10" t="s">
        <v>19</v>
      </c>
      <c r="E2442" s="10" t="s">
        <v>527</v>
      </c>
      <c r="F2442" s="10" t="str">
        <f>"2170578867 "</f>
        <v xml:space="preserve">2170578867 </v>
      </c>
      <c r="G2442" s="10" t="str">
        <f>"ON1"</f>
        <v>ON1</v>
      </c>
      <c r="H2442" s="10" t="s">
        <v>21</v>
      </c>
      <c r="I2442" s="10" t="s">
        <v>217</v>
      </c>
      <c r="J2442" s="10" t="str">
        <f>""</f>
        <v/>
      </c>
      <c r="K2442" s="10" t="str">
        <f>"PFES1162563710_0001"</f>
        <v>PFES1162563710_0001</v>
      </c>
      <c r="L2442" s="10">
        <v>1</v>
      </c>
      <c r="M2442" s="10">
        <v>6</v>
      </c>
    </row>
    <row r="2443" spans="1:13">
      <c r="A2443" s="8">
        <v>42936</v>
      </c>
      <c r="B2443" s="9">
        <v>0.57777777777777783</v>
      </c>
      <c r="C2443" s="10" t="str">
        <f>"FES1162563873"</f>
        <v>FES1162563873</v>
      </c>
      <c r="D2443" s="10" t="s">
        <v>19</v>
      </c>
      <c r="E2443" s="10" t="s">
        <v>441</v>
      </c>
      <c r="F2443" s="10" t="str">
        <f>"2170576737 "</f>
        <v xml:space="preserve">2170576737 </v>
      </c>
      <c r="G2443" s="10" t="str">
        <f>"DBC"</f>
        <v>DBC</v>
      </c>
      <c r="H2443" s="10" t="s">
        <v>21</v>
      </c>
      <c r="I2443" s="10" t="s">
        <v>166</v>
      </c>
      <c r="J2443" s="10" t="str">
        <f>""</f>
        <v/>
      </c>
      <c r="K2443" s="10" t="str">
        <f>"PFES1162563873_0001"</f>
        <v>PFES1162563873_0001</v>
      </c>
      <c r="L2443" s="10">
        <v>2</v>
      </c>
      <c r="M2443" s="10">
        <v>22</v>
      </c>
    </row>
    <row r="2444" spans="1:13">
      <c r="A2444" s="8">
        <v>42936</v>
      </c>
      <c r="B2444" s="9">
        <v>0.57777777777777783</v>
      </c>
      <c r="C2444" s="10" t="str">
        <f>"FES1162563873"</f>
        <v>FES1162563873</v>
      </c>
      <c r="D2444" s="10" t="s">
        <v>19</v>
      </c>
      <c r="E2444" s="10" t="s">
        <v>441</v>
      </c>
      <c r="F2444" s="10" t="str">
        <f>"2170576737 "</f>
        <v xml:space="preserve">2170576737 </v>
      </c>
      <c r="G2444" s="10" t="str">
        <f>"DBC"</f>
        <v>DBC</v>
      </c>
      <c r="H2444" s="10" t="s">
        <v>21</v>
      </c>
      <c r="I2444" s="10" t="s">
        <v>166</v>
      </c>
      <c r="J2444" s="10"/>
      <c r="K2444" s="10" t="str">
        <f>"PFES1162563873_0002"</f>
        <v>PFES1162563873_0002</v>
      </c>
      <c r="L2444" s="10">
        <v>2</v>
      </c>
      <c r="M2444" s="10">
        <v>22</v>
      </c>
    </row>
    <row r="2445" spans="1:13">
      <c r="A2445" s="8">
        <v>42936</v>
      </c>
      <c r="B2445" s="9">
        <v>0.57777777777777783</v>
      </c>
      <c r="C2445" s="10" t="str">
        <f>"FES1162563881"</f>
        <v>FES1162563881</v>
      </c>
      <c r="D2445" s="10" t="s">
        <v>19</v>
      </c>
      <c r="E2445" s="10" t="s">
        <v>78</v>
      </c>
      <c r="F2445" s="10" t="str">
        <f>"217058040 "</f>
        <v xml:space="preserve">217058040 </v>
      </c>
      <c r="G2445" s="10" t="str">
        <f t="shared" ref="G2445:G2451" si="104">"ON1"</f>
        <v>ON1</v>
      </c>
      <c r="H2445" s="10" t="s">
        <v>21</v>
      </c>
      <c r="I2445" s="10" t="s">
        <v>79</v>
      </c>
      <c r="J2445" s="10" t="str">
        <f>""</f>
        <v/>
      </c>
      <c r="K2445" s="10" t="str">
        <f>"PFES1162563881_0001"</f>
        <v>PFES1162563881_0001</v>
      </c>
      <c r="L2445" s="10">
        <v>1</v>
      </c>
      <c r="M2445" s="10">
        <v>1</v>
      </c>
    </row>
    <row r="2446" spans="1:13">
      <c r="A2446" s="8">
        <v>42936</v>
      </c>
      <c r="B2446" s="9">
        <v>0.57708333333333328</v>
      </c>
      <c r="C2446" s="10" t="str">
        <f>"FES1162563882"</f>
        <v>FES1162563882</v>
      </c>
      <c r="D2446" s="10" t="s">
        <v>19</v>
      </c>
      <c r="E2446" s="10" t="s">
        <v>277</v>
      </c>
      <c r="F2446" s="10" t="str">
        <f>"21705780407 "</f>
        <v xml:space="preserve">21705780407 </v>
      </c>
      <c r="G2446" s="10" t="str">
        <f t="shared" si="104"/>
        <v>ON1</v>
      </c>
      <c r="H2446" s="10" t="s">
        <v>21</v>
      </c>
      <c r="I2446" s="10" t="s">
        <v>234</v>
      </c>
      <c r="J2446" s="10" t="str">
        <f>""</f>
        <v/>
      </c>
      <c r="K2446" s="10" t="str">
        <f>"PFES1162563882_0001"</f>
        <v>PFES1162563882_0001</v>
      </c>
      <c r="L2446" s="10">
        <v>1</v>
      </c>
      <c r="M2446" s="10">
        <v>1</v>
      </c>
    </row>
    <row r="2447" spans="1:13">
      <c r="A2447" s="8">
        <v>42936</v>
      </c>
      <c r="B2447" s="9">
        <v>0.57708333333333328</v>
      </c>
      <c r="C2447" s="10" t="str">
        <f>"FES1162563871"</f>
        <v>FES1162563871</v>
      </c>
      <c r="D2447" s="10" t="s">
        <v>19</v>
      </c>
      <c r="E2447" s="10" t="s">
        <v>99</v>
      </c>
      <c r="F2447" s="10" t="str">
        <f>"2170574389 "</f>
        <v xml:space="preserve">2170574389 </v>
      </c>
      <c r="G2447" s="10" t="str">
        <f t="shared" si="104"/>
        <v>ON1</v>
      </c>
      <c r="H2447" s="10" t="s">
        <v>21</v>
      </c>
      <c r="I2447" s="10" t="s">
        <v>100</v>
      </c>
      <c r="J2447" s="10" t="str">
        <f>""</f>
        <v/>
      </c>
      <c r="K2447" s="10" t="str">
        <f>"PFES1162563871_0001"</f>
        <v>PFES1162563871_0001</v>
      </c>
      <c r="L2447" s="10">
        <v>1</v>
      </c>
      <c r="M2447" s="10">
        <v>3</v>
      </c>
    </row>
    <row r="2448" spans="1:13">
      <c r="A2448" s="8">
        <v>42936</v>
      </c>
      <c r="B2448" s="9">
        <v>0.57638888888888895</v>
      </c>
      <c r="C2448" s="10" t="str">
        <f>"FES1162563884"</f>
        <v>FES1162563884</v>
      </c>
      <c r="D2448" s="10" t="s">
        <v>19</v>
      </c>
      <c r="E2448" s="10" t="s">
        <v>549</v>
      </c>
      <c r="F2448" s="10" t="str">
        <f>"2170579890 "</f>
        <v xml:space="preserve">2170579890 </v>
      </c>
      <c r="G2448" s="10" t="str">
        <f t="shared" si="104"/>
        <v>ON1</v>
      </c>
      <c r="H2448" s="10" t="s">
        <v>21</v>
      </c>
      <c r="I2448" s="10" t="s">
        <v>224</v>
      </c>
      <c r="J2448" s="10" t="str">
        <f>""</f>
        <v/>
      </c>
      <c r="K2448" s="10" t="str">
        <f>"PFES1162563884_0001"</f>
        <v>PFES1162563884_0001</v>
      </c>
      <c r="L2448" s="10">
        <v>1</v>
      </c>
      <c r="M2448" s="10">
        <v>2</v>
      </c>
    </row>
    <row r="2449" spans="1:13">
      <c r="A2449" s="8">
        <v>42936</v>
      </c>
      <c r="B2449" s="9">
        <v>0.5756944444444444</v>
      </c>
      <c r="C2449" s="10" t="str">
        <f>"FES1162563755"</f>
        <v>FES1162563755</v>
      </c>
      <c r="D2449" s="10" t="s">
        <v>19</v>
      </c>
      <c r="E2449" s="10" t="s">
        <v>1009</v>
      </c>
      <c r="F2449" s="10" t="str">
        <f>"217058026 "</f>
        <v xml:space="preserve">217058026 </v>
      </c>
      <c r="G2449" s="10" t="str">
        <f t="shared" si="104"/>
        <v>ON1</v>
      </c>
      <c r="H2449" s="10" t="s">
        <v>21</v>
      </c>
      <c r="I2449" s="10" t="s">
        <v>775</v>
      </c>
      <c r="J2449" s="10" t="str">
        <f>""</f>
        <v/>
      </c>
      <c r="K2449" s="10" t="str">
        <f>"PFES1162563755_0001"</f>
        <v>PFES1162563755_0001</v>
      </c>
      <c r="L2449" s="10">
        <v>1</v>
      </c>
      <c r="M2449" s="10">
        <v>2</v>
      </c>
    </row>
    <row r="2450" spans="1:13">
      <c r="A2450" s="8">
        <v>42936</v>
      </c>
      <c r="B2450" s="9">
        <v>0.5756944444444444</v>
      </c>
      <c r="C2450" s="10" t="str">
        <f>"FES1162563764"</f>
        <v>FES1162563764</v>
      </c>
      <c r="D2450" s="10" t="s">
        <v>19</v>
      </c>
      <c r="E2450" s="10" t="s">
        <v>1010</v>
      </c>
      <c r="F2450" s="10" t="str">
        <f>"2170579706 "</f>
        <v xml:space="preserve">2170579706 </v>
      </c>
      <c r="G2450" s="10" t="str">
        <f t="shared" si="104"/>
        <v>ON1</v>
      </c>
      <c r="H2450" s="10" t="s">
        <v>21</v>
      </c>
      <c r="I2450" s="10" t="s">
        <v>455</v>
      </c>
      <c r="J2450" s="10" t="str">
        <f>""</f>
        <v/>
      </c>
      <c r="K2450" s="10" t="str">
        <f>"PFES1162563764_0001"</f>
        <v>PFES1162563764_0001</v>
      </c>
      <c r="L2450" s="10">
        <v>1</v>
      </c>
      <c r="M2450" s="10">
        <v>3</v>
      </c>
    </row>
    <row r="2451" spans="1:13">
      <c r="A2451" s="8">
        <v>42936</v>
      </c>
      <c r="B2451" s="9">
        <v>0.57430555555555551</v>
      </c>
      <c r="C2451" s="10" t="str">
        <f>"FES1162563767"</f>
        <v>FES1162563767</v>
      </c>
      <c r="D2451" s="10" t="s">
        <v>19</v>
      </c>
      <c r="E2451" s="10" t="s">
        <v>99</v>
      </c>
      <c r="F2451" s="10" t="str">
        <f>"2170580277 "</f>
        <v xml:space="preserve">2170580277 </v>
      </c>
      <c r="G2451" s="10" t="str">
        <f t="shared" si="104"/>
        <v>ON1</v>
      </c>
      <c r="H2451" s="10" t="s">
        <v>21</v>
      </c>
      <c r="I2451" s="10" t="s">
        <v>100</v>
      </c>
      <c r="J2451" s="10" t="str">
        <f>""</f>
        <v/>
      </c>
      <c r="K2451" s="10" t="str">
        <f>"PFES1162563767_0001"</f>
        <v>PFES1162563767_0001</v>
      </c>
      <c r="L2451" s="10">
        <v>1</v>
      </c>
      <c r="M2451" s="10">
        <v>2</v>
      </c>
    </row>
    <row r="2452" spans="1:13">
      <c r="A2452" s="8">
        <v>42936</v>
      </c>
      <c r="B2452" s="9">
        <v>0.57291666666666663</v>
      </c>
      <c r="C2452" s="10" t="str">
        <f>"FES1162563695"</f>
        <v>FES1162563695</v>
      </c>
      <c r="D2452" s="10" t="s">
        <v>19</v>
      </c>
      <c r="E2452" s="10" t="s">
        <v>619</v>
      </c>
      <c r="F2452" s="10" t="str">
        <f>"2170575050 "</f>
        <v xml:space="preserve">2170575050 </v>
      </c>
      <c r="G2452" s="10" t="str">
        <f>"DBC"</f>
        <v>DBC</v>
      </c>
      <c r="H2452" s="10" t="s">
        <v>21</v>
      </c>
      <c r="I2452" s="10" t="s">
        <v>620</v>
      </c>
      <c r="J2452" s="10" t="str">
        <f>""</f>
        <v/>
      </c>
      <c r="K2452" s="10" t="str">
        <f>"PFES1162563695_0001"</f>
        <v>PFES1162563695_0001</v>
      </c>
      <c r="L2452" s="10">
        <v>4</v>
      </c>
      <c r="M2452" s="10">
        <v>35</v>
      </c>
    </row>
    <row r="2453" spans="1:13">
      <c r="A2453" s="8">
        <v>42936</v>
      </c>
      <c r="B2453" s="9">
        <v>0.57291666666666663</v>
      </c>
      <c r="C2453" s="10" t="str">
        <f>"FES1162563695"</f>
        <v>FES1162563695</v>
      </c>
      <c r="D2453" s="10" t="s">
        <v>19</v>
      </c>
      <c r="E2453" s="10" t="s">
        <v>619</v>
      </c>
      <c r="F2453" s="10" t="str">
        <f t="shared" ref="F2453:F2455" si="105">"2170575050 "</f>
        <v xml:space="preserve">2170575050 </v>
      </c>
      <c r="G2453" s="10" t="str">
        <f t="shared" ref="G2453:G2455" si="106">"DBC"</f>
        <v>DBC</v>
      </c>
      <c r="H2453" s="10" t="s">
        <v>21</v>
      </c>
      <c r="I2453" s="10" t="s">
        <v>620</v>
      </c>
      <c r="J2453" s="10"/>
      <c r="K2453" s="10" t="str">
        <f>"PFES1162563695_0002"</f>
        <v>PFES1162563695_0002</v>
      </c>
      <c r="L2453" s="10">
        <v>4</v>
      </c>
      <c r="M2453" s="10">
        <v>35</v>
      </c>
    </row>
    <row r="2454" spans="1:13">
      <c r="A2454" s="8">
        <v>42936</v>
      </c>
      <c r="B2454" s="9">
        <v>0.57291666666666663</v>
      </c>
      <c r="C2454" s="10" t="str">
        <f>"FES1162563695"</f>
        <v>FES1162563695</v>
      </c>
      <c r="D2454" s="10" t="s">
        <v>19</v>
      </c>
      <c r="E2454" s="10" t="s">
        <v>619</v>
      </c>
      <c r="F2454" s="10" t="str">
        <f t="shared" si="105"/>
        <v xml:space="preserve">2170575050 </v>
      </c>
      <c r="G2454" s="10" t="str">
        <f t="shared" si="106"/>
        <v>DBC</v>
      </c>
      <c r="H2454" s="10" t="s">
        <v>21</v>
      </c>
      <c r="I2454" s="10" t="s">
        <v>620</v>
      </c>
      <c r="J2454" s="10"/>
      <c r="K2454" s="10" t="str">
        <f>"PFES1162563695_0003"</f>
        <v>PFES1162563695_0003</v>
      </c>
      <c r="L2454" s="10">
        <v>4</v>
      </c>
      <c r="M2454" s="10">
        <v>35</v>
      </c>
    </row>
    <row r="2455" spans="1:13">
      <c r="A2455" s="8">
        <v>42936</v>
      </c>
      <c r="B2455" s="9">
        <v>0.57291666666666663</v>
      </c>
      <c r="C2455" s="10" t="str">
        <f>"FES1162563695"</f>
        <v>FES1162563695</v>
      </c>
      <c r="D2455" s="10" t="s">
        <v>19</v>
      </c>
      <c r="E2455" s="10" t="s">
        <v>619</v>
      </c>
      <c r="F2455" s="10" t="str">
        <f t="shared" si="105"/>
        <v xml:space="preserve">2170575050 </v>
      </c>
      <c r="G2455" s="10" t="str">
        <f t="shared" si="106"/>
        <v>DBC</v>
      </c>
      <c r="H2455" s="10" t="s">
        <v>21</v>
      </c>
      <c r="I2455" s="10" t="s">
        <v>620</v>
      </c>
      <c r="J2455" s="10"/>
      <c r="K2455" s="10" t="str">
        <f>"PFES1162563695_0004"</f>
        <v>PFES1162563695_0004</v>
      </c>
      <c r="L2455" s="10">
        <v>4</v>
      </c>
      <c r="M2455" s="10">
        <v>35</v>
      </c>
    </row>
    <row r="2456" spans="1:13">
      <c r="A2456" s="8">
        <v>42936</v>
      </c>
      <c r="B2456" s="9">
        <v>0.57291666666666663</v>
      </c>
      <c r="C2456" s="10" t="str">
        <f>"FES1162563839"</f>
        <v>FES1162563839</v>
      </c>
      <c r="D2456" s="10" t="s">
        <v>19</v>
      </c>
      <c r="E2456" s="10" t="s">
        <v>49</v>
      </c>
      <c r="F2456" s="10" t="str">
        <f>"2170569938 "</f>
        <v xml:space="preserve">2170569938 </v>
      </c>
      <c r="G2456" s="10" t="str">
        <f>"ON1"</f>
        <v>ON1</v>
      </c>
      <c r="H2456" s="10" t="s">
        <v>21</v>
      </c>
      <c r="I2456" s="10" t="s">
        <v>50</v>
      </c>
      <c r="J2456" s="10" t="str">
        <f>""</f>
        <v/>
      </c>
      <c r="K2456" s="10" t="str">
        <f>"PFES1162563839_0001"</f>
        <v>PFES1162563839_0001</v>
      </c>
      <c r="L2456" s="10">
        <v>2</v>
      </c>
      <c r="M2456" s="10">
        <v>6</v>
      </c>
    </row>
    <row r="2457" spans="1:13">
      <c r="A2457" s="8">
        <v>42936</v>
      </c>
      <c r="B2457" s="9">
        <v>0.57291666666666663</v>
      </c>
      <c r="C2457" s="10" t="str">
        <f>"FES1162563839"</f>
        <v>FES1162563839</v>
      </c>
      <c r="D2457" s="10" t="s">
        <v>19</v>
      </c>
      <c r="E2457" s="10" t="s">
        <v>49</v>
      </c>
      <c r="F2457" s="10" t="str">
        <f>"2170569938 "</f>
        <v xml:space="preserve">2170569938 </v>
      </c>
      <c r="G2457" s="10" t="str">
        <f>"ON1"</f>
        <v>ON1</v>
      </c>
      <c r="H2457" s="10" t="s">
        <v>21</v>
      </c>
      <c r="I2457" s="10" t="s">
        <v>50</v>
      </c>
      <c r="J2457" s="10"/>
      <c r="K2457" s="10" t="str">
        <f>"PFES1162563839_0002"</f>
        <v>PFES1162563839_0002</v>
      </c>
      <c r="L2457" s="10">
        <v>2</v>
      </c>
      <c r="M2457" s="10">
        <v>6</v>
      </c>
    </row>
    <row r="2458" spans="1:13">
      <c r="A2458" s="8">
        <v>42936</v>
      </c>
      <c r="B2458" s="9">
        <v>0.57222222222222219</v>
      </c>
      <c r="C2458" s="10" t="str">
        <f>"FES1162563794"</f>
        <v>FES1162563794</v>
      </c>
      <c r="D2458" s="10" t="s">
        <v>19</v>
      </c>
      <c r="E2458" s="10" t="s">
        <v>99</v>
      </c>
      <c r="F2458" s="10" t="str">
        <f>"217058315 "</f>
        <v xml:space="preserve">217058315 </v>
      </c>
      <c r="G2458" s="10" t="str">
        <f t="shared" ref="G2458:G2465" si="107">"ON1"</f>
        <v>ON1</v>
      </c>
      <c r="H2458" s="10" t="s">
        <v>21</v>
      </c>
      <c r="I2458" s="10" t="s">
        <v>100</v>
      </c>
      <c r="J2458" s="10" t="str">
        <f>""</f>
        <v/>
      </c>
      <c r="K2458" s="10" t="str">
        <f>"PFES1162563794_0001"</f>
        <v>PFES1162563794_0001</v>
      </c>
      <c r="L2458" s="10">
        <v>1</v>
      </c>
      <c r="M2458" s="10">
        <v>1</v>
      </c>
    </row>
    <row r="2459" spans="1:13">
      <c r="A2459" s="8">
        <v>42936</v>
      </c>
      <c r="B2459" s="9">
        <v>0.57222222222222219</v>
      </c>
      <c r="C2459" s="10" t="str">
        <f>"FES1162563776"</f>
        <v>FES1162563776</v>
      </c>
      <c r="D2459" s="10" t="s">
        <v>19</v>
      </c>
      <c r="E2459" s="10" t="s">
        <v>481</v>
      </c>
      <c r="F2459" s="10" t="str">
        <f>"2170580283 "</f>
        <v xml:space="preserve">2170580283 </v>
      </c>
      <c r="G2459" s="10" t="str">
        <f t="shared" si="107"/>
        <v>ON1</v>
      </c>
      <c r="H2459" s="10" t="s">
        <v>21</v>
      </c>
      <c r="I2459" s="10" t="s">
        <v>24</v>
      </c>
      <c r="J2459" s="10" t="str">
        <f>""</f>
        <v/>
      </c>
      <c r="K2459" s="10" t="str">
        <f>"PFES1162563776_0001"</f>
        <v>PFES1162563776_0001</v>
      </c>
      <c r="L2459" s="10">
        <v>1</v>
      </c>
      <c r="M2459" s="10">
        <v>1</v>
      </c>
    </row>
    <row r="2460" spans="1:13">
      <c r="A2460" s="8">
        <v>42936</v>
      </c>
      <c r="B2460" s="9">
        <v>0.57152777777777775</v>
      </c>
      <c r="C2460" s="10" t="str">
        <f>"FES1162563705"</f>
        <v>FES1162563705</v>
      </c>
      <c r="D2460" s="10" t="s">
        <v>19</v>
      </c>
      <c r="E2460" s="10" t="s">
        <v>485</v>
      </c>
      <c r="F2460" s="10" t="str">
        <f>"217058151 "</f>
        <v xml:space="preserve">217058151 </v>
      </c>
      <c r="G2460" s="10" t="str">
        <f t="shared" si="107"/>
        <v>ON1</v>
      </c>
      <c r="H2460" s="10" t="s">
        <v>21</v>
      </c>
      <c r="I2460" s="10" t="s">
        <v>90</v>
      </c>
      <c r="J2460" s="10" t="str">
        <f>""</f>
        <v/>
      </c>
      <c r="K2460" s="10" t="str">
        <f>"PFES1162563705_0001"</f>
        <v>PFES1162563705_0001</v>
      </c>
      <c r="L2460" s="10">
        <v>1</v>
      </c>
      <c r="M2460" s="10">
        <v>1</v>
      </c>
    </row>
    <row r="2461" spans="1:13">
      <c r="A2461" s="8">
        <v>42936</v>
      </c>
      <c r="B2461" s="9">
        <v>0.57152777777777775</v>
      </c>
      <c r="C2461" s="10" t="str">
        <f>"FES1162563735"</f>
        <v>FES1162563735</v>
      </c>
      <c r="D2461" s="10" t="s">
        <v>19</v>
      </c>
      <c r="E2461" s="10" t="s">
        <v>210</v>
      </c>
      <c r="F2461" s="10" t="str">
        <f>"2170580244 "</f>
        <v xml:space="preserve">2170580244 </v>
      </c>
      <c r="G2461" s="10" t="str">
        <f t="shared" si="107"/>
        <v>ON1</v>
      </c>
      <c r="H2461" s="10" t="s">
        <v>21</v>
      </c>
      <c r="I2461" s="10" t="s">
        <v>32</v>
      </c>
      <c r="J2461" s="10" t="str">
        <f>""</f>
        <v/>
      </c>
      <c r="K2461" s="10" t="str">
        <f>"PFES1162563735_0001"</f>
        <v>PFES1162563735_0001</v>
      </c>
      <c r="L2461" s="10">
        <v>1</v>
      </c>
      <c r="M2461" s="10">
        <v>1</v>
      </c>
    </row>
    <row r="2462" spans="1:13">
      <c r="A2462" s="8">
        <v>42936</v>
      </c>
      <c r="B2462" s="9">
        <v>0.56944444444444442</v>
      </c>
      <c r="C2462" s="10" t="str">
        <f>"FES1162563709"</f>
        <v>FES1162563709</v>
      </c>
      <c r="D2462" s="10" t="s">
        <v>19</v>
      </c>
      <c r="E2462" s="10" t="s">
        <v>1011</v>
      </c>
      <c r="F2462" s="10" t="str">
        <f>"2170578368 "</f>
        <v xml:space="preserve">2170578368 </v>
      </c>
      <c r="G2462" s="10" t="str">
        <f t="shared" si="107"/>
        <v>ON1</v>
      </c>
      <c r="H2462" s="10" t="s">
        <v>21</v>
      </c>
      <c r="I2462" s="10" t="s">
        <v>183</v>
      </c>
      <c r="J2462" s="10" t="str">
        <f>""</f>
        <v/>
      </c>
      <c r="K2462" s="10" t="str">
        <f>"PFES1162563709_0001"</f>
        <v>PFES1162563709_0001</v>
      </c>
      <c r="L2462" s="10">
        <v>1</v>
      </c>
      <c r="M2462" s="10">
        <v>1</v>
      </c>
    </row>
    <row r="2463" spans="1:13">
      <c r="A2463" s="8">
        <v>42936</v>
      </c>
      <c r="B2463" s="9">
        <v>0.56944444444444442</v>
      </c>
      <c r="C2463" s="10" t="str">
        <f>"FES1162563749"</f>
        <v>FES1162563749</v>
      </c>
      <c r="D2463" s="10" t="s">
        <v>19</v>
      </c>
      <c r="E2463" s="10" t="s">
        <v>459</v>
      </c>
      <c r="F2463" s="10" t="str">
        <f>"2170580183 "</f>
        <v xml:space="preserve">2170580183 </v>
      </c>
      <c r="G2463" s="10" t="str">
        <f t="shared" si="107"/>
        <v>ON1</v>
      </c>
      <c r="H2463" s="10" t="s">
        <v>21</v>
      </c>
      <c r="I2463" s="10" t="s">
        <v>330</v>
      </c>
      <c r="J2463" s="10" t="str">
        <f>""</f>
        <v/>
      </c>
      <c r="K2463" s="10" t="str">
        <f>"PFES1162563749_0001"</f>
        <v>PFES1162563749_0001</v>
      </c>
      <c r="L2463" s="10">
        <v>1</v>
      </c>
      <c r="M2463" s="10">
        <v>1</v>
      </c>
    </row>
    <row r="2464" spans="1:13">
      <c r="A2464" s="8">
        <v>42936</v>
      </c>
      <c r="B2464" s="9">
        <v>0.56874999999999998</v>
      </c>
      <c r="C2464" s="10" t="str">
        <f>"FES1162563876"</f>
        <v>FES1162563876</v>
      </c>
      <c r="D2464" s="10" t="s">
        <v>19</v>
      </c>
      <c r="E2464" s="10" t="s">
        <v>286</v>
      </c>
      <c r="F2464" s="10" t="str">
        <f>"2170580400 "</f>
        <v xml:space="preserve">2170580400 </v>
      </c>
      <c r="G2464" s="10" t="str">
        <f t="shared" si="107"/>
        <v>ON1</v>
      </c>
      <c r="H2464" s="10" t="s">
        <v>21</v>
      </c>
      <c r="I2464" s="10" t="s">
        <v>177</v>
      </c>
      <c r="J2464" s="10" t="str">
        <f>""</f>
        <v/>
      </c>
      <c r="K2464" s="10" t="str">
        <f>"PFES1162563876_0001"</f>
        <v>PFES1162563876_0001</v>
      </c>
      <c r="L2464" s="10">
        <v>1</v>
      </c>
      <c r="M2464" s="10">
        <v>1</v>
      </c>
    </row>
    <row r="2465" spans="1:13">
      <c r="A2465" s="8">
        <v>42936</v>
      </c>
      <c r="B2465" s="9">
        <v>0.56874999999999998</v>
      </c>
      <c r="C2465" s="10" t="str">
        <f>"FES1162563870"</f>
        <v>FES1162563870</v>
      </c>
      <c r="D2465" s="10" t="s">
        <v>19</v>
      </c>
      <c r="E2465" s="10" t="s">
        <v>904</v>
      </c>
      <c r="F2465" s="10" t="str">
        <f>"2170580394 "</f>
        <v xml:space="preserve">2170580394 </v>
      </c>
      <c r="G2465" s="10" t="str">
        <f t="shared" si="107"/>
        <v>ON1</v>
      </c>
      <c r="H2465" s="10" t="s">
        <v>21</v>
      </c>
      <c r="I2465" s="10" t="s">
        <v>138</v>
      </c>
      <c r="J2465" s="10" t="str">
        <f>""</f>
        <v/>
      </c>
      <c r="K2465" s="10" t="str">
        <f>"PFES1162563870_0001"</f>
        <v>PFES1162563870_0001</v>
      </c>
      <c r="L2465" s="10">
        <v>1</v>
      </c>
      <c r="M2465" s="10">
        <v>1.98</v>
      </c>
    </row>
    <row r="2466" spans="1:13">
      <c r="A2466" s="8">
        <v>42936</v>
      </c>
      <c r="B2466" s="9">
        <v>0.56805555555555554</v>
      </c>
      <c r="C2466" s="10" t="str">
        <f>"FES1162563857"</f>
        <v>FES1162563857</v>
      </c>
      <c r="D2466" s="10" t="s">
        <v>19</v>
      </c>
      <c r="E2466" s="10" t="s">
        <v>336</v>
      </c>
      <c r="F2466" s="10" t="str">
        <f>"2170580376 "</f>
        <v xml:space="preserve">2170580376 </v>
      </c>
      <c r="G2466" s="10" t="str">
        <f>"DBC"</f>
        <v>DBC</v>
      </c>
      <c r="H2466" s="10" t="s">
        <v>21</v>
      </c>
      <c r="I2466" s="10" t="s">
        <v>337</v>
      </c>
      <c r="J2466" s="10" t="str">
        <f>""</f>
        <v/>
      </c>
      <c r="K2466" s="10" t="str">
        <f>"PFES1162563857_0001"</f>
        <v>PFES1162563857_0001</v>
      </c>
      <c r="L2466" s="10">
        <v>1</v>
      </c>
      <c r="M2466" s="10">
        <v>25</v>
      </c>
    </row>
    <row r="2467" spans="1:13">
      <c r="A2467" s="8">
        <v>42936</v>
      </c>
      <c r="B2467" s="9">
        <v>0.56805555555555554</v>
      </c>
      <c r="C2467" s="10" t="str">
        <f>"FES1162563831"</f>
        <v>FES1162563831</v>
      </c>
      <c r="D2467" s="10" t="s">
        <v>19</v>
      </c>
      <c r="E2467" s="10" t="s">
        <v>76</v>
      </c>
      <c r="F2467" s="10" t="str">
        <f>"2170572763 "</f>
        <v xml:space="preserve">2170572763 </v>
      </c>
      <c r="G2467" s="10" t="str">
        <f t="shared" ref="G2467:G2530" si="108">"ON1"</f>
        <v>ON1</v>
      </c>
      <c r="H2467" s="10" t="s">
        <v>21</v>
      </c>
      <c r="I2467" s="10" t="s">
        <v>77</v>
      </c>
      <c r="J2467" s="10" t="str">
        <f>""</f>
        <v/>
      </c>
      <c r="K2467" s="10" t="str">
        <f>"PFES1162563831_0001"</f>
        <v>PFES1162563831_0001</v>
      </c>
      <c r="L2467" s="10">
        <v>1</v>
      </c>
      <c r="M2467" s="10">
        <v>4</v>
      </c>
    </row>
    <row r="2468" spans="1:13">
      <c r="A2468" s="8">
        <v>42936</v>
      </c>
      <c r="B2468" s="9">
        <v>0.56736111111111109</v>
      </c>
      <c r="C2468" s="10" t="str">
        <f>"FES1162563834"</f>
        <v>FES1162563834</v>
      </c>
      <c r="D2468" s="10" t="s">
        <v>19</v>
      </c>
      <c r="E2468" s="10" t="s">
        <v>255</v>
      </c>
      <c r="F2468" s="10" t="str">
        <f>"2170580356 "</f>
        <v xml:space="preserve">2170580356 </v>
      </c>
      <c r="G2468" s="10" t="str">
        <f t="shared" si="108"/>
        <v>ON1</v>
      </c>
      <c r="H2468" s="10" t="s">
        <v>21</v>
      </c>
      <c r="I2468" s="10" t="s">
        <v>256</v>
      </c>
      <c r="J2468" s="10" t="str">
        <f>""</f>
        <v/>
      </c>
      <c r="K2468" s="10" t="str">
        <f>"PFES1162563834_0001"</f>
        <v>PFES1162563834_0001</v>
      </c>
      <c r="L2468" s="10">
        <v>1</v>
      </c>
      <c r="M2468" s="10">
        <v>4</v>
      </c>
    </row>
    <row r="2469" spans="1:13">
      <c r="A2469" s="8">
        <v>42936</v>
      </c>
      <c r="B2469" s="9">
        <v>0.56736111111111109</v>
      </c>
      <c r="C2469" s="10" t="str">
        <f>"FES1162563748"</f>
        <v>FES1162563748</v>
      </c>
      <c r="D2469" s="10" t="s">
        <v>19</v>
      </c>
      <c r="E2469" s="10" t="s">
        <v>1012</v>
      </c>
      <c r="F2469" s="10" t="str">
        <f>"2170580141 "</f>
        <v xml:space="preserve">2170580141 </v>
      </c>
      <c r="G2469" s="10" t="str">
        <f t="shared" si="108"/>
        <v>ON1</v>
      </c>
      <c r="H2469" s="10" t="s">
        <v>21</v>
      </c>
      <c r="I2469" s="10" t="s">
        <v>607</v>
      </c>
      <c r="J2469" s="10" t="str">
        <f>""</f>
        <v/>
      </c>
      <c r="K2469" s="10" t="str">
        <f>"PFES1162563748_0001"</f>
        <v>PFES1162563748_0001</v>
      </c>
      <c r="L2469" s="10">
        <v>1</v>
      </c>
      <c r="M2469" s="10">
        <v>2</v>
      </c>
    </row>
    <row r="2470" spans="1:13">
      <c r="A2470" s="8">
        <v>42936</v>
      </c>
      <c r="B2470" s="9">
        <v>0.56666666666666665</v>
      </c>
      <c r="C2470" s="10" t="str">
        <f>"FES1162563860"</f>
        <v>FES1162563860</v>
      </c>
      <c r="D2470" s="10" t="s">
        <v>19</v>
      </c>
      <c r="E2470" s="10" t="s">
        <v>1013</v>
      </c>
      <c r="F2470" s="10" t="str">
        <f>"2170573517 "</f>
        <v xml:space="preserve">2170573517 </v>
      </c>
      <c r="G2470" s="10" t="str">
        <f t="shared" si="108"/>
        <v>ON1</v>
      </c>
      <c r="H2470" s="10" t="s">
        <v>21</v>
      </c>
      <c r="I2470" s="10" t="s">
        <v>228</v>
      </c>
      <c r="J2470" s="10" t="str">
        <f>""</f>
        <v/>
      </c>
      <c r="K2470" s="10" t="str">
        <f>"PFES1162563860_0001"</f>
        <v>PFES1162563860_0001</v>
      </c>
      <c r="L2470" s="10">
        <v>1</v>
      </c>
      <c r="M2470" s="10">
        <v>3</v>
      </c>
    </row>
    <row r="2471" spans="1:13">
      <c r="A2471" s="8">
        <v>42936</v>
      </c>
      <c r="B2471" s="9">
        <v>0.56666666666666665</v>
      </c>
      <c r="C2471" s="10" t="str">
        <f>"FES1162561026"</f>
        <v>FES1162561026</v>
      </c>
      <c r="D2471" s="10" t="s">
        <v>19</v>
      </c>
      <c r="E2471" s="10" t="s">
        <v>49</v>
      </c>
      <c r="F2471" s="10" t="str">
        <f>"217057192 "</f>
        <v xml:space="preserve">217057192 </v>
      </c>
      <c r="G2471" s="10" t="str">
        <f t="shared" si="108"/>
        <v>ON1</v>
      </c>
      <c r="H2471" s="10" t="s">
        <v>21</v>
      </c>
      <c r="I2471" s="10" t="s">
        <v>50</v>
      </c>
      <c r="J2471" s="10" t="str">
        <f>""</f>
        <v/>
      </c>
      <c r="K2471" s="10" t="str">
        <f>"PFES1162561026_0001"</f>
        <v>PFES1162561026_0001</v>
      </c>
      <c r="L2471" s="10">
        <v>1</v>
      </c>
      <c r="M2471" s="10">
        <v>5</v>
      </c>
    </row>
    <row r="2472" spans="1:13">
      <c r="A2472" s="8">
        <v>42936</v>
      </c>
      <c r="B2472" s="9">
        <v>0.56597222222222221</v>
      </c>
      <c r="C2472" s="10" t="str">
        <f>"FES1162563780"</f>
        <v>FES1162563780</v>
      </c>
      <c r="D2472" s="10" t="s">
        <v>19</v>
      </c>
      <c r="E2472" s="10" t="s">
        <v>1014</v>
      </c>
      <c r="F2472" s="10" t="str">
        <f>"2170580291 "</f>
        <v xml:space="preserve">2170580291 </v>
      </c>
      <c r="G2472" s="10" t="str">
        <f t="shared" si="108"/>
        <v>ON1</v>
      </c>
      <c r="H2472" s="10" t="s">
        <v>21</v>
      </c>
      <c r="I2472" s="10" t="s">
        <v>817</v>
      </c>
      <c r="J2472" s="10" t="str">
        <f>""</f>
        <v/>
      </c>
      <c r="K2472" s="10" t="str">
        <f>"PFES1162563780_0001"</f>
        <v>PFES1162563780_0001</v>
      </c>
      <c r="L2472" s="10">
        <v>1</v>
      </c>
      <c r="M2472" s="10">
        <v>2</v>
      </c>
    </row>
    <row r="2473" spans="1:13">
      <c r="A2473" s="8">
        <v>42936</v>
      </c>
      <c r="B2473" s="9">
        <v>0.56527777777777777</v>
      </c>
      <c r="C2473" s="10" t="str">
        <f>"FES1162563711"</f>
        <v>FES1162563711</v>
      </c>
      <c r="D2473" s="10" t="s">
        <v>19</v>
      </c>
      <c r="E2473" s="10" t="s">
        <v>349</v>
      </c>
      <c r="F2473" s="10" t="str">
        <f>"2170579417 "</f>
        <v xml:space="preserve">2170579417 </v>
      </c>
      <c r="G2473" s="10" t="str">
        <f t="shared" si="108"/>
        <v>ON1</v>
      </c>
      <c r="H2473" s="10" t="s">
        <v>21</v>
      </c>
      <c r="I2473" s="10" t="s">
        <v>58</v>
      </c>
      <c r="J2473" s="10" t="str">
        <f>""</f>
        <v/>
      </c>
      <c r="K2473" s="10" t="str">
        <f>"PFES1162563711_0001"</f>
        <v>PFES1162563711_0001</v>
      </c>
      <c r="L2473" s="10">
        <v>1</v>
      </c>
      <c r="M2473" s="10">
        <v>2</v>
      </c>
    </row>
    <row r="2474" spans="1:13">
      <c r="A2474" s="8">
        <v>42936</v>
      </c>
      <c r="B2474" s="9">
        <v>0.56458333333333333</v>
      </c>
      <c r="C2474" s="10" t="str">
        <f>"FES1162563766"</f>
        <v>FES1162563766</v>
      </c>
      <c r="D2474" s="10" t="s">
        <v>19</v>
      </c>
      <c r="E2474" s="10" t="s">
        <v>339</v>
      </c>
      <c r="F2474" s="10" t="str">
        <f>"2170572034 "</f>
        <v xml:space="preserve">2170572034 </v>
      </c>
      <c r="G2474" s="10" t="str">
        <f t="shared" si="108"/>
        <v>ON1</v>
      </c>
      <c r="H2474" s="10" t="s">
        <v>21</v>
      </c>
      <c r="I2474" s="10" t="s">
        <v>340</v>
      </c>
      <c r="J2474" s="10" t="str">
        <f>""</f>
        <v/>
      </c>
      <c r="K2474" s="10" t="str">
        <f>"PFES1162563766_0001"</f>
        <v>PFES1162563766_0001</v>
      </c>
      <c r="L2474" s="10">
        <v>2</v>
      </c>
      <c r="M2474" s="10">
        <v>10</v>
      </c>
    </row>
    <row r="2475" spans="1:13">
      <c r="A2475" s="8">
        <v>42936</v>
      </c>
      <c r="B2475" s="9">
        <v>0.56458333333333333</v>
      </c>
      <c r="C2475" s="10" t="str">
        <f>"FES1162563766"</f>
        <v>FES1162563766</v>
      </c>
      <c r="D2475" s="10" t="s">
        <v>19</v>
      </c>
      <c r="E2475" s="10" t="s">
        <v>339</v>
      </c>
      <c r="F2475" s="10" t="str">
        <f>"2170572034 "</f>
        <v xml:space="preserve">2170572034 </v>
      </c>
      <c r="G2475" s="10" t="str">
        <f t="shared" si="108"/>
        <v>ON1</v>
      </c>
      <c r="H2475" s="10" t="s">
        <v>21</v>
      </c>
      <c r="I2475" s="10" t="s">
        <v>340</v>
      </c>
      <c r="J2475" s="10"/>
      <c r="K2475" s="10" t="str">
        <f>"PFES1162563766_0002"</f>
        <v>PFES1162563766_0002</v>
      </c>
      <c r="L2475" s="10">
        <v>2</v>
      </c>
      <c r="M2475" s="10">
        <v>10</v>
      </c>
    </row>
    <row r="2476" spans="1:13">
      <c r="A2476" s="8">
        <v>42936</v>
      </c>
      <c r="B2476" s="9">
        <v>0.56458333333333333</v>
      </c>
      <c r="C2476" s="10" t="str">
        <f>"FES1162563779"</f>
        <v>FES1162563779</v>
      </c>
      <c r="D2476" s="10" t="s">
        <v>19</v>
      </c>
      <c r="E2476" s="10" t="s">
        <v>535</v>
      </c>
      <c r="F2476" s="10" t="str">
        <f>"2170580288 "</f>
        <v xml:space="preserve">2170580288 </v>
      </c>
      <c r="G2476" s="10" t="str">
        <f t="shared" si="108"/>
        <v>ON1</v>
      </c>
      <c r="H2476" s="10" t="s">
        <v>21</v>
      </c>
      <c r="I2476" s="10" t="s">
        <v>240</v>
      </c>
      <c r="J2476" s="10" t="str">
        <f>""</f>
        <v/>
      </c>
      <c r="K2476" s="10" t="str">
        <f>"PFES1162563779_0001"</f>
        <v>PFES1162563779_0001</v>
      </c>
      <c r="L2476" s="10">
        <v>1</v>
      </c>
      <c r="M2476" s="10">
        <v>1</v>
      </c>
    </row>
    <row r="2477" spans="1:13">
      <c r="A2477" s="8">
        <v>42936</v>
      </c>
      <c r="B2477" s="9">
        <v>0.56388888888888888</v>
      </c>
      <c r="C2477" s="10" t="str">
        <f>"FES1162563751"</f>
        <v>FES1162563751</v>
      </c>
      <c r="D2477" s="10" t="s">
        <v>19</v>
      </c>
      <c r="E2477" s="10" t="s">
        <v>1015</v>
      </c>
      <c r="F2477" s="10" t="str">
        <f>"21705780254 "</f>
        <v xml:space="preserve">21705780254 </v>
      </c>
      <c r="G2477" s="10" t="str">
        <f t="shared" si="108"/>
        <v>ON1</v>
      </c>
      <c r="H2477" s="10" t="s">
        <v>21</v>
      </c>
      <c r="I2477" s="10" t="s">
        <v>56</v>
      </c>
      <c r="J2477" s="10" t="str">
        <f>""</f>
        <v/>
      </c>
      <c r="K2477" s="10" t="str">
        <f>"PFES1162563751_0001"</f>
        <v>PFES1162563751_0001</v>
      </c>
      <c r="L2477" s="10">
        <v>1</v>
      </c>
      <c r="M2477" s="10">
        <v>1</v>
      </c>
    </row>
    <row r="2478" spans="1:13">
      <c r="A2478" s="8">
        <v>42936</v>
      </c>
      <c r="B2478" s="9">
        <v>0.56180555555555556</v>
      </c>
      <c r="C2478" s="10" t="str">
        <f>"009935791614"</f>
        <v>009935791614</v>
      </c>
      <c r="D2478" s="10" t="s">
        <v>19</v>
      </c>
      <c r="E2478" s="10" t="s">
        <v>512</v>
      </c>
      <c r="F2478" s="10" t="str">
        <f>"1162556321 "</f>
        <v xml:space="preserve">1162556321 </v>
      </c>
      <c r="G2478" s="10" t="str">
        <f t="shared" si="108"/>
        <v>ON1</v>
      </c>
      <c r="H2478" s="10" t="s">
        <v>21</v>
      </c>
      <c r="I2478" s="10" t="s">
        <v>157</v>
      </c>
      <c r="J2478" s="10" t="str">
        <f>"RE  SEND,WRONG ORDER NUMBER"</f>
        <v>RE  SEND,WRONG ORDER NUMBER</v>
      </c>
      <c r="K2478" s="10" t="str">
        <f>"P009935791614_0001"</f>
        <v>P009935791614_0001</v>
      </c>
      <c r="L2478" s="10">
        <v>1</v>
      </c>
      <c r="M2478" s="10">
        <v>1</v>
      </c>
    </row>
    <row r="2479" spans="1:13">
      <c r="A2479" s="8">
        <v>42936</v>
      </c>
      <c r="B2479" s="9">
        <v>0.55902777777777779</v>
      </c>
      <c r="C2479" s="10" t="str">
        <f>"009935791612"</f>
        <v>009935791612</v>
      </c>
      <c r="D2479" s="10" t="s">
        <v>19</v>
      </c>
      <c r="E2479" s="10" t="s">
        <v>1016</v>
      </c>
      <c r="F2479" s="10" t="str">
        <f>"NEVILLE "</f>
        <v xml:space="preserve">NEVILLE </v>
      </c>
      <c r="G2479" s="10" t="str">
        <f t="shared" si="108"/>
        <v>ON1</v>
      </c>
      <c r="H2479" s="10" t="s">
        <v>21</v>
      </c>
      <c r="I2479" s="10" t="s">
        <v>561</v>
      </c>
      <c r="J2479" s="10" t="str">
        <f>""</f>
        <v/>
      </c>
      <c r="K2479" s="10" t="str">
        <f>"P009935791612_0001"</f>
        <v>P009935791612_0001</v>
      </c>
      <c r="L2479" s="10">
        <v>1</v>
      </c>
      <c r="M2479" s="10">
        <v>1</v>
      </c>
    </row>
    <row r="2480" spans="1:13">
      <c r="A2480" s="8">
        <v>42936</v>
      </c>
      <c r="B2480" s="9">
        <v>0.55208333333333337</v>
      </c>
      <c r="C2480" s="10" t="str">
        <f>"009935791613"</f>
        <v>009935791613</v>
      </c>
      <c r="D2480" s="10" t="s">
        <v>19</v>
      </c>
      <c r="E2480" s="10" t="s">
        <v>522</v>
      </c>
      <c r="F2480" s="10" t="str">
        <f>"1162558896 "</f>
        <v xml:space="preserve">1162558896 </v>
      </c>
      <c r="G2480" s="10" t="str">
        <f t="shared" si="108"/>
        <v>ON1</v>
      </c>
      <c r="H2480" s="10" t="s">
        <v>21</v>
      </c>
      <c r="I2480" s="10" t="s">
        <v>106</v>
      </c>
      <c r="J2480" s="10" t="str">
        <f>"CHANGE OF ADDRESS"</f>
        <v>CHANGE OF ADDRESS</v>
      </c>
      <c r="K2480" s="10" t="str">
        <f>"P009935791613_0001"</f>
        <v>P009935791613_0001</v>
      </c>
      <c r="L2480" s="10">
        <v>1</v>
      </c>
      <c r="M2480" s="10">
        <v>1</v>
      </c>
    </row>
    <row r="2481" spans="1:13">
      <c r="A2481" s="8">
        <v>42936</v>
      </c>
      <c r="B2481" s="9">
        <v>0.54375000000000007</v>
      </c>
      <c r="C2481" s="10" t="str">
        <f>"009935791617"</f>
        <v>009935791617</v>
      </c>
      <c r="D2481" s="10" t="s">
        <v>19</v>
      </c>
      <c r="E2481" s="10" t="s">
        <v>452</v>
      </c>
      <c r="F2481" s="10" t="str">
        <f>"1162560419 "</f>
        <v xml:space="preserve">1162560419 </v>
      </c>
      <c r="G2481" s="10" t="str">
        <f t="shared" si="108"/>
        <v>ON1</v>
      </c>
      <c r="H2481" s="10" t="s">
        <v>21</v>
      </c>
      <c r="I2481" s="10" t="s">
        <v>1017</v>
      </c>
      <c r="J2481" s="10" t="str">
        <f>"CLIENT MOVED TO NEW ADDRESS"</f>
        <v>CLIENT MOVED TO NEW ADDRESS</v>
      </c>
      <c r="K2481" s="10" t="str">
        <f>"P009935791617_0001"</f>
        <v>P009935791617_0001</v>
      </c>
      <c r="L2481" s="10">
        <v>1</v>
      </c>
      <c r="M2481" s="10">
        <v>1</v>
      </c>
    </row>
    <row r="2482" spans="1:13">
      <c r="A2482" s="8">
        <v>42936</v>
      </c>
      <c r="B2482" s="9">
        <v>0.53680555555555554</v>
      </c>
      <c r="C2482" s="10" t="str">
        <f>"FES1162563833"</f>
        <v>FES1162563833</v>
      </c>
      <c r="D2482" s="10" t="s">
        <v>19</v>
      </c>
      <c r="E2482" s="10" t="s">
        <v>1018</v>
      </c>
      <c r="F2482" s="10" t="str">
        <f>"2170580355 "</f>
        <v xml:space="preserve">2170580355 </v>
      </c>
      <c r="G2482" s="10" t="str">
        <f t="shared" si="108"/>
        <v>ON1</v>
      </c>
      <c r="H2482" s="10" t="s">
        <v>21</v>
      </c>
      <c r="I2482" s="10" t="s">
        <v>1019</v>
      </c>
      <c r="J2482" s="10" t="str">
        <f>""</f>
        <v/>
      </c>
      <c r="K2482" s="10" t="str">
        <f>"PFES1162563833_0001"</f>
        <v>PFES1162563833_0001</v>
      </c>
      <c r="L2482" s="10">
        <v>1</v>
      </c>
      <c r="M2482" s="10">
        <v>1</v>
      </c>
    </row>
    <row r="2483" spans="1:13">
      <c r="A2483" s="8">
        <v>42936</v>
      </c>
      <c r="B2483" s="9">
        <v>0.53611111111111109</v>
      </c>
      <c r="C2483" s="10" t="str">
        <f>"FES1162563835"</f>
        <v>FES1162563835</v>
      </c>
      <c r="D2483" s="10" t="s">
        <v>19</v>
      </c>
      <c r="E2483" s="10" t="s">
        <v>944</v>
      </c>
      <c r="F2483" s="10" t="str">
        <f>"2170580357 "</f>
        <v xml:space="preserve">2170580357 </v>
      </c>
      <c r="G2483" s="10" t="str">
        <f t="shared" si="108"/>
        <v>ON1</v>
      </c>
      <c r="H2483" s="10" t="s">
        <v>21</v>
      </c>
      <c r="I2483" s="10" t="s">
        <v>52</v>
      </c>
      <c r="J2483" s="10" t="str">
        <f>""</f>
        <v/>
      </c>
      <c r="K2483" s="10" t="str">
        <f>"PFES1162563835_0001"</f>
        <v>PFES1162563835_0001</v>
      </c>
      <c r="L2483" s="10">
        <v>1</v>
      </c>
      <c r="M2483" s="10">
        <v>1</v>
      </c>
    </row>
    <row r="2484" spans="1:13">
      <c r="A2484" s="8">
        <v>42936</v>
      </c>
      <c r="B2484" s="9">
        <v>0.53611111111111109</v>
      </c>
      <c r="C2484" s="10" t="str">
        <f>"FES1162563792"</f>
        <v>FES1162563792</v>
      </c>
      <c r="D2484" s="10" t="s">
        <v>19</v>
      </c>
      <c r="E2484" s="10" t="s">
        <v>513</v>
      </c>
      <c r="F2484" s="10" t="str">
        <f>"2170580313 "</f>
        <v xml:space="preserve">2170580313 </v>
      </c>
      <c r="G2484" s="10" t="str">
        <f t="shared" si="108"/>
        <v>ON1</v>
      </c>
      <c r="H2484" s="10" t="s">
        <v>21</v>
      </c>
      <c r="I2484" s="10" t="s">
        <v>138</v>
      </c>
      <c r="J2484" s="10" t="str">
        <f>""</f>
        <v/>
      </c>
      <c r="K2484" s="10" t="str">
        <f>"PFES1162563792_0001"</f>
        <v>PFES1162563792_0001</v>
      </c>
      <c r="L2484" s="10">
        <v>1</v>
      </c>
      <c r="M2484" s="10">
        <v>1</v>
      </c>
    </row>
    <row r="2485" spans="1:13">
      <c r="A2485" s="8">
        <v>42936</v>
      </c>
      <c r="B2485" s="9">
        <v>0.53541666666666665</v>
      </c>
      <c r="C2485" s="10" t="str">
        <f>"FES1162563837"</f>
        <v>FES1162563837</v>
      </c>
      <c r="D2485" s="10" t="s">
        <v>19</v>
      </c>
      <c r="E2485" s="10" t="s">
        <v>1020</v>
      </c>
      <c r="F2485" s="10" t="str">
        <f>"21705780361 "</f>
        <v xml:space="preserve">21705780361 </v>
      </c>
      <c r="G2485" s="10" t="str">
        <f t="shared" si="108"/>
        <v>ON1</v>
      </c>
      <c r="H2485" s="10" t="s">
        <v>21</v>
      </c>
      <c r="I2485" s="10" t="s">
        <v>75</v>
      </c>
      <c r="J2485" s="10" t="str">
        <f>""</f>
        <v/>
      </c>
      <c r="K2485" s="10" t="str">
        <f>"PFES1162563837_0001"</f>
        <v>PFES1162563837_0001</v>
      </c>
      <c r="L2485" s="10">
        <v>1</v>
      </c>
      <c r="M2485" s="10">
        <v>1</v>
      </c>
    </row>
    <row r="2486" spans="1:13">
      <c r="A2486" s="8">
        <v>42936</v>
      </c>
      <c r="B2486" s="9">
        <v>0.53541666666666665</v>
      </c>
      <c r="C2486" s="10" t="str">
        <f>"FES1162563845"</f>
        <v>FES1162563845</v>
      </c>
      <c r="D2486" s="10" t="s">
        <v>19</v>
      </c>
      <c r="E2486" s="10" t="s">
        <v>768</v>
      </c>
      <c r="F2486" s="10" t="str">
        <f>"2170578035 "</f>
        <v xml:space="preserve">2170578035 </v>
      </c>
      <c r="G2486" s="10" t="str">
        <f t="shared" si="108"/>
        <v>ON1</v>
      </c>
      <c r="H2486" s="10" t="s">
        <v>21</v>
      </c>
      <c r="I2486" s="10" t="s">
        <v>601</v>
      </c>
      <c r="J2486" s="10" t="str">
        <f>""</f>
        <v/>
      </c>
      <c r="K2486" s="10" t="str">
        <f>"PFES1162563845_0001"</f>
        <v>PFES1162563845_0001</v>
      </c>
      <c r="L2486" s="10">
        <v>1</v>
      </c>
      <c r="M2486" s="10">
        <v>1</v>
      </c>
    </row>
    <row r="2487" spans="1:13">
      <c r="A2487" s="8">
        <v>42936</v>
      </c>
      <c r="B2487" s="9">
        <v>0.53541666666666665</v>
      </c>
      <c r="C2487" s="10" t="str">
        <f>"FES1162563799"</f>
        <v>FES1162563799</v>
      </c>
      <c r="D2487" s="10" t="s">
        <v>19</v>
      </c>
      <c r="E2487" s="10" t="s">
        <v>286</v>
      </c>
      <c r="F2487" s="10" t="str">
        <f>"217057831912 "</f>
        <v xml:space="preserve">217057831912 </v>
      </c>
      <c r="G2487" s="10" t="str">
        <f t="shared" si="108"/>
        <v>ON1</v>
      </c>
      <c r="H2487" s="10" t="s">
        <v>21</v>
      </c>
      <c r="I2487" s="10" t="s">
        <v>177</v>
      </c>
      <c r="J2487" s="10" t="str">
        <f>""</f>
        <v/>
      </c>
      <c r="K2487" s="10" t="str">
        <f>"PFES1162563799_0001"</f>
        <v>PFES1162563799_0001</v>
      </c>
      <c r="L2487" s="10">
        <v>1</v>
      </c>
      <c r="M2487" s="10">
        <v>1</v>
      </c>
    </row>
    <row r="2488" spans="1:13">
      <c r="A2488" s="8">
        <v>42936</v>
      </c>
      <c r="B2488" s="9">
        <v>0.53472222222222221</v>
      </c>
      <c r="C2488" s="10" t="str">
        <f>"FES1162563796"</f>
        <v>FES1162563796</v>
      </c>
      <c r="D2488" s="10" t="s">
        <v>19</v>
      </c>
      <c r="E2488" s="10" t="s">
        <v>350</v>
      </c>
      <c r="F2488" s="10" t="str">
        <f>"21705780317 "</f>
        <v xml:space="preserve">21705780317 </v>
      </c>
      <c r="G2488" s="10" t="str">
        <f t="shared" si="108"/>
        <v>ON1</v>
      </c>
      <c r="H2488" s="10" t="s">
        <v>21</v>
      </c>
      <c r="I2488" s="10" t="s">
        <v>351</v>
      </c>
      <c r="J2488" s="10" t="str">
        <f>""</f>
        <v/>
      </c>
      <c r="K2488" s="10" t="str">
        <f>"PFES1162563796_0001"</f>
        <v>PFES1162563796_0001</v>
      </c>
      <c r="L2488" s="10">
        <v>1</v>
      </c>
      <c r="M2488" s="10">
        <v>1</v>
      </c>
    </row>
    <row r="2489" spans="1:13">
      <c r="A2489" s="8">
        <v>42936</v>
      </c>
      <c r="B2489" s="9">
        <v>0.53472222222222221</v>
      </c>
      <c r="C2489" s="10" t="str">
        <f>"FES1162563783"</f>
        <v>FES1162563783</v>
      </c>
      <c r="D2489" s="10" t="s">
        <v>19</v>
      </c>
      <c r="E2489" s="10" t="s">
        <v>397</v>
      </c>
      <c r="F2489" s="10" t="str">
        <f>"2170580295 "</f>
        <v xml:space="preserve">2170580295 </v>
      </c>
      <c r="G2489" s="10" t="str">
        <f t="shared" si="108"/>
        <v>ON1</v>
      </c>
      <c r="H2489" s="10" t="s">
        <v>21</v>
      </c>
      <c r="I2489" s="10" t="s">
        <v>800</v>
      </c>
      <c r="J2489" s="10" t="str">
        <f>""</f>
        <v/>
      </c>
      <c r="K2489" s="10" t="str">
        <f>"PFES1162563783_0001"</f>
        <v>PFES1162563783_0001</v>
      </c>
      <c r="L2489" s="10">
        <v>1</v>
      </c>
      <c r="M2489" s="10">
        <v>1</v>
      </c>
    </row>
    <row r="2490" spans="1:13">
      <c r="A2490" s="8">
        <v>42936</v>
      </c>
      <c r="B2490" s="9">
        <v>0.53402777777777777</v>
      </c>
      <c r="C2490" s="10" t="str">
        <f>"FES1162563706"</f>
        <v>FES1162563706</v>
      </c>
      <c r="D2490" s="10" t="s">
        <v>19</v>
      </c>
      <c r="E2490" s="10" t="s">
        <v>703</v>
      </c>
      <c r="F2490" s="10" t="str">
        <f>"2170781298 "</f>
        <v xml:space="preserve">2170781298 </v>
      </c>
      <c r="G2490" s="10" t="str">
        <f t="shared" si="108"/>
        <v>ON1</v>
      </c>
      <c r="H2490" s="10" t="s">
        <v>21</v>
      </c>
      <c r="I2490" s="10" t="s">
        <v>704</v>
      </c>
      <c r="J2490" s="10" t="str">
        <f>""</f>
        <v/>
      </c>
      <c r="K2490" s="10" t="str">
        <f>"PFES1162563706_0001"</f>
        <v>PFES1162563706_0001</v>
      </c>
      <c r="L2490" s="10">
        <v>1</v>
      </c>
      <c r="M2490" s="10">
        <v>1</v>
      </c>
    </row>
    <row r="2491" spans="1:13">
      <c r="A2491" s="8">
        <v>42936</v>
      </c>
      <c r="B2491" s="9">
        <v>0.53402777777777777</v>
      </c>
      <c r="C2491" s="10" t="str">
        <f>"FES1162563723"</f>
        <v>FES1162563723</v>
      </c>
      <c r="D2491" s="10" t="s">
        <v>19</v>
      </c>
      <c r="E2491" s="10" t="s">
        <v>255</v>
      </c>
      <c r="F2491" s="10" t="str">
        <f>"2170580233 "</f>
        <v xml:space="preserve">2170580233 </v>
      </c>
      <c r="G2491" s="10" t="str">
        <f t="shared" si="108"/>
        <v>ON1</v>
      </c>
      <c r="H2491" s="10" t="s">
        <v>21</v>
      </c>
      <c r="I2491" s="10" t="s">
        <v>256</v>
      </c>
      <c r="J2491" s="10" t="str">
        <f>""</f>
        <v/>
      </c>
      <c r="K2491" s="10" t="str">
        <f>"PFES1162563723_0001"</f>
        <v>PFES1162563723_0001</v>
      </c>
      <c r="L2491" s="10">
        <v>1</v>
      </c>
      <c r="M2491" s="10">
        <v>1</v>
      </c>
    </row>
    <row r="2492" spans="1:13">
      <c r="A2492" s="8">
        <v>42936</v>
      </c>
      <c r="B2492" s="9">
        <v>0.53402777777777777</v>
      </c>
      <c r="C2492" s="10" t="str">
        <f>"FES1162563685"</f>
        <v>FES1162563685</v>
      </c>
      <c r="D2492" s="10" t="s">
        <v>19</v>
      </c>
      <c r="E2492" s="10" t="s">
        <v>108</v>
      </c>
      <c r="F2492" s="10" t="str">
        <f>"2170580217 "</f>
        <v xml:space="preserve">2170580217 </v>
      </c>
      <c r="G2492" s="10" t="str">
        <f t="shared" si="108"/>
        <v>ON1</v>
      </c>
      <c r="H2492" s="10" t="s">
        <v>21</v>
      </c>
      <c r="I2492" s="10" t="s">
        <v>109</v>
      </c>
      <c r="J2492" s="10" t="str">
        <f>""</f>
        <v/>
      </c>
      <c r="K2492" s="10" t="str">
        <f>"PFES1162563685_0001"</f>
        <v>PFES1162563685_0001</v>
      </c>
      <c r="L2492" s="10">
        <v>1</v>
      </c>
      <c r="M2492" s="10">
        <v>1</v>
      </c>
    </row>
    <row r="2493" spans="1:13">
      <c r="A2493" s="8">
        <v>42936</v>
      </c>
      <c r="B2493" s="9">
        <v>0.53402777777777777</v>
      </c>
      <c r="C2493" s="10" t="str">
        <f>"FES1162563713"</f>
        <v>FES1162563713</v>
      </c>
      <c r="D2493" s="10" t="s">
        <v>19</v>
      </c>
      <c r="E2493" s="10" t="s">
        <v>436</v>
      </c>
      <c r="F2493" s="10" t="str">
        <f>"2170579686 "</f>
        <v xml:space="preserve">2170579686 </v>
      </c>
      <c r="G2493" s="10" t="str">
        <f t="shared" si="108"/>
        <v>ON1</v>
      </c>
      <c r="H2493" s="10" t="s">
        <v>21</v>
      </c>
      <c r="I2493" s="10" t="s">
        <v>252</v>
      </c>
      <c r="J2493" s="10" t="str">
        <f>""</f>
        <v/>
      </c>
      <c r="K2493" s="10" t="str">
        <f>"PFES1162563713_0001"</f>
        <v>PFES1162563713_0001</v>
      </c>
      <c r="L2493" s="10">
        <v>1</v>
      </c>
      <c r="M2493" s="10">
        <v>1</v>
      </c>
    </row>
    <row r="2494" spans="1:13">
      <c r="A2494" s="8">
        <v>42936</v>
      </c>
      <c r="B2494" s="9">
        <v>0.53402777777777777</v>
      </c>
      <c r="C2494" s="10" t="str">
        <f>"FES1162563738"</f>
        <v>FES1162563738</v>
      </c>
      <c r="D2494" s="10" t="s">
        <v>19</v>
      </c>
      <c r="E2494" s="10" t="s">
        <v>584</v>
      </c>
      <c r="F2494" s="10" t="str">
        <f>"2170580248 "</f>
        <v xml:space="preserve">2170580248 </v>
      </c>
      <c r="G2494" s="10" t="str">
        <f t="shared" si="108"/>
        <v>ON1</v>
      </c>
      <c r="H2494" s="10" t="s">
        <v>21</v>
      </c>
      <c r="I2494" s="10" t="s">
        <v>75</v>
      </c>
      <c r="J2494" s="10" t="str">
        <f>""</f>
        <v/>
      </c>
      <c r="K2494" s="10" t="str">
        <f>"PFES1162563738_0001"</f>
        <v>PFES1162563738_0001</v>
      </c>
      <c r="L2494" s="10">
        <v>1</v>
      </c>
      <c r="M2494" s="10">
        <v>1</v>
      </c>
    </row>
    <row r="2495" spans="1:13">
      <c r="A2495" s="8">
        <v>42936</v>
      </c>
      <c r="B2495" s="9">
        <v>0.53333333333333333</v>
      </c>
      <c r="C2495" s="10" t="str">
        <f>"FES1162563719"</f>
        <v>FES1162563719</v>
      </c>
      <c r="D2495" s="10" t="s">
        <v>19</v>
      </c>
      <c r="E2495" s="10" t="s">
        <v>33</v>
      </c>
      <c r="F2495" s="10" t="str">
        <f>"2170580148 "</f>
        <v xml:space="preserve">2170580148 </v>
      </c>
      <c r="G2495" s="10" t="str">
        <f t="shared" si="108"/>
        <v>ON1</v>
      </c>
      <c r="H2495" s="10" t="s">
        <v>21</v>
      </c>
      <c r="I2495" s="10" t="s">
        <v>34</v>
      </c>
      <c r="J2495" s="10" t="str">
        <f>""</f>
        <v/>
      </c>
      <c r="K2495" s="10" t="str">
        <f>"PFES1162563719_0001"</f>
        <v>PFES1162563719_0001</v>
      </c>
      <c r="L2495" s="10">
        <v>1</v>
      </c>
      <c r="M2495" s="10">
        <v>1</v>
      </c>
    </row>
    <row r="2496" spans="1:13">
      <c r="A2496" s="8">
        <v>42936</v>
      </c>
      <c r="B2496" s="9">
        <v>0.53333333333333333</v>
      </c>
      <c r="C2496" s="10" t="str">
        <f>"FES1162563694"</f>
        <v>FES1162563694</v>
      </c>
      <c r="D2496" s="10" t="s">
        <v>19</v>
      </c>
      <c r="E2496" s="10" t="s">
        <v>25</v>
      </c>
      <c r="F2496" s="10" t="str">
        <f>"2170580228 "</f>
        <v xml:space="preserve">2170580228 </v>
      </c>
      <c r="G2496" s="10" t="str">
        <f t="shared" si="108"/>
        <v>ON1</v>
      </c>
      <c r="H2496" s="10" t="s">
        <v>21</v>
      </c>
      <c r="I2496" s="10" t="s">
        <v>26</v>
      </c>
      <c r="J2496" s="10" t="str">
        <f>""</f>
        <v/>
      </c>
      <c r="K2496" s="10" t="str">
        <f>"PFES1162563694_0001"</f>
        <v>PFES1162563694_0001</v>
      </c>
      <c r="L2496" s="10">
        <v>1</v>
      </c>
      <c r="M2496" s="10">
        <v>1</v>
      </c>
    </row>
    <row r="2497" spans="1:13">
      <c r="A2497" s="8">
        <v>42936</v>
      </c>
      <c r="B2497" s="9">
        <v>0.53333333333333333</v>
      </c>
      <c r="C2497" s="10" t="str">
        <f>"FES1162563786"</f>
        <v>FES1162563786</v>
      </c>
      <c r="D2497" s="10" t="s">
        <v>19</v>
      </c>
      <c r="E2497" s="10" t="s">
        <v>772</v>
      </c>
      <c r="F2497" s="10" t="str">
        <f>"2170580305 "</f>
        <v xml:space="preserve">2170580305 </v>
      </c>
      <c r="G2497" s="10" t="str">
        <f t="shared" si="108"/>
        <v>ON1</v>
      </c>
      <c r="H2497" s="10" t="s">
        <v>21</v>
      </c>
      <c r="I2497" s="10" t="s">
        <v>540</v>
      </c>
      <c r="J2497" s="10" t="str">
        <f>""</f>
        <v/>
      </c>
      <c r="K2497" s="10" t="str">
        <f>"PFES1162563786_0001"</f>
        <v>PFES1162563786_0001</v>
      </c>
      <c r="L2497" s="10">
        <v>1</v>
      </c>
      <c r="M2497" s="10">
        <v>1</v>
      </c>
    </row>
    <row r="2498" spans="1:13">
      <c r="A2498" s="8">
        <v>42936</v>
      </c>
      <c r="B2498" s="9">
        <v>0.53263888888888888</v>
      </c>
      <c r="C2498" s="10" t="str">
        <f>"FES1162563734"</f>
        <v>FES1162563734</v>
      </c>
      <c r="D2498" s="10" t="s">
        <v>19</v>
      </c>
      <c r="E2498" s="10" t="s">
        <v>210</v>
      </c>
      <c r="F2498" s="10" t="str">
        <f>"2170580243 "</f>
        <v xml:space="preserve">2170580243 </v>
      </c>
      <c r="G2498" s="10" t="str">
        <f t="shared" si="108"/>
        <v>ON1</v>
      </c>
      <c r="H2498" s="10" t="s">
        <v>21</v>
      </c>
      <c r="I2498" s="10" t="s">
        <v>32</v>
      </c>
      <c r="J2498" s="10" t="str">
        <f>""</f>
        <v/>
      </c>
      <c r="K2498" s="10" t="str">
        <f>"PFES1162563734_0001"</f>
        <v>PFES1162563734_0001</v>
      </c>
      <c r="L2498" s="10">
        <v>1</v>
      </c>
      <c r="M2498" s="10">
        <v>1</v>
      </c>
    </row>
    <row r="2499" spans="1:13">
      <c r="A2499" s="8">
        <v>42936</v>
      </c>
      <c r="B2499" s="9">
        <v>0.53263888888888888</v>
      </c>
      <c r="C2499" s="10" t="str">
        <f>"FES1162563753"</f>
        <v>FES1162563753</v>
      </c>
      <c r="D2499" s="10" t="s">
        <v>19</v>
      </c>
      <c r="E2499" s="10" t="s">
        <v>436</v>
      </c>
      <c r="F2499" s="10" t="str">
        <f>"2170580259 "</f>
        <v xml:space="preserve">2170580259 </v>
      </c>
      <c r="G2499" s="10" t="str">
        <f t="shared" si="108"/>
        <v>ON1</v>
      </c>
      <c r="H2499" s="10" t="s">
        <v>21</v>
      </c>
      <c r="I2499" s="10" t="s">
        <v>252</v>
      </c>
      <c r="J2499" s="10" t="str">
        <f>""</f>
        <v/>
      </c>
      <c r="K2499" s="10" t="str">
        <f>"PFES1162563753_0001"</f>
        <v>PFES1162563753_0001</v>
      </c>
      <c r="L2499" s="10">
        <v>1</v>
      </c>
      <c r="M2499" s="10">
        <v>1</v>
      </c>
    </row>
    <row r="2500" spans="1:13">
      <c r="A2500" s="8">
        <v>42936</v>
      </c>
      <c r="B2500" s="9">
        <v>0.53263888888888888</v>
      </c>
      <c r="C2500" s="10" t="str">
        <f>"FES1162563696"</f>
        <v>FES1162563696</v>
      </c>
      <c r="D2500" s="10" t="s">
        <v>19</v>
      </c>
      <c r="E2500" s="10" t="s">
        <v>456</v>
      </c>
      <c r="F2500" s="10" t="str">
        <f>"20170575308 "</f>
        <v xml:space="preserve">20170575308 </v>
      </c>
      <c r="G2500" s="10" t="str">
        <f t="shared" si="108"/>
        <v>ON1</v>
      </c>
      <c r="H2500" s="10" t="s">
        <v>21</v>
      </c>
      <c r="I2500" s="10" t="s">
        <v>36</v>
      </c>
      <c r="J2500" s="10" t="str">
        <f>""</f>
        <v/>
      </c>
      <c r="K2500" s="10" t="str">
        <f>"PFES1162563696_0001"</f>
        <v>PFES1162563696_0001</v>
      </c>
      <c r="L2500" s="10">
        <v>1</v>
      </c>
      <c r="M2500" s="10">
        <v>1.87</v>
      </c>
    </row>
    <row r="2501" spans="1:13">
      <c r="A2501" s="8">
        <v>42936</v>
      </c>
      <c r="B2501" s="9">
        <v>0.53194444444444444</v>
      </c>
      <c r="C2501" s="10" t="str">
        <f>"FES1162563756"</f>
        <v>FES1162563756</v>
      </c>
      <c r="D2501" s="10" t="s">
        <v>19</v>
      </c>
      <c r="E2501" s="10" t="s">
        <v>950</v>
      </c>
      <c r="F2501" s="10" t="str">
        <f>"2170580267 "</f>
        <v xml:space="preserve">2170580267 </v>
      </c>
      <c r="G2501" s="10" t="str">
        <f t="shared" si="108"/>
        <v>ON1</v>
      </c>
      <c r="H2501" s="10" t="s">
        <v>21</v>
      </c>
      <c r="I2501" s="10" t="s">
        <v>951</v>
      </c>
      <c r="J2501" s="10" t="str">
        <f>""</f>
        <v/>
      </c>
      <c r="K2501" s="10" t="str">
        <f>"PFES1162563756_0001"</f>
        <v>PFES1162563756_0001</v>
      </c>
      <c r="L2501" s="10">
        <v>1</v>
      </c>
      <c r="M2501" s="10">
        <v>1</v>
      </c>
    </row>
    <row r="2502" spans="1:13">
      <c r="A2502" s="8">
        <v>42936</v>
      </c>
      <c r="B2502" s="9">
        <v>0.53194444444444444</v>
      </c>
      <c r="C2502" s="10" t="str">
        <f>"FES1162563725"</f>
        <v>FES1162563725</v>
      </c>
      <c r="D2502" s="10" t="s">
        <v>19</v>
      </c>
      <c r="E2502" s="10" t="s">
        <v>89</v>
      </c>
      <c r="F2502" s="10" t="str">
        <f>"21705780235 "</f>
        <v xml:space="preserve">21705780235 </v>
      </c>
      <c r="G2502" s="10" t="str">
        <f t="shared" si="108"/>
        <v>ON1</v>
      </c>
      <c r="H2502" s="10" t="s">
        <v>21</v>
      </c>
      <c r="I2502" s="10" t="s">
        <v>90</v>
      </c>
      <c r="J2502" s="10" t="str">
        <f>""</f>
        <v/>
      </c>
      <c r="K2502" s="10" t="str">
        <f>"PFES1162563725_0001"</f>
        <v>PFES1162563725_0001</v>
      </c>
      <c r="L2502" s="10">
        <v>1</v>
      </c>
      <c r="M2502" s="10">
        <v>1</v>
      </c>
    </row>
    <row r="2503" spans="1:13">
      <c r="A2503" s="8">
        <v>42936</v>
      </c>
      <c r="B2503" s="9">
        <v>0.53194444444444444</v>
      </c>
      <c r="C2503" s="10" t="str">
        <f>"FES1162563770"</f>
        <v>FES1162563770</v>
      </c>
      <c r="D2503" s="10" t="s">
        <v>19</v>
      </c>
      <c r="E2503" s="10" t="s">
        <v>527</v>
      </c>
      <c r="F2503" s="10" t="str">
        <f>"2170580281 "</f>
        <v xml:space="preserve">2170580281 </v>
      </c>
      <c r="G2503" s="10" t="str">
        <f t="shared" si="108"/>
        <v>ON1</v>
      </c>
      <c r="H2503" s="10" t="s">
        <v>21</v>
      </c>
      <c r="I2503" s="10" t="s">
        <v>217</v>
      </c>
      <c r="J2503" s="10" t="str">
        <f>""</f>
        <v/>
      </c>
      <c r="K2503" s="10" t="str">
        <f>"PFES1162563770_0001"</f>
        <v>PFES1162563770_0001</v>
      </c>
      <c r="L2503" s="10">
        <v>1</v>
      </c>
      <c r="M2503" s="10">
        <v>1</v>
      </c>
    </row>
    <row r="2504" spans="1:13">
      <c r="A2504" s="8">
        <v>42936</v>
      </c>
      <c r="B2504" s="9">
        <v>0.53125</v>
      </c>
      <c r="C2504" s="10" t="str">
        <f>"FES1162563721"</f>
        <v>FES1162563721</v>
      </c>
      <c r="D2504" s="10" t="s">
        <v>19</v>
      </c>
      <c r="E2504" s="10" t="s">
        <v>220</v>
      </c>
      <c r="F2504" s="10" t="str">
        <f>"21705780231 "</f>
        <v xml:space="preserve">21705780231 </v>
      </c>
      <c r="G2504" s="10" t="str">
        <f t="shared" si="108"/>
        <v>ON1</v>
      </c>
      <c r="H2504" s="10" t="s">
        <v>21</v>
      </c>
      <c r="I2504" s="10" t="s">
        <v>24</v>
      </c>
      <c r="J2504" s="10" t="str">
        <f>""</f>
        <v/>
      </c>
      <c r="K2504" s="10" t="str">
        <f>"PFES1162563721_0001"</f>
        <v>PFES1162563721_0001</v>
      </c>
      <c r="L2504" s="10">
        <v>1</v>
      </c>
      <c r="M2504" s="10">
        <v>1</v>
      </c>
    </row>
    <row r="2505" spans="1:13">
      <c r="A2505" s="8">
        <v>42936</v>
      </c>
      <c r="B2505" s="9">
        <v>0.53125</v>
      </c>
      <c r="C2505" s="10" t="str">
        <f>"FES1162563693"</f>
        <v>FES1162563693</v>
      </c>
      <c r="D2505" s="10" t="s">
        <v>19</v>
      </c>
      <c r="E2505" s="10" t="s">
        <v>25</v>
      </c>
      <c r="F2505" s="10" t="str">
        <f>"2170580227 "</f>
        <v xml:space="preserve">2170580227 </v>
      </c>
      <c r="G2505" s="10" t="str">
        <f t="shared" si="108"/>
        <v>ON1</v>
      </c>
      <c r="H2505" s="10" t="s">
        <v>21</v>
      </c>
      <c r="I2505" s="10" t="s">
        <v>26</v>
      </c>
      <c r="J2505" s="10" t="str">
        <f>""</f>
        <v/>
      </c>
      <c r="K2505" s="10" t="str">
        <f>"PFES1162563693_0001"</f>
        <v>PFES1162563693_0001</v>
      </c>
      <c r="L2505" s="10">
        <v>1</v>
      </c>
      <c r="M2505" s="10">
        <v>1</v>
      </c>
    </row>
    <row r="2506" spans="1:13">
      <c r="A2506" s="8">
        <v>42936</v>
      </c>
      <c r="B2506" s="9">
        <v>0.53055555555555556</v>
      </c>
      <c r="C2506" s="10" t="str">
        <f>"FES1162551201"</f>
        <v>FES1162551201</v>
      </c>
      <c r="D2506" s="10" t="s">
        <v>19</v>
      </c>
      <c r="E2506" s="10" t="s">
        <v>450</v>
      </c>
      <c r="F2506" s="10" t="str">
        <f>"21705764553 "</f>
        <v xml:space="preserve">21705764553 </v>
      </c>
      <c r="G2506" s="10" t="str">
        <f t="shared" si="108"/>
        <v>ON1</v>
      </c>
      <c r="H2506" s="10" t="s">
        <v>21</v>
      </c>
      <c r="I2506" s="10" t="s">
        <v>259</v>
      </c>
      <c r="J2506" s="10" t="str">
        <f>""</f>
        <v/>
      </c>
      <c r="K2506" s="10" t="str">
        <f>"PFES1162551201_0001"</f>
        <v>PFES1162551201_0001</v>
      </c>
      <c r="L2506" s="10">
        <v>1</v>
      </c>
      <c r="M2506" s="10">
        <v>1</v>
      </c>
    </row>
    <row r="2507" spans="1:13">
      <c r="A2507" s="8">
        <v>42936</v>
      </c>
      <c r="B2507" s="9">
        <v>0.53055555555555556</v>
      </c>
      <c r="C2507" s="10" t="str">
        <f>"FES1162563691"</f>
        <v>FES1162563691</v>
      </c>
      <c r="D2507" s="10" t="s">
        <v>19</v>
      </c>
      <c r="E2507" s="10" t="s">
        <v>632</v>
      </c>
      <c r="F2507" s="10" t="str">
        <f>"2170580223 "</f>
        <v xml:space="preserve">2170580223 </v>
      </c>
      <c r="G2507" s="10" t="str">
        <f t="shared" si="108"/>
        <v>ON1</v>
      </c>
      <c r="H2507" s="10" t="s">
        <v>21</v>
      </c>
      <c r="I2507" s="10" t="s">
        <v>166</v>
      </c>
      <c r="J2507" s="10" t="str">
        <f>""</f>
        <v/>
      </c>
      <c r="K2507" s="10" t="str">
        <f>"PFES1162563691_0001"</f>
        <v>PFES1162563691_0001</v>
      </c>
      <c r="L2507" s="10">
        <v>1</v>
      </c>
      <c r="M2507" s="10">
        <v>1</v>
      </c>
    </row>
    <row r="2508" spans="1:13">
      <c r="A2508" s="8">
        <v>42936</v>
      </c>
      <c r="B2508" s="9">
        <v>0.53055555555555556</v>
      </c>
      <c r="C2508" s="10" t="str">
        <f>"FES1162563747"</f>
        <v>FES1162563747</v>
      </c>
      <c r="D2508" s="10" t="s">
        <v>19</v>
      </c>
      <c r="E2508" s="10" t="s">
        <v>1021</v>
      </c>
      <c r="F2508" s="10" t="str">
        <f>"2170580075 "</f>
        <v xml:space="preserve">2170580075 </v>
      </c>
      <c r="G2508" s="10" t="str">
        <f t="shared" si="108"/>
        <v>ON1</v>
      </c>
      <c r="H2508" s="10" t="s">
        <v>21</v>
      </c>
      <c r="I2508" s="10" t="s">
        <v>410</v>
      </c>
      <c r="J2508" s="10" t="str">
        <f>""</f>
        <v/>
      </c>
      <c r="K2508" s="10" t="str">
        <f>"PFES1162563747_0001"</f>
        <v>PFES1162563747_0001</v>
      </c>
      <c r="L2508" s="10">
        <v>1</v>
      </c>
      <c r="M2508" s="10">
        <v>1</v>
      </c>
    </row>
    <row r="2509" spans="1:13">
      <c r="A2509" s="8">
        <v>42936</v>
      </c>
      <c r="B2509" s="9">
        <v>0.52986111111111112</v>
      </c>
      <c r="C2509" s="10" t="str">
        <f>"FES1162563736"</f>
        <v>FES1162563736</v>
      </c>
      <c r="D2509" s="10" t="s">
        <v>19</v>
      </c>
      <c r="E2509" s="10" t="s">
        <v>535</v>
      </c>
      <c r="F2509" s="10" t="str">
        <f>"2170580245 "</f>
        <v xml:space="preserve">2170580245 </v>
      </c>
      <c r="G2509" s="10" t="str">
        <f t="shared" si="108"/>
        <v>ON1</v>
      </c>
      <c r="H2509" s="10" t="s">
        <v>21</v>
      </c>
      <c r="I2509" s="10" t="s">
        <v>240</v>
      </c>
      <c r="J2509" s="10" t="str">
        <f>""</f>
        <v/>
      </c>
      <c r="K2509" s="10" t="str">
        <f>"PFES1162563736_0001"</f>
        <v>PFES1162563736_0001</v>
      </c>
      <c r="L2509" s="10">
        <v>1</v>
      </c>
      <c r="M2509" s="10">
        <v>1</v>
      </c>
    </row>
    <row r="2510" spans="1:13">
      <c r="A2510" s="8">
        <v>42936</v>
      </c>
      <c r="B2510" s="9">
        <v>0.52916666666666667</v>
      </c>
      <c r="C2510" s="10" t="str">
        <f>"FES1162563692"</f>
        <v>FES1162563692</v>
      </c>
      <c r="D2510" s="10" t="s">
        <v>19</v>
      </c>
      <c r="E2510" s="10" t="s">
        <v>25</v>
      </c>
      <c r="F2510" s="10" t="str">
        <f>"2170580224 "</f>
        <v xml:space="preserve">2170580224 </v>
      </c>
      <c r="G2510" s="10" t="str">
        <f t="shared" si="108"/>
        <v>ON1</v>
      </c>
      <c r="H2510" s="10" t="s">
        <v>21</v>
      </c>
      <c r="I2510" s="10" t="s">
        <v>26</v>
      </c>
      <c r="J2510" s="10" t="str">
        <f>""</f>
        <v/>
      </c>
      <c r="K2510" s="10" t="str">
        <f>"PFES1162563692_0001"</f>
        <v>PFES1162563692_0001</v>
      </c>
      <c r="L2510" s="10">
        <v>1</v>
      </c>
      <c r="M2510" s="10">
        <v>1</v>
      </c>
    </row>
    <row r="2511" spans="1:13">
      <c r="A2511" s="8">
        <v>42936</v>
      </c>
      <c r="B2511" s="9">
        <v>0.52847222222222223</v>
      </c>
      <c r="C2511" s="10" t="str">
        <f>"FES1162563707"</f>
        <v>FES1162563707</v>
      </c>
      <c r="D2511" s="10" t="s">
        <v>19</v>
      </c>
      <c r="E2511" s="10" t="s">
        <v>158</v>
      </c>
      <c r="F2511" s="10" t="str">
        <f>"2170578245 "</f>
        <v xml:space="preserve">2170578245 </v>
      </c>
      <c r="G2511" s="10" t="str">
        <f t="shared" si="108"/>
        <v>ON1</v>
      </c>
      <c r="H2511" s="10" t="s">
        <v>21</v>
      </c>
      <c r="I2511" s="10" t="s">
        <v>159</v>
      </c>
      <c r="J2511" s="10" t="str">
        <f>""</f>
        <v/>
      </c>
      <c r="K2511" s="10" t="str">
        <f>"PFES1162563707_0001"</f>
        <v>PFES1162563707_0001</v>
      </c>
      <c r="L2511" s="10">
        <v>1</v>
      </c>
      <c r="M2511" s="10">
        <v>1</v>
      </c>
    </row>
    <row r="2512" spans="1:13">
      <c r="A2512" s="8">
        <v>42936</v>
      </c>
      <c r="B2512" s="9">
        <v>0.52847222222222223</v>
      </c>
      <c r="C2512" s="10" t="str">
        <f>"FES1162563768"</f>
        <v>FES1162563768</v>
      </c>
      <c r="D2512" s="10" t="s">
        <v>19</v>
      </c>
      <c r="E2512" s="10" t="s">
        <v>864</v>
      </c>
      <c r="F2512" s="10" t="str">
        <f>"2170580279 "</f>
        <v xml:space="preserve">2170580279 </v>
      </c>
      <c r="G2512" s="10" t="str">
        <f t="shared" si="108"/>
        <v>ON1</v>
      </c>
      <c r="H2512" s="10" t="s">
        <v>21</v>
      </c>
      <c r="I2512" s="10" t="s">
        <v>92</v>
      </c>
      <c r="J2512" s="10" t="str">
        <f>""</f>
        <v/>
      </c>
      <c r="K2512" s="10" t="str">
        <f>"PFES1162563768_0001"</f>
        <v>PFES1162563768_0001</v>
      </c>
      <c r="L2512" s="10">
        <v>1</v>
      </c>
      <c r="M2512" s="10">
        <v>1</v>
      </c>
    </row>
    <row r="2513" spans="1:13">
      <c r="A2513" s="8">
        <v>42936</v>
      </c>
      <c r="B2513" s="9">
        <v>0.52777777777777779</v>
      </c>
      <c r="C2513" s="10" t="str">
        <f>"FES1162563746"</f>
        <v>FES1162563746</v>
      </c>
      <c r="D2513" s="10" t="s">
        <v>19</v>
      </c>
      <c r="E2513" s="10" t="s">
        <v>301</v>
      </c>
      <c r="F2513" s="10" t="str">
        <f>"2170580060 "</f>
        <v xml:space="preserve">2170580060 </v>
      </c>
      <c r="G2513" s="10" t="str">
        <f t="shared" si="108"/>
        <v>ON1</v>
      </c>
      <c r="H2513" s="10" t="s">
        <v>21</v>
      </c>
      <c r="I2513" s="10" t="s">
        <v>302</v>
      </c>
      <c r="J2513" s="10" t="str">
        <f>""</f>
        <v/>
      </c>
      <c r="K2513" s="10" t="str">
        <f>"PFES1162563746_0001"</f>
        <v>PFES1162563746_0001</v>
      </c>
      <c r="L2513" s="10">
        <v>1</v>
      </c>
      <c r="M2513" s="10">
        <v>1</v>
      </c>
    </row>
    <row r="2514" spans="1:13">
      <c r="A2514" s="8">
        <v>42936</v>
      </c>
      <c r="B2514" s="9">
        <v>0.52777777777777779</v>
      </c>
      <c r="C2514" s="10" t="str">
        <f>"FES1162563775"</f>
        <v>FES1162563775</v>
      </c>
      <c r="D2514" s="10" t="s">
        <v>19</v>
      </c>
      <c r="E2514" s="10" t="s">
        <v>20</v>
      </c>
      <c r="F2514" s="10" t="str">
        <f>"2170580282 "</f>
        <v xml:space="preserve">2170580282 </v>
      </c>
      <c r="G2514" s="10" t="str">
        <f t="shared" si="108"/>
        <v>ON1</v>
      </c>
      <c r="H2514" s="10" t="s">
        <v>21</v>
      </c>
      <c r="I2514" s="10" t="s">
        <v>22</v>
      </c>
      <c r="J2514" s="10" t="str">
        <f>""</f>
        <v/>
      </c>
      <c r="K2514" s="10" t="str">
        <f>"PFES1162563775_0001"</f>
        <v>PFES1162563775_0001</v>
      </c>
      <c r="L2514" s="10">
        <v>1</v>
      </c>
      <c r="M2514" s="10">
        <v>1</v>
      </c>
    </row>
    <row r="2515" spans="1:13">
      <c r="A2515" s="8">
        <v>42936</v>
      </c>
      <c r="B2515" s="9">
        <v>0.52708333333333335</v>
      </c>
      <c r="C2515" s="10" t="str">
        <f>"FES1162563697"</f>
        <v>FES1162563697</v>
      </c>
      <c r="D2515" s="10" t="s">
        <v>19</v>
      </c>
      <c r="E2515" s="10" t="s">
        <v>204</v>
      </c>
      <c r="F2515" s="10" t="str">
        <f>"2170576405 "</f>
        <v xml:space="preserve">2170576405 </v>
      </c>
      <c r="G2515" s="10" t="str">
        <f t="shared" si="108"/>
        <v>ON1</v>
      </c>
      <c r="H2515" s="10" t="s">
        <v>21</v>
      </c>
      <c r="I2515" s="10" t="s">
        <v>205</v>
      </c>
      <c r="J2515" s="10" t="str">
        <f>""</f>
        <v/>
      </c>
      <c r="K2515" s="10" t="str">
        <f>"PFES1162563697_0001"</f>
        <v>PFES1162563697_0001</v>
      </c>
      <c r="L2515" s="10">
        <v>1</v>
      </c>
      <c r="M2515" s="10">
        <v>1</v>
      </c>
    </row>
    <row r="2516" spans="1:13">
      <c r="A2516" s="8">
        <v>42936</v>
      </c>
      <c r="B2516" s="9">
        <v>0.52708333333333335</v>
      </c>
      <c r="C2516" s="10" t="str">
        <f>"FES1162563714"</f>
        <v>FES1162563714</v>
      </c>
      <c r="D2516" s="10" t="s">
        <v>19</v>
      </c>
      <c r="E2516" s="10" t="s">
        <v>154</v>
      </c>
      <c r="F2516" s="10" t="str">
        <f>"2170579835 "</f>
        <v xml:space="preserve">2170579835 </v>
      </c>
      <c r="G2516" s="10" t="str">
        <f t="shared" si="108"/>
        <v>ON1</v>
      </c>
      <c r="H2516" s="10" t="s">
        <v>21</v>
      </c>
      <c r="I2516" s="10" t="s">
        <v>130</v>
      </c>
      <c r="J2516" s="10" t="str">
        <f>""</f>
        <v/>
      </c>
      <c r="K2516" s="10" t="str">
        <f>"PFES1162563714_0001"</f>
        <v>PFES1162563714_0001</v>
      </c>
      <c r="L2516" s="10">
        <v>1</v>
      </c>
      <c r="M2516" s="10">
        <v>1</v>
      </c>
    </row>
    <row r="2517" spans="1:13">
      <c r="A2517" s="8">
        <v>42936</v>
      </c>
      <c r="B2517" s="9">
        <v>0.52638888888888891</v>
      </c>
      <c r="C2517" s="10" t="str">
        <f>"FES1162563722"</f>
        <v>FES1162563722</v>
      </c>
      <c r="D2517" s="10" t="s">
        <v>19</v>
      </c>
      <c r="E2517" s="10" t="s">
        <v>220</v>
      </c>
      <c r="F2517" s="10" t="str">
        <f>"21705780232 "</f>
        <v xml:space="preserve">21705780232 </v>
      </c>
      <c r="G2517" s="10" t="str">
        <f t="shared" si="108"/>
        <v>ON1</v>
      </c>
      <c r="H2517" s="10" t="s">
        <v>21</v>
      </c>
      <c r="I2517" s="10" t="s">
        <v>24</v>
      </c>
      <c r="J2517" s="10" t="str">
        <f>""</f>
        <v/>
      </c>
      <c r="K2517" s="10" t="str">
        <f>"PFES1162563722_0001"</f>
        <v>PFES1162563722_0001</v>
      </c>
      <c r="L2517" s="10">
        <v>1</v>
      </c>
      <c r="M2517" s="10">
        <v>1</v>
      </c>
    </row>
    <row r="2518" spans="1:13">
      <c r="A2518" s="8">
        <v>42936</v>
      </c>
      <c r="B2518" s="9">
        <v>0.52638888888888891</v>
      </c>
      <c r="C2518" s="10" t="str">
        <f>"FES1162563591"</f>
        <v>FES1162563591</v>
      </c>
      <c r="D2518" s="10" t="s">
        <v>19</v>
      </c>
      <c r="E2518" s="10" t="s">
        <v>297</v>
      </c>
      <c r="F2518" s="10" t="str">
        <f>"2170579820 "</f>
        <v xml:space="preserve">2170579820 </v>
      </c>
      <c r="G2518" s="10" t="str">
        <f t="shared" si="108"/>
        <v>ON1</v>
      </c>
      <c r="H2518" s="10" t="s">
        <v>21</v>
      </c>
      <c r="I2518" s="10" t="s">
        <v>98</v>
      </c>
      <c r="J2518" s="10" t="str">
        <f>""</f>
        <v/>
      </c>
      <c r="K2518" s="10" t="str">
        <f>"PFES1162563591_0001"</f>
        <v>PFES1162563591_0001</v>
      </c>
      <c r="L2518" s="10">
        <v>1</v>
      </c>
      <c r="M2518" s="10">
        <v>1</v>
      </c>
    </row>
    <row r="2519" spans="1:13">
      <c r="A2519" s="8">
        <v>42936</v>
      </c>
      <c r="B2519" s="9">
        <v>0.52569444444444446</v>
      </c>
      <c r="C2519" s="10" t="str">
        <f>"FES1162563668"</f>
        <v>FES1162563668</v>
      </c>
      <c r="D2519" s="10" t="s">
        <v>19</v>
      </c>
      <c r="E2519" s="10" t="s">
        <v>1022</v>
      </c>
      <c r="F2519" s="10" t="str">
        <f>"21705780194 "</f>
        <v xml:space="preserve">21705780194 </v>
      </c>
      <c r="G2519" s="10" t="str">
        <f t="shared" si="108"/>
        <v>ON1</v>
      </c>
      <c r="H2519" s="10" t="s">
        <v>21</v>
      </c>
      <c r="I2519" s="10" t="s">
        <v>136</v>
      </c>
      <c r="J2519" s="10" t="str">
        <f>""</f>
        <v/>
      </c>
      <c r="K2519" s="10" t="str">
        <f>"PFES1162563668_0001"</f>
        <v>PFES1162563668_0001</v>
      </c>
      <c r="L2519" s="10">
        <v>1</v>
      </c>
      <c r="M2519" s="10">
        <v>1</v>
      </c>
    </row>
    <row r="2520" spans="1:13">
      <c r="A2520" s="8">
        <v>42936</v>
      </c>
      <c r="B2520" s="9">
        <v>0.52569444444444446</v>
      </c>
      <c r="C2520" s="10" t="str">
        <f>"FES1162563762"</f>
        <v>FES1162563762</v>
      </c>
      <c r="D2520" s="10" t="s">
        <v>19</v>
      </c>
      <c r="E2520" s="10" t="s">
        <v>581</v>
      </c>
      <c r="F2520" s="10" t="str">
        <f>"21705780275 "</f>
        <v xml:space="preserve">21705780275 </v>
      </c>
      <c r="G2520" s="10" t="str">
        <f t="shared" si="108"/>
        <v>ON1</v>
      </c>
      <c r="H2520" s="10" t="s">
        <v>21</v>
      </c>
      <c r="I2520" s="10" t="s">
        <v>22</v>
      </c>
      <c r="J2520" s="10" t="str">
        <f>""</f>
        <v/>
      </c>
      <c r="K2520" s="10" t="str">
        <f>"PFES1162563762_0001"</f>
        <v>PFES1162563762_0001</v>
      </c>
      <c r="L2520" s="10">
        <v>1</v>
      </c>
      <c r="M2520" s="10">
        <v>1</v>
      </c>
    </row>
    <row r="2521" spans="1:13">
      <c r="A2521" s="8">
        <v>42936</v>
      </c>
      <c r="B2521" s="9">
        <v>0.52500000000000002</v>
      </c>
      <c r="C2521" s="10" t="str">
        <f>"FES1162563730"</f>
        <v>FES1162563730</v>
      </c>
      <c r="D2521" s="10" t="s">
        <v>19</v>
      </c>
      <c r="E2521" s="10" t="s">
        <v>211</v>
      </c>
      <c r="F2521" s="10" t="str">
        <f>"21705780240 "</f>
        <v xml:space="preserve">21705780240 </v>
      </c>
      <c r="G2521" s="10" t="str">
        <f t="shared" si="108"/>
        <v>ON1</v>
      </c>
      <c r="H2521" s="10" t="s">
        <v>21</v>
      </c>
      <c r="I2521" s="10" t="s">
        <v>56</v>
      </c>
      <c r="J2521" s="10" t="str">
        <f>""</f>
        <v/>
      </c>
      <c r="K2521" s="10" t="str">
        <f>"PFES1162563730_0001"</f>
        <v>PFES1162563730_0001</v>
      </c>
      <c r="L2521" s="10">
        <v>1</v>
      </c>
      <c r="M2521" s="10">
        <v>1</v>
      </c>
    </row>
    <row r="2522" spans="1:13">
      <c r="A2522" s="8">
        <v>42936</v>
      </c>
      <c r="B2522" s="9">
        <v>0.52500000000000002</v>
      </c>
      <c r="C2522" s="10" t="str">
        <f>"FES1162563787"</f>
        <v>FES1162563787</v>
      </c>
      <c r="D2522" s="10" t="s">
        <v>19</v>
      </c>
      <c r="E2522" s="10" t="s">
        <v>466</v>
      </c>
      <c r="F2522" s="10" t="str">
        <f>"21705780307 "</f>
        <v xml:space="preserve">21705780307 </v>
      </c>
      <c r="G2522" s="10" t="str">
        <f t="shared" si="108"/>
        <v>ON1</v>
      </c>
      <c r="H2522" s="10" t="s">
        <v>21</v>
      </c>
      <c r="I2522" s="10" t="s">
        <v>467</v>
      </c>
      <c r="J2522" s="10" t="str">
        <f>""</f>
        <v/>
      </c>
      <c r="K2522" s="10" t="str">
        <f>"PFES1162563787_0001"</f>
        <v>PFES1162563787_0001</v>
      </c>
      <c r="L2522" s="10">
        <v>1</v>
      </c>
      <c r="M2522" s="10">
        <v>1</v>
      </c>
    </row>
    <row r="2523" spans="1:13">
      <c r="A2523" s="8">
        <v>42936</v>
      </c>
      <c r="B2523" s="9">
        <v>0.52500000000000002</v>
      </c>
      <c r="C2523" s="10" t="str">
        <f>"FES1162563743"</f>
        <v>FES1162563743</v>
      </c>
      <c r="D2523" s="10" t="s">
        <v>19</v>
      </c>
      <c r="E2523" s="10" t="s">
        <v>816</v>
      </c>
      <c r="F2523" s="10" t="str">
        <f>"21705780255 "</f>
        <v xml:space="preserve">21705780255 </v>
      </c>
      <c r="G2523" s="10" t="str">
        <f t="shared" si="108"/>
        <v>ON1</v>
      </c>
      <c r="H2523" s="10" t="s">
        <v>21</v>
      </c>
      <c r="I2523" s="10" t="s">
        <v>817</v>
      </c>
      <c r="J2523" s="10" t="str">
        <f>""</f>
        <v/>
      </c>
      <c r="K2523" s="10" t="str">
        <f>"PFES1162563743_0001"</f>
        <v>PFES1162563743_0001</v>
      </c>
      <c r="L2523" s="10">
        <v>1</v>
      </c>
      <c r="M2523" s="10">
        <v>1</v>
      </c>
    </row>
    <row r="2524" spans="1:13">
      <c r="A2524" s="8">
        <v>42936</v>
      </c>
      <c r="B2524" s="9">
        <v>0.52430555555555558</v>
      </c>
      <c r="C2524" s="10" t="str">
        <f>"FES1162563757"</f>
        <v>FES1162563757</v>
      </c>
      <c r="D2524" s="10" t="s">
        <v>19</v>
      </c>
      <c r="E2524" s="10" t="s">
        <v>1023</v>
      </c>
      <c r="F2524" s="10" t="str">
        <f>"217057802068 "</f>
        <v xml:space="preserve">217057802068 </v>
      </c>
      <c r="G2524" s="10" t="str">
        <f t="shared" si="108"/>
        <v>ON1</v>
      </c>
      <c r="H2524" s="10" t="s">
        <v>21</v>
      </c>
      <c r="I2524" s="10" t="s">
        <v>217</v>
      </c>
      <c r="J2524" s="10" t="str">
        <f>""</f>
        <v/>
      </c>
      <c r="K2524" s="10" t="str">
        <f>"PFES1162563757_0001"</f>
        <v>PFES1162563757_0001</v>
      </c>
      <c r="L2524" s="10">
        <v>1</v>
      </c>
      <c r="M2524" s="10">
        <v>3</v>
      </c>
    </row>
    <row r="2525" spans="1:13">
      <c r="A2525" s="8">
        <v>42936</v>
      </c>
      <c r="B2525" s="9">
        <v>0.52430555555555558</v>
      </c>
      <c r="C2525" s="10" t="str">
        <f>"FES1162563652"</f>
        <v>FES1162563652</v>
      </c>
      <c r="D2525" s="10" t="s">
        <v>19</v>
      </c>
      <c r="E2525" s="10" t="s">
        <v>631</v>
      </c>
      <c r="F2525" s="10" t="str">
        <f>"2170577851 "</f>
        <v xml:space="preserve">2170577851 </v>
      </c>
      <c r="G2525" s="10" t="str">
        <f t="shared" si="108"/>
        <v>ON1</v>
      </c>
      <c r="H2525" s="10" t="s">
        <v>21</v>
      </c>
      <c r="I2525" s="10" t="s">
        <v>90</v>
      </c>
      <c r="J2525" s="10" t="str">
        <f>""</f>
        <v/>
      </c>
      <c r="K2525" s="10" t="str">
        <f>"PFES1162563652_0001"</f>
        <v>PFES1162563652_0001</v>
      </c>
      <c r="L2525" s="10">
        <v>1</v>
      </c>
      <c r="M2525" s="10">
        <v>1</v>
      </c>
    </row>
    <row r="2526" spans="1:13">
      <c r="A2526" s="8">
        <v>42936</v>
      </c>
      <c r="B2526" s="9">
        <v>0.52361111111111114</v>
      </c>
      <c r="C2526" s="10" t="str">
        <f>"FES1162563643"</f>
        <v>FES1162563643</v>
      </c>
      <c r="D2526" s="10" t="s">
        <v>19</v>
      </c>
      <c r="E2526" s="10" t="s">
        <v>45</v>
      </c>
      <c r="F2526" s="10" t="str">
        <f>"2170580156 "</f>
        <v xml:space="preserve">2170580156 </v>
      </c>
      <c r="G2526" s="10" t="str">
        <f t="shared" si="108"/>
        <v>ON1</v>
      </c>
      <c r="H2526" s="10" t="s">
        <v>21</v>
      </c>
      <c r="I2526" s="10" t="s">
        <v>46</v>
      </c>
      <c r="J2526" s="10" t="str">
        <f>""</f>
        <v/>
      </c>
      <c r="K2526" s="10" t="str">
        <f>"PFES1162563643_0001"</f>
        <v>PFES1162563643_0001</v>
      </c>
      <c r="L2526" s="10">
        <v>1</v>
      </c>
      <c r="M2526" s="10">
        <v>1</v>
      </c>
    </row>
    <row r="2527" spans="1:13">
      <c r="A2527" s="8">
        <v>42936</v>
      </c>
      <c r="B2527" s="9">
        <v>0.5229166666666667</v>
      </c>
      <c r="C2527" s="10" t="str">
        <f>"FES1162563689"</f>
        <v>FES1162563689</v>
      </c>
      <c r="D2527" s="10" t="s">
        <v>19</v>
      </c>
      <c r="E2527" s="10" t="s">
        <v>460</v>
      </c>
      <c r="F2527" s="10" t="str">
        <f>"21705780220 "</f>
        <v xml:space="preserve">21705780220 </v>
      </c>
      <c r="G2527" s="10" t="str">
        <f t="shared" si="108"/>
        <v>ON1</v>
      </c>
      <c r="H2527" s="10" t="s">
        <v>21</v>
      </c>
      <c r="I2527" s="10" t="s">
        <v>461</v>
      </c>
      <c r="J2527" s="10" t="str">
        <f>""</f>
        <v/>
      </c>
      <c r="K2527" s="10" t="str">
        <f>"PFES1162563689_0001"</f>
        <v>PFES1162563689_0001</v>
      </c>
      <c r="L2527" s="10">
        <v>1</v>
      </c>
      <c r="M2527" s="10">
        <v>2</v>
      </c>
    </row>
    <row r="2528" spans="1:13">
      <c r="A2528" s="8">
        <v>42936</v>
      </c>
      <c r="B2528" s="9">
        <v>0.5229166666666667</v>
      </c>
      <c r="C2528" s="10" t="str">
        <f>"FES1162563717"</f>
        <v>FES1162563717</v>
      </c>
      <c r="D2528" s="10" t="s">
        <v>19</v>
      </c>
      <c r="E2528" s="10" t="s">
        <v>167</v>
      </c>
      <c r="F2528" s="10" t="str">
        <f>"21705780066 "</f>
        <v xml:space="preserve">21705780066 </v>
      </c>
      <c r="G2528" s="10" t="str">
        <f t="shared" si="108"/>
        <v>ON1</v>
      </c>
      <c r="H2528" s="10" t="s">
        <v>21</v>
      </c>
      <c r="I2528" s="10" t="s">
        <v>168</v>
      </c>
      <c r="J2528" s="10" t="str">
        <f>""</f>
        <v/>
      </c>
      <c r="K2528" s="10" t="str">
        <f>"PFES1162563717_0001"</f>
        <v>PFES1162563717_0001</v>
      </c>
      <c r="L2528" s="10">
        <v>1</v>
      </c>
      <c r="M2528" s="10">
        <v>1</v>
      </c>
    </row>
    <row r="2529" spans="1:13">
      <c r="A2529" s="8">
        <v>42936</v>
      </c>
      <c r="B2529" s="9">
        <v>0.52222222222222225</v>
      </c>
      <c r="C2529" s="10" t="str">
        <f>"FES1162563679"</f>
        <v>FES1162563679</v>
      </c>
      <c r="D2529" s="10" t="s">
        <v>19</v>
      </c>
      <c r="E2529" s="10" t="s">
        <v>1024</v>
      </c>
      <c r="F2529" s="10" t="str">
        <f>"2170580210 "</f>
        <v xml:space="preserve">2170580210 </v>
      </c>
      <c r="G2529" s="10" t="str">
        <f t="shared" si="108"/>
        <v>ON1</v>
      </c>
      <c r="H2529" s="10" t="s">
        <v>21</v>
      </c>
      <c r="I2529" s="10" t="s">
        <v>149</v>
      </c>
      <c r="J2529" s="10" t="str">
        <f>""</f>
        <v/>
      </c>
      <c r="K2529" s="10" t="str">
        <f>"PFES1162563679_0001"</f>
        <v>PFES1162563679_0001</v>
      </c>
      <c r="L2529" s="10">
        <v>1</v>
      </c>
      <c r="M2529" s="10">
        <v>1</v>
      </c>
    </row>
    <row r="2530" spans="1:13">
      <c r="A2530" s="8">
        <v>42936</v>
      </c>
      <c r="B2530" s="9">
        <v>0.52222222222222225</v>
      </c>
      <c r="C2530" s="10" t="str">
        <f>"FES1162563836"</f>
        <v>FES1162563836</v>
      </c>
      <c r="D2530" s="10" t="s">
        <v>19</v>
      </c>
      <c r="E2530" s="10" t="s">
        <v>158</v>
      </c>
      <c r="F2530" s="10" t="str">
        <f>"21705780359 "</f>
        <v xml:space="preserve">21705780359 </v>
      </c>
      <c r="G2530" s="10" t="str">
        <f t="shared" si="108"/>
        <v>ON1</v>
      </c>
      <c r="H2530" s="10" t="s">
        <v>21</v>
      </c>
      <c r="I2530" s="10" t="s">
        <v>159</v>
      </c>
      <c r="J2530" s="10" t="str">
        <f>""</f>
        <v/>
      </c>
      <c r="K2530" s="10" t="str">
        <f>"PFES1162563836_0001"</f>
        <v>PFES1162563836_0001</v>
      </c>
      <c r="L2530" s="10">
        <v>1</v>
      </c>
      <c r="M2530" s="10">
        <v>1</v>
      </c>
    </row>
    <row r="2531" spans="1:13">
      <c r="A2531" s="8">
        <v>42936</v>
      </c>
      <c r="B2531" s="9">
        <v>0.52222222222222225</v>
      </c>
      <c r="C2531" s="10" t="str">
        <f>"FES1162563832"</f>
        <v>FES1162563832</v>
      </c>
      <c r="D2531" s="10" t="s">
        <v>19</v>
      </c>
      <c r="E2531" s="10" t="s">
        <v>129</v>
      </c>
      <c r="F2531" s="10" t="str">
        <f>"2170578034 "</f>
        <v xml:space="preserve">2170578034 </v>
      </c>
      <c r="G2531" s="10" t="str">
        <f t="shared" ref="G2531:G2550" si="109">"ON1"</f>
        <v>ON1</v>
      </c>
      <c r="H2531" s="10" t="s">
        <v>21</v>
      </c>
      <c r="I2531" s="10" t="s">
        <v>130</v>
      </c>
      <c r="J2531" s="10" t="str">
        <f>""</f>
        <v/>
      </c>
      <c r="K2531" s="10" t="str">
        <f>"PFES1162563832_0001"</f>
        <v>PFES1162563832_0001</v>
      </c>
      <c r="L2531" s="10">
        <v>1</v>
      </c>
      <c r="M2531" s="10">
        <v>1</v>
      </c>
    </row>
    <row r="2532" spans="1:13">
      <c r="A2532" s="8">
        <v>42936</v>
      </c>
      <c r="B2532" s="9">
        <v>0.52152777777777781</v>
      </c>
      <c r="C2532" s="10" t="str">
        <f>"FES1162563851"</f>
        <v>FES1162563851</v>
      </c>
      <c r="D2532" s="10" t="s">
        <v>19</v>
      </c>
      <c r="E2532" s="10" t="s">
        <v>319</v>
      </c>
      <c r="F2532" s="10" t="str">
        <f>"21705780371 "</f>
        <v xml:space="preserve">21705780371 </v>
      </c>
      <c r="G2532" s="10" t="str">
        <f t="shared" si="109"/>
        <v>ON1</v>
      </c>
      <c r="H2532" s="10" t="s">
        <v>21</v>
      </c>
      <c r="I2532" s="10" t="s">
        <v>177</v>
      </c>
      <c r="J2532" s="10" t="str">
        <f>""</f>
        <v/>
      </c>
      <c r="K2532" s="10" t="str">
        <f>"PFES1162563851_0001"</f>
        <v>PFES1162563851_0001</v>
      </c>
      <c r="L2532" s="10">
        <v>1</v>
      </c>
      <c r="M2532" s="10">
        <v>2</v>
      </c>
    </row>
    <row r="2533" spans="1:13">
      <c r="A2533" s="8">
        <v>42936</v>
      </c>
      <c r="B2533" s="9">
        <v>0.52152777777777781</v>
      </c>
      <c r="C2533" s="10" t="str">
        <f>"FES1162563742"</f>
        <v>FES1162563742</v>
      </c>
      <c r="D2533" s="10" t="s">
        <v>19</v>
      </c>
      <c r="E2533" s="10" t="s">
        <v>403</v>
      </c>
      <c r="F2533" s="10" t="str">
        <f>"2170580253 "</f>
        <v xml:space="preserve">2170580253 </v>
      </c>
      <c r="G2533" s="10" t="str">
        <f t="shared" si="109"/>
        <v>ON1</v>
      </c>
      <c r="H2533" s="10" t="s">
        <v>21</v>
      </c>
      <c r="I2533" s="10" t="s">
        <v>222</v>
      </c>
      <c r="J2533" s="10" t="str">
        <f>""</f>
        <v/>
      </c>
      <c r="K2533" s="10" t="str">
        <f>"PFES1162563742_0001"</f>
        <v>PFES1162563742_0001</v>
      </c>
      <c r="L2533" s="10">
        <v>1</v>
      </c>
      <c r="M2533" s="10">
        <v>1</v>
      </c>
    </row>
    <row r="2534" spans="1:13">
      <c r="A2534" s="8">
        <v>42936</v>
      </c>
      <c r="B2534" s="9">
        <v>0.52152777777777781</v>
      </c>
      <c r="C2534" s="10" t="str">
        <f>"FES1162563823"</f>
        <v>FES1162563823</v>
      </c>
      <c r="D2534" s="10" t="s">
        <v>19</v>
      </c>
      <c r="E2534" s="10" t="s">
        <v>277</v>
      </c>
      <c r="F2534" s="10" t="str">
        <f>"2170578044 "</f>
        <v xml:space="preserve">2170578044 </v>
      </c>
      <c r="G2534" s="10" t="str">
        <f t="shared" si="109"/>
        <v>ON1</v>
      </c>
      <c r="H2534" s="10" t="s">
        <v>21</v>
      </c>
      <c r="I2534" s="10" t="s">
        <v>234</v>
      </c>
      <c r="J2534" s="10" t="str">
        <f>""</f>
        <v/>
      </c>
      <c r="K2534" s="10" t="str">
        <f>"PFES1162563823_0001"</f>
        <v>PFES1162563823_0001</v>
      </c>
      <c r="L2534" s="10">
        <v>1</v>
      </c>
      <c r="M2534" s="10">
        <v>5</v>
      </c>
    </row>
    <row r="2535" spans="1:13">
      <c r="A2535" s="8">
        <v>42936</v>
      </c>
      <c r="B2535" s="9">
        <v>0.52083333333333337</v>
      </c>
      <c r="C2535" s="10" t="str">
        <f>"FES1162563855"</f>
        <v>FES1162563855</v>
      </c>
      <c r="D2535" s="10" t="s">
        <v>19</v>
      </c>
      <c r="E2535" s="10" t="s">
        <v>184</v>
      </c>
      <c r="F2535" s="10" t="str">
        <f>"2170572200 "</f>
        <v xml:space="preserve">2170572200 </v>
      </c>
      <c r="G2535" s="10" t="str">
        <f t="shared" si="109"/>
        <v>ON1</v>
      </c>
      <c r="H2535" s="10" t="s">
        <v>21</v>
      </c>
      <c r="I2535" s="10" t="s">
        <v>185</v>
      </c>
      <c r="J2535" s="10" t="str">
        <f>""</f>
        <v/>
      </c>
      <c r="K2535" s="10" t="str">
        <f>"PFES1162563855_0001"</f>
        <v>PFES1162563855_0001</v>
      </c>
      <c r="L2535" s="10">
        <v>1</v>
      </c>
      <c r="M2535" s="10">
        <v>2</v>
      </c>
    </row>
    <row r="2536" spans="1:13">
      <c r="A2536" s="8">
        <v>42936</v>
      </c>
      <c r="B2536" s="9">
        <v>0.52083333333333337</v>
      </c>
      <c r="C2536" s="10" t="str">
        <f>"FES1162563849"</f>
        <v>FES1162563849</v>
      </c>
      <c r="D2536" s="10" t="s">
        <v>19</v>
      </c>
      <c r="E2536" s="10" t="s">
        <v>397</v>
      </c>
      <c r="F2536" s="10" t="str">
        <f>"21705780367 "</f>
        <v xml:space="preserve">21705780367 </v>
      </c>
      <c r="G2536" s="10" t="str">
        <f t="shared" si="109"/>
        <v>ON1</v>
      </c>
      <c r="H2536" s="10" t="s">
        <v>21</v>
      </c>
      <c r="I2536" s="10" t="s">
        <v>1025</v>
      </c>
      <c r="J2536" s="10" t="str">
        <f>""</f>
        <v/>
      </c>
      <c r="K2536" s="10" t="str">
        <f>"PFES1162563849_0001"</f>
        <v>PFES1162563849_0001</v>
      </c>
      <c r="L2536" s="10">
        <v>1</v>
      </c>
      <c r="M2536" s="10">
        <v>5</v>
      </c>
    </row>
    <row r="2537" spans="1:13">
      <c r="A2537" s="8">
        <v>42936</v>
      </c>
      <c r="B2537" s="9">
        <v>0.52013888888888882</v>
      </c>
      <c r="C2537" s="10" t="str">
        <f>"FES1162563760"</f>
        <v>FES1162563760</v>
      </c>
      <c r="D2537" s="10" t="s">
        <v>19</v>
      </c>
      <c r="E2537" s="10" t="s">
        <v>272</v>
      </c>
      <c r="F2537" s="10" t="str">
        <f>"2170580261 "</f>
        <v xml:space="preserve">2170580261 </v>
      </c>
      <c r="G2537" s="10" t="str">
        <f t="shared" si="109"/>
        <v>ON1</v>
      </c>
      <c r="H2537" s="10" t="s">
        <v>21</v>
      </c>
      <c r="I2537" s="10" t="s">
        <v>166</v>
      </c>
      <c r="J2537" s="10" t="str">
        <f>""</f>
        <v/>
      </c>
      <c r="K2537" s="10" t="str">
        <f>"PFES1162563760_0001"</f>
        <v>PFES1162563760_0001</v>
      </c>
      <c r="L2537" s="10">
        <v>1</v>
      </c>
      <c r="M2537" s="10">
        <v>1</v>
      </c>
    </row>
    <row r="2538" spans="1:13">
      <c r="A2538" s="8">
        <v>42936</v>
      </c>
      <c r="B2538" s="9">
        <v>0.51944444444444449</v>
      </c>
      <c r="C2538" s="10" t="str">
        <f>"FES162563761"</f>
        <v>FES162563761</v>
      </c>
      <c r="D2538" s="10" t="s">
        <v>19</v>
      </c>
      <c r="E2538" s="10" t="s">
        <v>264</v>
      </c>
      <c r="F2538" s="10" t="str">
        <f>"2170580271 "</f>
        <v xml:space="preserve">2170580271 </v>
      </c>
      <c r="G2538" s="10" t="str">
        <f t="shared" si="109"/>
        <v>ON1</v>
      </c>
      <c r="H2538" s="10" t="s">
        <v>21</v>
      </c>
      <c r="I2538" s="10" t="s">
        <v>240</v>
      </c>
      <c r="J2538" s="10" t="str">
        <f>""</f>
        <v/>
      </c>
      <c r="K2538" s="10" t="str">
        <f>"PFES162563761_0001"</f>
        <v>PFES162563761_0001</v>
      </c>
      <c r="L2538" s="10">
        <v>1</v>
      </c>
      <c r="M2538" s="10">
        <v>1</v>
      </c>
    </row>
    <row r="2539" spans="1:13">
      <c r="A2539" s="8">
        <v>42936</v>
      </c>
      <c r="B2539" s="9">
        <v>0.51874999999999993</v>
      </c>
      <c r="C2539" s="10" t="str">
        <f>"FES1162563769"</f>
        <v>FES1162563769</v>
      </c>
      <c r="D2539" s="10" t="s">
        <v>19</v>
      </c>
      <c r="E2539" s="10" t="s">
        <v>279</v>
      </c>
      <c r="F2539" s="10" t="str">
        <f>"2170580280 "</f>
        <v xml:space="preserve">2170580280 </v>
      </c>
      <c r="G2539" s="10" t="str">
        <f t="shared" si="109"/>
        <v>ON1</v>
      </c>
      <c r="H2539" s="10" t="s">
        <v>21</v>
      </c>
      <c r="I2539" s="10" t="s">
        <v>240</v>
      </c>
      <c r="J2539" s="10" t="str">
        <f>""</f>
        <v/>
      </c>
      <c r="K2539" s="10" t="str">
        <f>"PFES1162563769_0001"</f>
        <v>PFES1162563769_0001</v>
      </c>
      <c r="L2539" s="10">
        <v>1</v>
      </c>
      <c r="M2539" s="10">
        <v>1</v>
      </c>
    </row>
    <row r="2540" spans="1:13">
      <c r="A2540" s="8">
        <v>42936</v>
      </c>
      <c r="B2540" s="9">
        <v>0.51736111111111105</v>
      </c>
      <c r="C2540" s="10" t="str">
        <f>"FES1162561503"</f>
        <v>FES1162561503</v>
      </c>
      <c r="D2540" s="10" t="s">
        <v>19</v>
      </c>
      <c r="E2540" s="10" t="s">
        <v>572</v>
      </c>
      <c r="F2540" s="10" t="str">
        <f>"2170574539 "</f>
        <v xml:space="preserve">2170574539 </v>
      </c>
      <c r="G2540" s="10" t="str">
        <f t="shared" si="109"/>
        <v>ON1</v>
      </c>
      <c r="H2540" s="10" t="s">
        <v>21</v>
      </c>
      <c r="I2540" s="10" t="s">
        <v>547</v>
      </c>
      <c r="J2540" s="10" t="str">
        <f>""</f>
        <v/>
      </c>
      <c r="K2540" s="10" t="str">
        <f>"PFES1162561503_0001"</f>
        <v>PFES1162561503_0001</v>
      </c>
      <c r="L2540" s="10">
        <v>1</v>
      </c>
      <c r="M2540" s="10">
        <v>1</v>
      </c>
    </row>
    <row r="2541" spans="1:13">
      <c r="A2541" s="8">
        <v>42936</v>
      </c>
      <c r="B2541" s="9">
        <v>0.51666666666666672</v>
      </c>
      <c r="C2541" s="10" t="str">
        <f>"FES1162563758"</f>
        <v>FES1162563758</v>
      </c>
      <c r="D2541" s="10" t="s">
        <v>19</v>
      </c>
      <c r="E2541" s="10" t="s">
        <v>1026</v>
      </c>
      <c r="F2541" s="10" t="str">
        <f>"2170580269 "</f>
        <v xml:space="preserve">2170580269 </v>
      </c>
      <c r="G2541" s="10" t="str">
        <f t="shared" si="109"/>
        <v>ON1</v>
      </c>
      <c r="H2541" s="10" t="s">
        <v>21</v>
      </c>
      <c r="I2541" s="10" t="s">
        <v>177</v>
      </c>
      <c r="J2541" s="10" t="str">
        <f>""</f>
        <v/>
      </c>
      <c r="K2541" s="10" t="str">
        <f>"PFES1162563758_0001"</f>
        <v>PFES1162563758_0001</v>
      </c>
      <c r="L2541" s="10">
        <v>1</v>
      </c>
      <c r="M2541" s="10">
        <v>1</v>
      </c>
    </row>
    <row r="2542" spans="1:13">
      <c r="A2542" s="8">
        <v>42936</v>
      </c>
      <c r="B2542" s="9">
        <v>0.51597222222222217</v>
      </c>
      <c r="C2542" s="10" t="str">
        <f>"FES1162563688"</f>
        <v>FES1162563688</v>
      </c>
      <c r="D2542" s="10" t="s">
        <v>19</v>
      </c>
      <c r="E2542" s="10" t="s">
        <v>108</v>
      </c>
      <c r="F2542" s="10" t="str">
        <f>"2170580219 "</f>
        <v xml:space="preserve">2170580219 </v>
      </c>
      <c r="G2542" s="10" t="str">
        <f t="shared" si="109"/>
        <v>ON1</v>
      </c>
      <c r="H2542" s="10" t="s">
        <v>21</v>
      </c>
      <c r="I2542" s="10" t="s">
        <v>109</v>
      </c>
      <c r="J2542" s="10" t="str">
        <f>""</f>
        <v/>
      </c>
      <c r="K2542" s="10" t="str">
        <f>"PFES1162563688_0001"</f>
        <v>PFES1162563688_0001</v>
      </c>
      <c r="L2542" s="10">
        <v>1</v>
      </c>
      <c r="M2542" s="10">
        <v>1</v>
      </c>
    </row>
    <row r="2543" spans="1:13">
      <c r="A2543" s="8">
        <v>42936</v>
      </c>
      <c r="B2543" s="9">
        <v>0.51527777777777783</v>
      </c>
      <c r="C2543" s="10" t="str">
        <f>"FES1162563699"</f>
        <v>FES1162563699</v>
      </c>
      <c r="D2543" s="10" t="s">
        <v>19</v>
      </c>
      <c r="E2543" s="10" t="s">
        <v>1020</v>
      </c>
      <c r="F2543" s="10" t="str">
        <f>"2170577560 "</f>
        <v xml:space="preserve">2170577560 </v>
      </c>
      <c r="G2543" s="10" t="str">
        <f t="shared" si="109"/>
        <v>ON1</v>
      </c>
      <c r="H2543" s="10" t="s">
        <v>21</v>
      </c>
      <c r="I2543" s="10" t="s">
        <v>75</v>
      </c>
      <c r="J2543" s="10" t="str">
        <f>""</f>
        <v/>
      </c>
      <c r="K2543" s="10" t="str">
        <f>"PFES1162563699_0001"</f>
        <v>PFES1162563699_0001</v>
      </c>
      <c r="L2543" s="10">
        <v>1</v>
      </c>
      <c r="M2543" s="10">
        <v>1</v>
      </c>
    </row>
    <row r="2544" spans="1:13">
      <c r="A2544" s="8">
        <v>42936</v>
      </c>
      <c r="B2544" s="9">
        <v>0.51458333333333328</v>
      </c>
      <c r="C2544" s="10" t="str">
        <f>"FES1162563704"</f>
        <v>FES1162563704</v>
      </c>
      <c r="D2544" s="10" t="s">
        <v>19</v>
      </c>
      <c r="E2544" s="10" t="s">
        <v>1027</v>
      </c>
      <c r="F2544" s="10" t="str">
        <f>"2170578149 "</f>
        <v xml:space="preserve">2170578149 </v>
      </c>
      <c r="G2544" s="10" t="str">
        <f t="shared" si="109"/>
        <v>ON1</v>
      </c>
      <c r="H2544" s="10" t="s">
        <v>21</v>
      </c>
      <c r="I2544" s="10" t="s">
        <v>342</v>
      </c>
      <c r="J2544" s="10" t="str">
        <f>""</f>
        <v/>
      </c>
      <c r="K2544" s="10" t="str">
        <f>"PFES1162563704_0001"</f>
        <v>PFES1162563704_0001</v>
      </c>
      <c r="L2544" s="10">
        <v>1</v>
      </c>
      <c r="M2544" s="10">
        <v>1</v>
      </c>
    </row>
    <row r="2545" spans="1:13">
      <c r="A2545" s="8">
        <v>42936</v>
      </c>
      <c r="B2545" s="9">
        <v>0.51250000000000007</v>
      </c>
      <c r="C2545" s="10" t="str">
        <f>"FES1162563790"</f>
        <v>FES1162563790</v>
      </c>
      <c r="D2545" s="10" t="s">
        <v>19</v>
      </c>
      <c r="E2545" s="10" t="s">
        <v>888</v>
      </c>
      <c r="F2545" s="10" t="str">
        <f>"2170580311 "</f>
        <v xml:space="preserve">2170580311 </v>
      </c>
      <c r="G2545" s="10" t="str">
        <f t="shared" si="109"/>
        <v>ON1</v>
      </c>
      <c r="H2545" s="10" t="s">
        <v>21</v>
      </c>
      <c r="I2545" s="10" t="s">
        <v>889</v>
      </c>
      <c r="J2545" s="10" t="str">
        <f>""</f>
        <v/>
      </c>
      <c r="K2545" s="10" t="str">
        <f>"PFES1162563790_0001"</f>
        <v>PFES1162563790_0001</v>
      </c>
      <c r="L2545" s="10">
        <v>1</v>
      </c>
      <c r="M2545" s="10">
        <v>1</v>
      </c>
    </row>
    <row r="2546" spans="1:13">
      <c r="A2546" s="8">
        <v>42936</v>
      </c>
      <c r="B2546" s="9">
        <v>0.51180555555555551</v>
      </c>
      <c r="C2546" s="10" t="str">
        <f>"FES1162563784"</f>
        <v>FES1162563784</v>
      </c>
      <c r="D2546" s="10" t="s">
        <v>19</v>
      </c>
      <c r="E2546" s="10" t="s">
        <v>982</v>
      </c>
      <c r="F2546" s="10" t="str">
        <f>"2170580297 "</f>
        <v xml:space="preserve">2170580297 </v>
      </c>
      <c r="G2546" s="10" t="str">
        <f t="shared" si="109"/>
        <v>ON1</v>
      </c>
      <c r="H2546" s="10" t="s">
        <v>21</v>
      </c>
      <c r="I2546" s="10" t="s">
        <v>147</v>
      </c>
      <c r="J2546" s="10" t="str">
        <f>""</f>
        <v/>
      </c>
      <c r="K2546" s="10" t="str">
        <f>"PFES1162563784_0001"</f>
        <v>PFES1162563784_0001</v>
      </c>
      <c r="L2546" s="10">
        <v>1</v>
      </c>
      <c r="M2546" s="10">
        <v>1</v>
      </c>
    </row>
    <row r="2547" spans="1:13">
      <c r="A2547" s="8">
        <v>42936</v>
      </c>
      <c r="B2547" s="9">
        <v>0.51041666666666663</v>
      </c>
      <c r="C2547" s="10" t="str">
        <f>"FES1162563802"</f>
        <v>FES1162563802</v>
      </c>
      <c r="D2547" s="10" t="s">
        <v>19</v>
      </c>
      <c r="E2547" s="10" t="s">
        <v>154</v>
      </c>
      <c r="F2547" s="10" t="str">
        <f>"2170580322 "</f>
        <v xml:space="preserve">2170580322 </v>
      </c>
      <c r="G2547" s="10" t="str">
        <f t="shared" si="109"/>
        <v>ON1</v>
      </c>
      <c r="H2547" s="10" t="s">
        <v>21</v>
      </c>
      <c r="I2547" s="10" t="s">
        <v>130</v>
      </c>
      <c r="J2547" s="10" t="str">
        <f>""</f>
        <v/>
      </c>
      <c r="K2547" s="10" t="str">
        <f>"PFES1162563802_0001"</f>
        <v>PFES1162563802_0001</v>
      </c>
      <c r="L2547" s="10">
        <v>1</v>
      </c>
      <c r="M2547" s="10">
        <v>1</v>
      </c>
    </row>
    <row r="2548" spans="1:13">
      <c r="A2548" s="8">
        <v>42936</v>
      </c>
      <c r="B2548" s="9">
        <v>0.50763888888888886</v>
      </c>
      <c r="C2548" s="10" t="str">
        <f>"FES1162563785"</f>
        <v>FES1162563785</v>
      </c>
      <c r="D2548" s="10" t="s">
        <v>19</v>
      </c>
      <c r="E2548" s="10" t="s">
        <v>535</v>
      </c>
      <c r="F2548" s="10" t="str">
        <f>"2170580304 "</f>
        <v xml:space="preserve">2170580304 </v>
      </c>
      <c r="G2548" s="10" t="str">
        <f t="shared" si="109"/>
        <v>ON1</v>
      </c>
      <c r="H2548" s="10" t="s">
        <v>21</v>
      </c>
      <c r="I2548" s="10" t="s">
        <v>240</v>
      </c>
      <c r="J2548" s="10" t="str">
        <f>""</f>
        <v/>
      </c>
      <c r="K2548" s="10" t="str">
        <f>"PFES1162563785_0001"</f>
        <v>PFES1162563785_0001</v>
      </c>
      <c r="L2548" s="10">
        <v>1</v>
      </c>
      <c r="M2548" s="10">
        <v>1</v>
      </c>
    </row>
    <row r="2549" spans="1:13">
      <c r="A2549" s="8">
        <v>42936</v>
      </c>
      <c r="B2549" s="9">
        <v>0.50694444444444442</v>
      </c>
      <c r="C2549" s="10" t="str">
        <f>"FES1162563809"</f>
        <v>FES1162563809</v>
      </c>
      <c r="D2549" s="10" t="s">
        <v>19</v>
      </c>
      <c r="E2549" s="10" t="s">
        <v>190</v>
      </c>
      <c r="F2549" s="10" t="str">
        <f>"2170580327 "</f>
        <v xml:space="preserve">2170580327 </v>
      </c>
      <c r="G2549" s="10" t="str">
        <f t="shared" si="109"/>
        <v>ON1</v>
      </c>
      <c r="H2549" s="10" t="s">
        <v>21</v>
      </c>
      <c r="I2549" s="10" t="s">
        <v>52</v>
      </c>
      <c r="J2549" s="10" t="str">
        <f>""</f>
        <v/>
      </c>
      <c r="K2549" s="10" t="str">
        <f>"PFES1162563809_0001"</f>
        <v>PFES1162563809_0001</v>
      </c>
      <c r="L2549" s="10">
        <v>1</v>
      </c>
      <c r="M2549" s="10">
        <v>1</v>
      </c>
    </row>
    <row r="2550" spans="1:13">
      <c r="A2550" s="8">
        <v>42936</v>
      </c>
      <c r="B2550" s="9">
        <v>0.50555555555555554</v>
      </c>
      <c r="C2550" s="10" t="str">
        <f>"FES1162563800"</f>
        <v>FES1162563800</v>
      </c>
      <c r="D2550" s="10" t="s">
        <v>19</v>
      </c>
      <c r="E2550" s="10" t="s">
        <v>1028</v>
      </c>
      <c r="F2550" s="10" t="str">
        <f>"2170578643 "</f>
        <v xml:space="preserve">2170578643 </v>
      </c>
      <c r="G2550" s="10" t="str">
        <f t="shared" si="109"/>
        <v>ON1</v>
      </c>
      <c r="H2550" s="10" t="s">
        <v>21</v>
      </c>
      <c r="I2550" s="10" t="s">
        <v>234</v>
      </c>
      <c r="J2550" s="10" t="str">
        <f>""</f>
        <v/>
      </c>
      <c r="K2550" s="10" t="str">
        <f>"PFES1162563800_0001"</f>
        <v>PFES1162563800_0001</v>
      </c>
      <c r="L2550" s="10">
        <v>1</v>
      </c>
      <c r="M2550" s="10">
        <v>1</v>
      </c>
    </row>
    <row r="2551" spans="1:13">
      <c r="A2551" s="8">
        <v>42936</v>
      </c>
      <c r="B2551" s="9">
        <v>0.50416666666666665</v>
      </c>
      <c r="C2551" s="10" t="str">
        <f>"FES1162563841"</f>
        <v>FES1162563841</v>
      </c>
      <c r="D2551" s="10" t="s">
        <v>19</v>
      </c>
      <c r="E2551" s="10" t="s">
        <v>1029</v>
      </c>
      <c r="F2551" s="10" t="str">
        <f>"217080362 "</f>
        <v xml:space="preserve">217080362 </v>
      </c>
      <c r="G2551" s="10" t="str">
        <f>"SDX"</f>
        <v>SDX</v>
      </c>
      <c r="H2551" s="10" t="s">
        <v>21</v>
      </c>
      <c r="I2551" s="10" t="s">
        <v>179</v>
      </c>
      <c r="J2551" s="10" t="str">
        <f>"SDX DELIVERY"</f>
        <v>SDX DELIVERY</v>
      </c>
      <c r="K2551" s="10" t="str">
        <f>"PFES1162563841_0001"</f>
        <v>PFES1162563841_0001</v>
      </c>
      <c r="L2551" s="10">
        <v>1</v>
      </c>
      <c r="M2551" s="10">
        <v>2</v>
      </c>
    </row>
    <row r="2552" spans="1:13">
      <c r="A2552" s="8">
        <v>42936</v>
      </c>
      <c r="B2552" s="9">
        <v>0.50416666666666665</v>
      </c>
      <c r="C2552" s="10" t="str">
        <f>"FES1162563737"</f>
        <v>FES1162563737</v>
      </c>
      <c r="D2552" s="10" t="s">
        <v>19</v>
      </c>
      <c r="E2552" s="10" t="s">
        <v>584</v>
      </c>
      <c r="F2552" s="10" t="str">
        <f>"2170580247 "</f>
        <v xml:space="preserve">2170580247 </v>
      </c>
      <c r="G2552" s="10" t="str">
        <f t="shared" ref="G2552:G2557" si="110">"ON1"</f>
        <v>ON1</v>
      </c>
      <c r="H2552" s="10" t="s">
        <v>21</v>
      </c>
      <c r="I2552" s="10" t="s">
        <v>75</v>
      </c>
      <c r="J2552" s="10" t="str">
        <f>""</f>
        <v/>
      </c>
      <c r="K2552" s="10" t="str">
        <f>"PFES1162563737_0001"</f>
        <v>PFES1162563737_0001</v>
      </c>
      <c r="L2552" s="10">
        <v>1</v>
      </c>
      <c r="M2552" s="10">
        <v>1</v>
      </c>
    </row>
    <row r="2553" spans="1:13">
      <c r="A2553" s="8">
        <v>42936</v>
      </c>
      <c r="B2553" s="9">
        <v>0.50347222222222221</v>
      </c>
      <c r="C2553" s="10" t="str">
        <f>"FES1162563687"</f>
        <v>FES1162563687</v>
      </c>
      <c r="D2553" s="10" t="s">
        <v>19</v>
      </c>
      <c r="E2553" s="10" t="s">
        <v>108</v>
      </c>
      <c r="F2553" s="10" t="str">
        <f>"2170580218 "</f>
        <v xml:space="preserve">2170580218 </v>
      </c>
      <c r="G2553" s="10" t="str">
        <f t="shared" si="110"/>
        <v>ON1</v>
      </c>
      <c r="H2553" s="10" t="s">
        <v>21</v>
      </c>
      <c r="I2553" s="10" t="s">
        <v>109</v>
      </c>
      <c r="J2553" s="10" t="str">
        <f>""</f>
        <v/>
      </c>
      <c r="K2553" s="10" t="str">
        <f>"PFES1162563687_0001"</f>
        <v>PFES1162563687_0001</v>
      </c>
      <c r="L2553" s="10">
        <v>1</v>
      </c>
      <c r="M2553" s="10">
        <v>1</v>
      </c>
    </row>
    <row r="2554" spans="1:13">
      <c r="A2554" s="8">
        <v>42936</v>
      </c>
      <c r="B2554" s="9">
        <v>0.50277777777777777</v>
      </c>
      <c r="C2554" s="10" t="str">
        <f>"FES1162563677"</f>
        <v>FES1162563677</v>
      </c>
      <c r="D2554" s="10" t="s">
        <v>19</v>
      </c>
      <c r="E2554" s="10" t="s">
        <v>361</v>
      </c>
      <c r="F2554" s="10" t="str">
        <f>"2170580208 "</f>
        <v xml:space="preserve">2170580208 </v>
      </c>
      <c r="G2554" s="10" t="str">
        <f t="shared" si="110"/>
        <v>ON1</v>
      </c>
      <c r="H2554" s="10" t="s">
        <v>21</v>
      </c>
      <c r="I2554" s="10" t="s">
        <v>106</v>
      </c>
      <c r="J2554" s="10" t="str">
        <f>""</f>
        <v/>
      </c>
      <c r="K2554" s="10" t="str">
        <f>"PFES1162563677_0001"</f>
        <v>PFES1162563677_0001</v>
      </c>
      <c r="L2554" s="10">
        <v>1</v>
      </c>
      <c r="M2554" s="10">
        <v>3</v>
      </c>
    </row>
    <row r="2555" spans="1:13">
      <c r="A2555" s="8">
        <v>42936</v>
      </c>
      <c r="B2555" s="9">
        <v>0.50208333333333333</v>
      </c>
      <c r="C2555" s="10" t="str">
        <f>"FES1162563715"</f>
        <v>FES1162563715</v>
      </c>
      <c r="D2555" s="10" t="s">
        <v>19</v>
      </c>
      <c r="E2555" s="10" t="s">
        <v>983</v>
      </c>
      <c r="F2555" s="10" t="str">
        <f>"2170579983 "</f>
        <v xml:space="preserve">2170579983 </v>
      </c>
      <c r="G2555" s="10" t="str">
        <f t="shared" si="110"/>
        <v>ON1</v>
      </c>
      <c r="H2555" s="10" t="s">
        <v>21</v>
      </c>
      <c r="I2555" s="10" t="s">
        <v>682</v>
      </c>
      <c r="J2555" s="10" t="str">
        <f>""</f>
        <v/>
      </c>
      <c r="K2555" s="10" t="str">
        <f>"PFES1162563715_0001"</f>
        <v>PFES1162563715_0001</v>
      </c>
      <c r="L2555" s="10">
        <v>1</v>
      </c>
      <c r="M2555" s="10">
        <v>3</v>
      </c>
    </row>
    <row r="2556" spans="1:13">
      <c r="A2556" s="8">
        <v>42936</v>
      </c>
      <c r="B2556" s="9">
        <v>0.50069444444444444</v>
      </c>
      <c r="C2556" s="10" t="str">
        <f>"FES1162563788"</f>
        <v>FES1162563788</v>
      </c>
      <c r="D2556" s="10" t="s">
        <v>19</v>
      </c>
      <c r="E2556" s="10" t="s">
        <v>162</v>
      </c>
      <c r="F2556" s="10" t="str">
        <f>"2170580309 "</f>
        <v xml:space="preserve">2170580309 </v>
      </c>
      <c r="G2556" s="10" t="str">
        <f t="shared" si="110"/>
        <v>ON1</v>
      </c>
      <c r="H2556" s="10" t="s">
        <v>21</v>
      </c>
      <c r="I2556" s="10" t="s">
        <v>163</v>
      </c>
      <c r="J2556" s="10" t="str">
        <f>""</f>
        <v/>
      </c>
      <c r="K2556" s="10" t="str">
        <f>"PFES1162563788_0001"</f>
        <v>PFES1162563788_0001</v>
      </c>
      <c r="L2556" s="10">
        <v>1</v>
      </c>
      <c r="M2556" s="10">
        <v>2</v>
      </c>
    </row>
    <row r="2557" spans="1:13">
      <c r="A2557" s="8">
        <v>42936</v>
      </c>
      <c r="B2557" s="9">
        <v>0.49652777777777773</v>
      </c>
      <c r="C2557" s="10" t="str">
        <f>"FES1162563778"</f>
        <v>FES1162563778</v>
      </c>
      <c r="D2557" s="10" t="s">
        <v>19</v>
      </c>
      <c r="E2557" s="10" t="s">
        <v>401</v>
      </c>
      <c r="F2557" s="10" t="str">
        <f>"2170580286 "</f>
        <v xml:space="preserve">2170580286 </v>
      </c>
      <c r="G2557" s="10" t="str">
        <f t="shared" si="110"/>
        <v>ON1</v>
      </c>
      <c r="H2557" s="10" t="s">
        <v>21</v>
      </c>
      <c r="I2557" s="10" t="s">
        <v>402</v>
      </c>
      <c r="J2557" s="10" t="str">
        <f>""</f>
        <v/>
      </c>
      <c r="K2557" s="10" t="str">
        <f>"PFES1162563778_0001"</f>
        <v>PFES1162563778_0001</v>
      </c>
      <c r="L2557" s="10">
        <v>1</v>
      </c>
      <c r="M2557" s="10">
        <v>8</v>
      </c>
    </row>
    <row r="2558" spans="1:13">
      <c r="A2558" s="8">
        <v>42936</v>
      </c>
      <c r="B2558" s="9">
        <v>0.48749999999999999</v>
      </c>
      <c r="C2558" s="10" t="str">
        <f>"FES1162563553"</f>
        <v>FES1162563553</v>
      </c>
      <c r="D2558" s="10" t="s">
        <v>19</v>
      </c>
      <c r="E2558" s="10" t="s">
        <v>99</v>
      </c>
      <c r="F2558" s="10" t="str">
        <f>"2170571839 "</f>
        <v xml:space="preserve">2170571839 </v>
      </c>
      <c r="G2558" s="10" t="str">
        <f>"DBC"</f>
        <v>DBC</v>
      </c>
      <c r="H2558" s="10" t="s">
        <v>21</v>
      </c>
      <c r="I2558" s="10" t="s">
        <v>100</v>
      </c>
      <c r="J2558" s="10" t="str">
        <f>"PLEASE NO NOT STACK,FRAGILE"</f>
        <v>PLEASE NO NOT STACK,FRAGILE</v>
      </c>
      <c r="K2558" s="10" t="str">
        <f>"PFES1162563553_0001"</f>
        <v>PFES1162563553_0001</v>
      </c>
      <c r="L2558" s="10">
        <v>4</v>
      </c>
      <c r="M2558" s="10">
        <v>52</v>
      </c>
    </row>
    <row r="2559" spans="1:13">
      <c r="A2559" s="8">
        <v>42936</v>
      </c>
      <c r="B2559" s="9">
        <v>0.48749999999999999</v>
      </c>
      <c r="C2559" s="10" t="str">
        <f>"FES1162563553"</f>
        <v>FES1162563553</v>
      </c>
      <c r="D2559" s="10" t="s">
        <v>19</v>
      </c>
      <c r="E2559" s="10" t="s">
        <v>99</v>
      </c>
      <c r="F2559" s="10" t="str">
        <f t="shared" ref="F2559:F2561" si="111">"2170571839 "</f>
        <v xml:space="preserve">2170571839 </v>
      </c>
      <c r="G2559" s="10" t="str">
        <f t="shared" ref="G2559:G2561" si="112">"DBC"</f>
        <v>DBC</v>
      </c>
      <c r="H2559" s="10" t="s">
        <v>21</v>
      </c>
      <c r="I2559" s="10" t="s">
        <v>100</v>
      </c>
      <c r="J2559" s="10" t="str">
        <f t="shared" ref="J2559:J2561" si="113">"PLEASE NO NOT STACK,FRAGILE"</f>
        <v>PLEASE NO NOT STACK,FRAGILE</v>
      </c>
      <c r="K2559" s="10" t="str">
        <f>"PFES1162563553_0002"</f>
        <v>PFES1162563553_0002</v>
      </c>
      <c r="L2559" s="10">
        <v>4</v>
      </c>
      <c r="M2559" s="10">
        <v>52</v>
      </c>
    </row>
    <row r="2560" spans="1:13">
      <c r="A2560" s="8">
        <v>42936</v>
      </c>
      <c r="B2560" s="9">
        <v>0.48749999999999999</v>
      </c>
      <c r="C2560" s="10" t="str">
        <f>"FES1162563553"</f>
        <v>FES1162563553</v>
      </c>
      <c r="D2560" s="10" t="s">
        <v>19</v>
      </c>
      <c r="E2560" s="10" t="s">
        <v>99</v>
      </c>
      <c r="F2560" s="10" t="str">
        <f t="shared" si="111"/>
        <v xml:space="preserve">2170571839 </v>
      </c>
      <c r="G2560" s="10" t="str">
        <f t="shared" si="112"/>
        <v>DBC</v>
      </c>
      <c r="H2560" s="10" t="s">
        <v>21</v>
      </c>
      <c r="I2560" s="10" t="s">
        <v>100</v>
      </c>
      <c r="J2560" s="10" t="str">
        <f t="shared" si="113"/>
        <v>PLEASE NO NOT STACK,FRAGILE</v>
      </c>
      <c r="K2560" s="10" t="str">
        <f>"PFES1162563553_0003"</f>
        <v>PFES1162563553_0003</v>
      </c>
      <c r="L2560" s="10">
        <v>4</v>
      </c>
      <c r="M2560" s="10">
        <v>52</v>
      </c>
    </row>
    <row r="2561" spans="1:13">
      <c r="A2561" s="8">
        <v>42936</v>
      </c>
      <c r="B2561" s="9">
        <v>0.48749999999999999</v>
      </c>
      <c r="C2561" s="10" t="str">
        <f>"FES1162563553"</f>
        <v>FES1162563553</v>
      </c>
      <c r="D2561" s="10" t="s">
        <v>19</v>
      </c>
      <c r="E2561" s="10" t="s">
        <v>99</v>
      </c>
      <c r="F2561" s="10" t="str">
        <f t="shared" si="111"/>
        <v xml:space="preserve">2170571839 </v>
      </c>
      <c r="G2561" s="10" t="str">
        <f t="shared" si="112"/>
        <v>DBC</v>
      </c>
      <c r="H2561" s="10" t="s">
        <v>21</v>
      </c>
      <c r="I2561" s="10" t="s">
        <v>100</v>
      </c>
      <c r="J2561" s="10" t="str">
        <f t="shared" si="113"/>
        <v>PLEASE NO NOT STACK,FRAGILE</v>
      </c>
      <c r="K2561" s="10" t="str">
        <f>"PFES1162563553_0004"</f>
        <v>PFES1162563553_0004</v>
      </c>
      <c r="L2561" s="10">
        <v>4</v>
      </c>
      <c r="M2561" s="10">
        <v>52</v>
      </c>
    </row>
    <row r="2562" spans="1:13">
      <c r="A2562" s="8">
        <v>42936</v>
      </c>
      <c r="B2562" s="9">
        <v>0.48680555555555555</v>
      </c>
      <c r="C2562" s="10" t="str">
        <f>"FES1162563577"</f>
        <v>FES1162563577</v>
      </c>
      <c r="D2562" s="10" t="s">
        <v>19</v>
      </c>
      <c r="E2562" s="10" t="s">
        <v>1030</v>
      </c>
      <c r="F2562" s="10" t="str">
        <f>"2170580055 "</f>
        <v xml:space="preserve">2170580055 </v>
      </c>
      <c r="G2562" s="10" t="str">
        <f>"DBC"</f>
        <v>DBC</v>
      </c>
      <c r="H2562" s="10" t="s">
        <v>21</v>
      </c>
      <c r="I2562" s="10" t="s">
        <v>90</v>
      </c>
      <c r="J2562" s="10" t="str">
        <f>""</f>
        <v/>
      </c>
      <c r="K2562" s="10" t="str">
        <f>"PFES1162563577_0001"</f>
        <v>PFES1162563577_0001</v>
      </c>
      <c r="L2562" s="10">
        <v>2</v>
      </c>
      <c r="M2562" s="10">
        <v>26</v>
      </c>
    </row>
    <row r="2563" spans="1:13">
      <c r="A2563" s="8">
        <v>42936</v>
      </c>
      <c r="B2563" s="9">
        <v>0.48680555555555555</v>
      </c>
      <c r="C2563" s="10" t="str">
        <f>"FES1162563577"</f>
        <v>FES1162563577</v>
      </c>
      <c r="D2563" s="10" t="s">
        <v>19</v>
      </c>
      <c r="E2563" s="10" t="s">
        <v>1030</v>
      </c>
      <c r="F2563" s="10" t="str">
        <f>"2170580055 "</f>
        <v xml:space="preserve">2170580055 </v>
      </c>
      <c r="G2563" s="10" t="str">
        <f>"DBC"</f>
        <v>DBC</v>
      </c>
      <c r="H2563" s="10" t="s">
        <v>21</v>
      </c>
      <c r="I2563" s="10" t="s">
        <v>90</v>
      </c>
      <c r="J2563" s="10"/>
      <c r="K2563" s="10" t="str">
        <f>"PFES1162563577_0002"</f>
        <v>PFES1162563577_0002</v>
      </c>
      <c r="L2563" s="10">
        <v>2</v>
      </c>
      <c r="M2563" s="10">
        <v>26</v>
      </c>
    </row>
    <row r="2564" spans="1:13">
      <c r="A2564" s="8">
        <v>42936</v>
      </c>
      <c r="B2564" s="9">
        <v>0.48541666666666666</v>
      </c>
      <c r="C2564" s="10" t="str">
        <f>"FES1162563712"</f>
        <v>FES1162563712</v>
      </c>
      <c r="D2564" s="10" t="s">
        <v>19</v>
      </c>
      <c r="E2564" s="10" t="s">
        <v>184</v>
      </c>
      <c r="F2564" s="10" t="str">
        <f>"2170579488 "</f>
        <v xml:space="preserve">2170579488 </v>
      </c>
      <c r="G2564" s="10" t="str">
        <f>"DBC"</f>
        <v>DBC</v>
      </c>
      <c r="H2564" s="10" t="s">
        <v>21</v>
      </c>
      <c r="I2564" s="10" t="s">
        <v>185</v>
      </c>
      <c r="J2564" s="10" t="str">
        <f>""</f>
        <v/>
      </c>
      <c r="K2564" s="10" t="str">
        <f>"PFES1162563712_0001"</f>
        <v>PFES1162563712_0001</v>
      </c>
      <c r="L2564" s="10">
        <v>2</v>
      </c>
      <c r="M2564" s="10">
        <v>27</v>
      </c>
    </row>
    <row r="2565" spans="1:13">
      <c r="A2565" s="8">
        <v>42936</v>
      </c>
      <c r="B2565" s="9">
        <v>0.48541666666666666</v>
      </c>
      <c r="C2565" s="10" t="str">
        <f>"FES1162563712"</f>
        <v>FES1162563712</v>
      </c>
      <c r="D2565" s="10" t="s">
        <v>19</v>
      </c>
      <c r="E2565" s="10" t="s">
        <v>184</v>
      </c>
      <c r="F2565" s="10" t="str">
        <f>"2170579488 "</f>
        <v xml:space="preserve">2170579488 </v>
      </c>
      <c r="G2565" s="10" t="str">
        <f>"DBC"</f>
        <v>DBC</v>
      </c>
      <c r="H2565" s="10" t="s">
        <v>21</v>
      </c>
      <c r="I2565" s="10" t="s">
        <v>185</v>
      </c>
      <c r="J2565" s="10"/>
      <c r="K2565" s="10" t="str">
        <f>"PFES1162563712_0002"</f>
        <v>PFES1162563712_0002</v>
      </c>
      <c r="L2565" s="10">
        <v>2</v>
      </c>
      <c r="M2565" s="10">
        <v>27</v>
      </c>
    </row>
    <row r="2566" spans="1:13">
      <c r="A2566" s="8">
        <v>42936</v>
      </c>
      <c r="B2566" s="9">
        <v>0.4770833333333333</v>
      </c>
      <c r="C2566" s="10" t="str">
        <f>"FES1162563726"</f>
        <v>FES1162563726</v>
      </c>
      <c r="D2566" s="10" t="s">
        <v>19</v>
      </c>
      <c r="E2566" s="10" t="s">
        <v>436</v>
      </c>
      <c r="F2566" s="10" t="str">
        <f>"2170580236 "</f>
        <v xml:space="preserve">2170580236 </v>
      </c>
      <c r="G2566" s="10" t="str">
        <f t="shared" ref="G2566:G2579" si="114">"ON1"</f>
        <v>ON1</v>
      </c>
      <c r="H2566" s="10" t="s">
        <v>21</v>
      </c>
      <c r="I2566" s="10" t="s">
        <v>252</v>
      </c>
      <c r="J2566" s="10" t="str">
        <f>""</f>
        <v/>
      </c>
      <c r="K2566" s="10" t="str">
        <f>"PFES1162563726_0001"</f>
        <v>PFES1162563726_0001</v>
      </c>
      <c r="L2566" s="10">
        <v>1</v>
      </c>
      <c r="M2566" s="10">
        <v>5</v>
      </c>
    </row>
    <row r="2567" spans="1:13">
      <c r="A2567" s="8">
        <v>42936</v>
      </c>
      <c r="B2567" s="9">
        <v>0.47638888888888892</v>
      </c>
      <c r="C2567" s="10" t="str">
        <f>"FES1162563522"</f>
        <v>FES1162563522</v>
      </c>
      <c r="D2567" s="10" t="s">
        <v>19</v>
      </c>
      <c r="E2567" s="10" t="s">
        <v>498</v>
      </c>
      <c r="F2567" s="10" t="str">
        <f>"2170579674 "</f>
        <v xml:space="preserve">2170579674 </v>
      </c>
      <c r="G2567" s="10" t="str">
        <f t="shared" si="114"/>
        <v>ON1</v>
      </c>
      <c r="H2567" s="10" t="s">
        <v>21</v>
      </c>
      <c r="I2567" s="10" t="s">
        <v>84</v>
      </c>
      <c r="J2567" s="10" t="str">
        <f>""</f>
        <v/>
      </c>
      <c r="K2567" s="10" t="str">
        <f>"PFES1162563522_0001"</f>
        <v>PFES1162563522_0001</v>
      </c>
      <c r="L2567" s="10">
        <v>1</v>
      </c>
      <c r="M2567" s="10">
        <v>18</v>
      </c>
    </row>
    <row r="2568" spans="1:13">
      <c r="A2568" s="8">
        <v>42936</v>
      </c>
      <c r="B2568" s="9">
        <v>0.47500000000000003</v>
      </c>
      <c r="C2568" s="10" t="str">
        <f>"FES1162563701"</f>
        <v>FES1162563701</v>
      </c>
      <c r="D2568" s="10" t="s">
        <v>19</v>
      </c>
      <c r="E2568" s="10" t="s">
        <v>283</v>
      </c>
      <c r="F2568" s="10" t="str">
        <f>"2170578020 "</f>
        <v xml:space="preserve">2170578020 </v>
      </c>
      <c r="G2568" s="10" t="str">
        <f t="shared" si="114"/>
        <v>ON1</v>
      </c>
      <c r="H2568" s="10" t="s">
        <v>21</v>
      </c>
      <c r="I2568" s="10" t="s">
        <v>234</v>
      </c>
      <c r="J2568" s="10" t="str">
        <f>""</f>
        <v/>
      </c>
      <c r="K2568" s="10" t="str">
        <f>"PFES1162563701_0001"</f>
        <v>PFES1162563701_0001</v>
      </c>
      <c r="L2568" s="10">
        <v>1</v>
      </c>
      <c r="M2568" s="10">
        <v>13</v>
      </c>
    </row>
    <row r="2569" spans="1:13">
      <c r="A2569" s="8">
        <v>42936</v>
      </c>
      <c r="B2569" s="9">
        <v>0.47222222222222227</v>
      </c>
      <c r="C2569" s="10" t="str">
        <f>"FES1162563594"</f>
        <v>FES1162563594</v>
      </c>
      <c r="D2569" s="10" t="s">
        <v>19</v>
      </c>
      <c r="E2569" s="10" t="s">
        <v>1031</v>
      </c>
      <c r="F2569" s="10" t="str">
        <f>"2170580077 "</f>
        <v xml:space="preserve">2170580077 </v>
      </c>
      <c r="G2569" s="10" t="str">
        <f t="shared" si="114"/>
        <v>ON1</v>
      </c>
      <c r="H2569" s="10" t="s">
        <v>21</v>
      </c>
      <c r="I2569" s="10" t="s">
        <v>1032</v>
      </c>
      <c r="J2569" s="10" t="str">
        <f>""</f>
        <v/>
      </c>
      <c r="K2569" s="10" t="str">
        <f>"PFES1162563594_0001"</f>
        <v>PFES1162563594_0001</v>
      </c>
      <c r="L2569" s="10">
        <v>1</v>
      </c>
      <c r="M2569" s="10">
        <v>5</v>
      </c>
    </row>
    <row r="2570" spans="1:13">
      <c r="A2570" s="8">
        <v>42936</v>
      </c>
      <c r="B2570" s="9">
        <v>0.47013888888888888</v>
      </c>
      <c r="C2570" s="10" t="str">
        <f>"FES1162563690"</f>
        <v>FES1162563690</v>
      </c>
      <c r="D2570" s="10" t="s">
        <v>19</v>
      </c>
      <c r="E2570" s="10" t="s">
        <v>707</v>
      </c>
      <c r="F2570" s="10" t="str">
        <f>"2170580221 "</f>
        <v xml:space="preserve">2170580221 </v>
      </c>
      <c r="G2570" s="10" t="str">
        <f t="shared" si="114"/>
        <v>ON1</v>
      </c>
      <c r="H2570" s="10" t="s">
        <v>21</v>
      </c>
      <c r="I2570" s="10" t="s">
        <v>402</v>
      </c>
      <c r="J2570" s="10" t="str">
        <f>""</f>
        <v/>
      </c>
      <c r="K2570" s="10" t="str">
        <f>"PFES1162563690_0001"</f>
        <v>PFES1162563690_0001</v>
      </c>
      <c r="L2570" s="10">
        <v>1</v>
      </c>
      <c r="M2570" s="10">
        <v>2</v>
      </c>
    </row>
    <row r="2571" spans="1:13">
      <c r="A2571" s="8">
        <v>42936</v>
      </c>
      <c r="B2571" s="9">
        <v>0.4694444444444445</v>
      </c>
      <c r="C2571" s="10" t="str">
        <f>"FES1162563678"</f>
        <v>FES1162563678</v>
      </c>
      <c r="D2571" s="10" t="s">
        <v>19</v>
      </c>
      <c r="E2571" s="10" t="s">
        <v>148</v>
      </c>
      <c r="F2571" s="10" t="str">
        <f>"2170580209 "</f>
        <v xml:space="preserve">2170580209 </v>
      </c>
      <c r="G2571" s="10" t="str">
        <f t="shared" si="114"/>
        <v>ON1</v>
      </c>
      <c r="H2571" s="10" t="s">
        <v>21</v>
      </c>
      <c r="I2571" s="10" t="s">
        <v>149</v>
      </c>
      <c r="J2571" s="10" t="str">
        <f>""</f>
        <v/>
      </c>
      <c r="K2571" s="10" t="str">
        <f>"PFES1162563678_0001"</f>
        <v>PFES1162563678_0001</v>
      </c>
      <c r="L2571" s="10">
        <v>1</v>
      </c>
      <c r="M2571" s="10">
        <v>1</v>
      </c>
    </row>
    <row r="2572" spans="1:13">
      <c r="A2572" s="8">
        <v>42936</v>
      </c>
      <c r="B2572" s="9">
        <v>0.46875</v>
      </c>
      <c r="C2572" s="10" t="str">
        <f>"FES1162563727"</f>
        <v>FES1162563727</v>
      </c>
      <c r="D2572" s="10" t="s">
        <v>19</v>
      </c>
      <c r="E2572" s="10" t="s">
        <v>1033</v>
      </c>
      <c r="F2572" s="10" t="str">
        <f>"2170580237 "</f>
        <v xml:space="preserve">2170580237 </v>
      </c>
      <c r="G2572" s="10" t="str">
        <f t="shared" si="114"/>
        <v>ON1</v>
      </c>
      <c r="H2572" s="10" t="s">
        <v>21</v>
      </c>
      <c r="I2572" s="10" t="s">
        <v>402</v>
      </c>
      <c r="J2572" s="10" t="str">
        <f>""</f>
        <v/>
      </c>
      <c r="K2572" s="10" t="str">
        <f>"PFES1162563727_0001"</f>
        <v>PFES1162563727_0001</v>
      </c>
      <c r="L2572" s="10">
        <v>1</v>
      </c>
      <c r="M2572" s="10">
        <v>1</v>
      </c>
    </row>
    <row r="2573" spans="1:13">
      <c r="A2573" s="8">
        <v>42936</v>
      </c>
      <c r="B2573" s="9">
        <v>0.4680555555555555</v>
      </c>
      <c r="C2573" s="10" t="str">
        <f>"FES1162563718"</f>
        <v>FES1162563718</v>
      </c>
      <c r="D2573" s="10" t="s">
        <v>19</v>
      </c>
      <c r="E2573" s="10" t="s">
        <v>549</v>
      </c>
      <c r="F2573" s="10" t="str">
        <f>"2170580070 "</f>
        <v xml:space="preserve">2170580070 </v>
      </c>
      <c r="G2573" s="10" t="str">
        <f t="shared" si="114"/>
        <v>ON1</v>
      </c>
      <c r="H2573" s="10" t="s">
        <v>21</v>
      </c>
      <c r="I2573" s="10" t="s">
        <v>224</v>
      </c>
      <c r="J2573" s="10" t="str">
        <f>""</f>
        <v/>
      </c>
      <c r="K2573" s="10" t="str">
        <f>"PFES1162563718_0001"</f>
        <v>PFES1162563718_0001</v>
      </c>
      <c r="L2573" s="10">
        <v>1</v>
      </c>
      <c r="M2573" s="10">
        <v>2</v>
      </c>
    </row>
    <row r="2574" spans="1:13">
      <c r="A2574" s="8">
        <v>42936</v>
      </c>
      <c r="B2574" s="9">
        <v>0.46736111111111112</v>
      </c>
      <c r="C2574" s="10" t="str">
        <f>"FES1162563680"</f>
        <v>FES1162563680</v>
      </c>
      <c r="D2574" s="10" t="s">
        <v>19</v>
      </c>
      <c r="E2574" s="10" t="s">
        <v>1024</v>
      </c>
      <c r="F2574" s="10" t="str">
        <f>"2170580212 "</f>
        <v xml:space="preserve">2170580212 </v>
      </c>
      <c r="G2574" s="10" t="str">
        <f t="shared" si="114"/>
        <v>ON1</v>
      </c>
      <c r="H2574" s="10" t="s">
        <v>21</v>
      </c>
      <c r="I2574" s="10" t="s">
        <v>149</v>
      </c>
      <c r="J2574" s="10" t="str">
        <f>""</f>
        <v/>
      </c>
      <c r="K2574" s="10" t="str">
        <f>"PFES1162563680_0001"</f>
        <v>PFES1162563680_0001</v>
      </c>
      <c r="L2574" s="10">
        <v>1</v>
      </c>
      <c r="M2574" s="10">
        <v>2</v>
      </c>
    </row>
    <row r="2575" spans="1:13">
      <c r="A2575" s="8">
        <v>42936</v>
      </c>
      <c r="B2575" s="9">
        <v>0.46666666666666662</v>
      </c>
      <c r="C2575" s="10" t="str">
        <f>"FES1162563676"</f>
        <v>FES1162563676</v>
      </c>
      <c r="D2575" s="10" t="s">
        <v>19</v>
      </c>
      <c r="E2575" s="10" t="s">
        <v>39</v>
      </c>
      <c r="F2575" s="10" t="str">
        <f>"2170580207 "</f>
        <v xml:space="preserve">2170580207 </v>
      </c>
      <c r="G2575" s="10" t="str">
        <f t="shared" si="114"/>
        <v>ON1</v>
      </c>
      <c r="H2575" s="10" t="s">
        <v>21</v>
      </c>
      <c r="I2575" s="10" t="s">
        <v>40</v>
      </c>
      <c r="J2575" s="10" t="str">
        <f>""</f>
        <v/>
      </c>
      <c r="K2575" s="10" t="str">
        <f>"PFES1162563676_0001"</f>
        <v>PFES1162563676_0001</v>
      </c>
      <c r="L2575" s="10">
        <v>1</v>
      </c>
      <c r="M2575" s="10">
        <v>3</v>
      </c>
    </row>
    <row r="2576" spans="1:13">
      <c r="A2576" s="8">
        <v>42936</v>
      </c>
      <c r="B2576" s="9">
        <v>0.46527777777777773</v>
      </c>
      <c r="C2576" s="10" t="str">
        <f>"FES1162563519"</f>
        <v>FES1162563519</v>
      </c>
      <c r="D2576" s="10" t="s">
        <v>19</v>
      </c>
      <c r="E2576" s="10" t="s">
        <v>1034</v>
      </c>
      <c r="F2576" s="10" t="str">
        <f>"2170579118 "</f>
        <v xml:space="preserve">2170579118 </v>
      </c>
      <c r="G2576" s="10" t="str">
        <f t="shared" si="114"/>
        <v>ON1</v>
      </c>
      <c r="H2576" s="10" t="s">
        <v>21</v>
      </c>
      <c r="I2576" s="10" t="s">
        <v>86</v>
      </c>
      <c r="J2576" s="10" t="str">
        <f>""</f>
        <v/>
      </c>
      <c r="K2576" s="10" t="str">
        <f>"PFES1162563519_0001"</f>
        <v>PFES1162563519_0001</v>
      </c>
      <c r="L2576" s="10">
        <v>1</v>
      </c>
      <c r="M2576" s="10">
        <v>5</v>
      </c>
    </row>
    <row r="2577" spans="1:13">
      <c r="A2577" s="8">
        <v>42936</v>
      </c>
      <c r="B2577" s="9">
        <v>0.46388888888888885</v>
      </c>
      <c r="C2577" s="10" t="str">
        <f>"FES1162561140"</f>
        <v>FES1162561140</v>
      </c>
      <c r="D2577" s="10" t="s">
        <v>19</v>
      </c>
      <c r="E2577" s="10" t="s">
        <v>572</v>
      </c>
      <c r="F2577" s="10" t="str">
        <f>"2170573157 "</f>
        <v xml:space="preserve">2170573157 </v>
      </c>
      <c r="G2577" s="10" t="str">
        <f t="shared" si="114"/>
        <v>ON1</v>
      </c>
      <c r="H2577" s="10" t="s">
        <v>21</v>
      </c>
      <c r="I2577" s="10" t="s">
        <v>547</v>
      </c>
      <c r="J2577" s="10" t="str">
        <f>""</f>
        <v/>
      </c>
      <c r="K2577" s="10" t="str">
        <f>"PFES1162561140_0001"</f>
        <v>PFES1162561140_0001</v>
      </c>
      <c r="L2577" s="10">
        <v>1</v>
      </c>
      <c r="M2577" s="10">
        <v>6</v>
      </c>
    </row>
    <row r="2578" spans="1:13">
      <c r="A2578" s="8">
        <v>42936</v>
      </c>
      <c r="B2578" s="9">
        <v>0.46319444444444446</v>
      </c>
      <c r="C2578" s="10" t="str">
        <f>"FES1162561333"</f>
        <v>FES1162561333</v>
      </c>
      <c r="D2578" s="10" t="s">
        <v>19</v>
      </c>
      <c r="E2578" s="10" t="s">
        <v>572</v>
      </c>
      <c r="F2578" s="10" t="str">
        <f>"2170573157 "</f>
        <v xml:space="preserve">2170573157 </v>
      </c>
      <c r="G2578" s="10" t="str">
        <f t="shared" si="114"/>
        <v>ON1</v>
      </c>
      <c r="H2578" s="10" t="s">
        <v>21</v>
      </c>
      <c r="I2578" s="10" t="s">
        <v>547</v>
      </c>
      <c r="J2578" s="10" t="str">
        <f>""</f>
        <v/>
      </c>
      <c r="K2578" s="10" t="str">
        <f>"PFES1162561333_0001"</f>
        <v>PFES1162561333_0001</v>
      </c>
      <c r="L2578" s="10">
        <v>1</v>
      </c>
      <c r="M2578" s="10">
        <v>7</v>
      </c>
    </row>
    <row r="2579" spans="1:13">
      <c r="A2579" s="8">
        <v>42936</v>
      </c>
      <c r="B2579" s="9">
        <v>0.41597222222222219</v>
      </c>
      <c r="C2579" s="10" t="str">
        <f>"FES1162563752"</f>
        <v>FES1162563752</v>
      </c>
      <c r="D2579" s="10" t="s">
        <v>19</v>
      </c>
      <c r="E2579" s="10" t="s">
        <v>243</v>
      </c>
      <c r="F2579" s="10" t="str">
        <f>"2170580258 "</f>
        <v xml:space="preserve">2170580258 </v>
      </c>
      <c r="G2579" s="10" t="str">
        <f t="shared" si="114"/>
        <v>ON1</v>
      </c>
      <c r="H2579" s="10" t="s">
        <v>21</v>
      </c>
      <c r="I2579" s="10" t="s">
        <v>244</v>
      </c>
      <c r="J2579" s="10" t="str">
        <f>""</f>
        <v/>
      </c>
      <c r="K2579" s="10" t="str">
        <f>"PFES1162563752_0001"</f>
        <v>PFES1162563752_0001</v>
      </c>
      <c r="L2579" s="10">
        <v>1</v>
      </c>
      <c r="M2579" s="10">
        <v>2</v>
      </c>
    </row>
    <row r="2580" spans="1:13">
      <c r="A2580" s="8">
        <v>42936</v>
      </c>
      <c r="B2580" s="9">
        <v>0.3666666666666667</v>
      </c>
      <c r="C2580" s="10" t="str">
        <f>"FES1162563686"</f>
        <v>FES1162563686</v>
      </c>
      <c r="D2580" s="10" t="s">
        <v>19</v>
      </c>
      <c r="E2580" s="10" t="s">
        <v>272</v>
      </c>
      <c r="F2580" s="10" t="str">
        <f>"2170573920 "</f>
        <v xml:space="preserve">2170573920 </v>
      </c>
      <c r="G2580" s="10" t="str">
        <f>"SDX"</f>
        <v>SDX</v>
      </c>
      <c r="H2580" s="10" t="s">
        <v>21</v>
      </c>
      <c r="I2580" s="10" t="s">
        <v>166</v>
      </c>
      <c r="J2580" s="10" t="str">
        <f>"SAME DAY DEL"</f>
        <v>SAME DAY DEL</v>
      </c>
      <c r="K2580" s="10" t="str">
        <f>"PFES1162563686_0001"</f>
        <v>PFES1162563686_0001</v>
      </c>
      <c r="L2580" s="10">
        <v>1</v>
      </c>
      <c r="M2580" s="10">
        <v>4</v>
      </c>
    </row>
    <row r="2581" spans="1:13">
      <c r="A2581" s="8">
        <v>42936</v>
      </c>
      <c r="B2581" s="9">
        <v>0.69374999999999998</v>
      </c>
      <c r="C2581" s="10" t="str">
        <f>"FES1162563964"</f>
        <v>FES1162563964</v>
      </c>
      <c r="D2581" s="10" t="s">
        <v>19</v>
      </c>
      <c r="E2581" s="10" t="s">
        <v>395</v>
      </c>
      <c r="F2581" s="10" t="str">
        <f>"2170580139 "</f>
        <v xml:space="preserve">2170580139 </v>
      </c>
      <c r="G2581" s="10" t="str">
        <f t="shared" ref="G2581:G2644" si="115">"ON1"</f>
        <v>ON1</v>
      </c>
      <c r="H2581" s="10" t="s">
        <v>21</v>
      </c>
      <c r="I2581" s="10" t="s">
        <v>281</v>
      </c>
      <c r="J2581" s="10" t="str">
        <f>""</f>
        <v/>
      </c>
      <c r="K2581" s="10" t="str">
        <f>"PFES1162563964_0001"</f>
        <v>PFES1162563964_0001</v>
      </c>
      <c r="L2581" s="10">
        <v>1</v>
      </c>
      <c r="M2581" s="10">
        <v>19</v>
      </c>
    </row>
    <row r="2582" spans="1:13">
      <c r="A2582" s="8">
        <v>42936</v>
      </c>
      <c r="B2582" s="9">
        <v>0.69305555555555554</v>
      </c>
      <c r="C2582" s="10" t="str">
        <f>"FES1162563955"</f>
        <v>FES1162563955</v>
      </c>
      <c r="D2582" s="10" t="s">
        <v>19</v>
      </c>
      <c r="E2582" s="10" t="s">
        <v>95</v>
      </c>
      <c r="F2582" s="10" t="str">
        <f>"2170580491 "</f>
        <v xml:space="preserve">2170580491 </v>
      </c>
      <c r="G2582" s="10" t="str">
        <f t="shared" si="115"/>
        <v>ON1</v>
      </c>
      <c r="H2582" s="10" t="s">
        <v>21</v>
      </c>
      <c r="I2582" s="10" t="s">
        <v>84</v>
      </c>
      <c r="J2582" s="10" t="str">
        <f>""</f>
        <v/>
      </c>
      <c r="K2582" s="10" t="str">
        <f>"PFES1162563955_0001"</f>
        <v>PFES1162563955_0001</v>
      </c>
      <c r="L2582" s="10">
        <v>1</v>
      </c>
      <c r="M2582" s="10">
        <v>4</v>
      </c>
    </row>
    <row r="2583" spans="1:13">
      <c r="A2583" s="8">
        <v>42936</v>
      </c>
      <c r="B2583" s="9">
        <v>0.69305555555555554</v>
      </c>
      <c r="C2583" s="10" t="str">
        <f>"FES1162563935"</f>
        <v>FES1162563935</v>
      </c>
      <c r="D2583" s="10" t="s">
        <v>19</v>
      </c>
      <c r="E2583" s="10" t="s">
        <v>107</v>
      </c>
      <c r="F2583" s="10" t="str">
        <f>"2170579895 "</f>
        <v xml:space="preserve">2170579895 </v>
      </c>
      <c r="G2583" s="10" t="str">
        <f t="shared" si="115"/>
        <v>ON1</v>
      </c>
      <c r="H2583" s="10" t="s">
        <v>21</v>
      </c>
      <c r="I2583" s="10" t="s">
        <v>75</v>
      </c>
      <c r="J2583" s="10" t="str">
        <f>""</f>
        <v/>
      </c>
      <c r="K2583" s="10" t="str">
        <f>"PFES1162563935_0001"</f>
        <v>PFES1162563935_0001</v>
      </c>
      <c r="L2583" s="10">
        <v>1</v>
      </c>
      <c r="M2583" s="10">
        <v>5</v>
      </c>
    </row>
    <row r="2584" spans="1:13">
      <c r="A2584" s="8">
        <v>42936</v>
      </c>
      <c r="B2584" s="9">
        <v>0.69305555555555554</v>
      </c>
      <c r="C2584" s="10" t="str">
        <f>"FES1162563928"</f>
        <v>FES1162563928</v>
      </c>
      <c r="D2584" s="10" t="s">
        <v>19</v>
      </c>
      <c r="E2584" s="10" t="s">
        <v>1035</v>
      </c>
      <c r="F2584" s="10" t="str">
        <f>"2170580211 "</f>
        <v xml:space="preserve">2170580211 </v>
      </c>
      <c r="G2584" s="10" t="str">
        <f t="shared" si="115"/>
        <v>ON1</v>
      </c>
      <c r="H2584" s="10" t="s">
        <v>21</v>
      </c>
      <c r="I2584" s="10" t="s">
        <v>157</v>
      </c>
      <c r="J2584" s="10" t="str">
        <f>""</f>
        <v/>
      </c>
      <c r="K2584" s="10" t="str">
        <f>"PFES1162563928_0001"</f>
        <v>PFES1162563928_0001</v>
      </c>
      <c r="L2584" s="10">
        <v>1</v>
      </c>
      <c r="M2584" s="10">
        <v>2</v>
      </c>
    </row>
    <row r="2585" spans="1:13">
      <c r="A2585" s="8">
        <v>42936</v>
      </c>
      <c r="B2585" s="9">
        <v>0.69166666666666676</v>
      </c>
      <c r="C2585" s="10" t="str">
        <f>"FES1162563960"</f>
        <v>FES1162563960</v>
      </c>
      <c r="D2585" s="10" t="s">
        <v>19</v>
      </c>
      <c r="E2585" s="10" t="s">
        <v>62</v>
      </c>
      <c r="F2585" s="10" t="str">
        <f>"2170570492 "</f>
        <v xml:space="preserve">2170570492 </v>
      </c>
      <c r="G2585" s="10" t="str">
        <f t="shared" si="115"/>
        <v>ON1</v>
      </c>
      <c r="H2585" s="10" t="s">
        <v>21</v>
      </c>
      <c r="I2585" s="10" t="s">
        <v>402</v>
      </c>
      <c r="J2585" s="10" t="str">
        <f>""</f>
        <v/>
      </c>
      <c r="K2585" s="10" t="str">
        <f>"PFES1162563960_0001"</f>
        <v>PFES1162563960_0001</v>
      </c>
      <c r="L2585" s="10">
        <v>1</v>
      </c>
      <c r="M2585" s="10">
        <v>1</v>
      </c>
    </row>
    <row r="2586" spans="1:13">
      <c r="A2586" s="8">
        <v>42936</v>
      </c>
      <c r="B2586" s="9">
        <v>0.69027777777777777</v>
      </c>
      <c r="C2586" s="10" t="str">
        <f>"FES1162563963"</f>
        <v>FES1162563963</v>
      </c>
      <c r="D2586" s="10" t="s">
        <v>19</v>
      </c>
      <c r="E2586" s="10" t="s">
        <v>184</v>
      </c>
      <c r="F2586" s="10" t="str">
        <f>"2170580328 "</f>
        <v xml:space="preserve">2170580328 </v>
      </c>
      <c r="G2586" s="10" t="str">
        <f t="shared" si="115"/>
        <v>ON1</v>
      </c>
      <c r="H2586" s="10" t="s">
        <v>21</v>
      </c>
      <c r="I2586" s="10" t="s">
        <v>185</v>
      </c>
      <c r="J2586" s="10" t="str">
        <f>""</f>
        <v/>
      </c>
      <c r="K2586" s="10" t="str">
        <f>"PFES1162563963_0001"</f>
        <v>PFES1162563963_0001</v>
      </c>
      <c r="L2586" s="10">
        <v>1</v>
      </c>
      <c r="M2586" s="10">
        <v>1</v>
      </c>
    </row>
    <row r="2587" spans="1:13">
      <c r="A2587" s="8">
        <v>42936</v>
      </c>
      <c r="B2587" s="9">
        <v>0.68958333333333333</v>
      </c>
      <c r="C2587" s="10" t="str">
        <f>"FES1162563930"</f>
        <v>FES1162563930</v>
      </c>
      <c r="D2587" s="10" t="s">
        <v>19</v>
      </c>
      <c r="E2587" s="10" t="s">
        <v>288</v>
      </c>
      <c r="F2587" s="10" t="str">
        <f>"2170580323 "</f>
        <v xml:space="preserve">2170580323 </v>
      </c>
      <c r="G2587" s="10" t="str">
        <f t="shared" si="115"/>
        <v>ON1</v>
      </c>
      <c r="H2587" s="10" t="s">
        <v>21</v>
      </c>
      <c r="I2587" s="10" t="s">
        <v>84</v>
      </c>
      <c r="J2587" s="10" t="str">
        <f>""</f>
        <v/>
      </c>
      <c r="K2587" s="10" t="str">
        <f>"PFES1162563930_0001"</f>
        <v>PFES1162563930_0001</v>
      </c>
      <c r="L2587" s="10">
        <v>1</v>
      </c>
      <c r="M2587" s="10">
        <v>5</v>
      </c>
    </row>
    <row r="2588" spans="1:13">
      <c r="A2588" s="8">
        <v>42936</v>
      </c>
      <c r="B2588" s="9">
        <v>0.68958333333333333</v>
      </c>
      <c r="C2588" s="10" t="str">
        <f>"FES1162563959"</f>
        <v>FES1162563959</v>
      </c>
      <c r="D2588" s="10" t="s">
        <v>19</v>
      </c>
      <c r="E2588" s="10" t="s">
        <v>986</v>
      </c>
      <c r="F2588" s="10" t="str">
        <f>"2170779999 "</f>
        <v xml:space="preserve">2170779999 </v>
      </c>
      <c r="G2588" s="10" t="str">
        <f t="shared" si="115"/>
        <v>ON1</v>
      </c>
      <c r="H2588" s="10" t="s">
        <v>21</v>
      </c>
      <c r="I2588" s="10" t="s">
        <v>88</v>
      </c>
      <c r="J2588" s="10" t="str">
        <f>""</f>
        <v/>
      </c>
      <c r="K2588" s="10" t="str">
        <f>"PFES1162563959_0001"</f>
        <v>PFES1162563959_0001</v>
      </c>
      <c r="L2588" s="10">
        <v>1</v>
      </c>
      <c r="M2588" s="10">
        <v>7</v>
      </c>
    </row>
    <row r="2589" spans="1:13">
      <c r="A2589" s="8">
        <v>42936</v>
      </c>
      <c r="B2589" s="9">
        <v>0.68819444444444444</v>
      </c>
      <c r="C2589" s="10" t="str">
        <f>"FES1162563962"</f>
        <v>FES1162563962</v>
      </c>
      <c r="D2589" s="10" t="s">
        <v>19</v>
      </c>
      <c r="E2589" s="10" t="s">
        <v>62</v>
      </c>
      <c r="F2589" s="10" t="str">
        <f>"2170580494 "</f>
        <v xml:space="preserve">2170580494 </v>
      </c>
      <c r="G2589" s="10" t="str">
        <f t="shared" si="115"/>
        <v>ON1</v>
      </c>
      <c r="H2589" s="10" t="s">
        <v>21</v>
      </c>
      <c r="I2589" s="10" t="s">
        <v>402</v>
      </c>
      <c r="J2589" s="10" t="str">
        <f>""</f>
        <v/>
      </c>
      <c r="K2589" s="10" t="str">
        <f>"PFES1162563962_0001"</f>
        <v>PFES1162563962_0001</v>
      </c>
      <c r="L2589" s="10">
        <v>1</v>
      </c>
      <c r="M2589" s="10">
        <v>1</v>
      </c>
    </row>
    <row r="2590" spans="1:13">
      <c r="A2590" s="8">
        <v>42936</v>
      </c>
      <c r="B2590" s="9">
        <v>0.68333333333333324</v>
      </c>
      <c r="C2590" s="10" t="str">
        <f>"FES1162563961"</f>
        <v>FES1162563961</v>
      </c>
      <c r="D2590" s="10" t="s">
        <v>19</v>
      </c>
      <c r="E2590" s="10" t="s">
        <v>180</v>
      </c>
      <c r="F2590" s="10" t="str">
        <f>"2170580493 "</f>
        <v xml:space="preserve">2170580493 </v>
      </c>
      <c r="G2590" s="10" t="str">
        <f t="shared" si="115"/>
        <v>ON1</v>
      </c>
      <c r="H2590" s="10" t="s">
        <v>21</v>
      </c>
      <c r="I2590" s="10" t="s">
        <v>168</v>
      </c>
      <c r="J2590" s="10" t="str">
        <f>""</f>
        <v/>
      </c>
      <c r="K2590" s="10" t="str">
        <f>"PFES1162563961_0001"</f>
        <v>PFES1162563961_0001</v>
      </c>
      <c r="L2590" s="10">
        <v>1</v>
      </c>
      <c r="M2590" s="10">
        <v>1</v>
      </c>
    </row>
    <row r="2591" spans="1:13">
      <c r="A2591" s="8">
        <v>42936</v>
      </c>
      <c r="B2591" s="9">
        <v>0.68125000000000002</v>
      </c>
      <c r="C2591" s="10" t="str">
        <f>"FES1162563957"</f>
        <v>FES1162563957</v>
      </c>
      <c r="D2591" s="10" t="s">
        <v>19</v>
      </c>
      <c r="E2591" s="10" t="s">
        <v>164</v>
      </c>
      <c r="F2591" s="10" t="str">
        <f>"217058/0487 "</f>
        <v xml:space="preserve">217058/0487 </v>
      </c>
      <c r="G2591" s="10" t="str">
        <f t="shared" si="115"/>
        <v>ON1</v>
      </c>
      <c r="H2591" s="10" t="s">
        <v>21</v>
      </c>
      <c r="I2591" s="10" t="s">
        <v>147</v>
      </c>
      <c r="J2591" s="10" t="str">
        <f>""</f>
        <v/>
      </c>
      <c r="K2591" s="10" t="str">
        <f>"PFES1162563957_0001"</f>
        <v>PFES1162563957_0001</v>
      </c>
      <c r="L2591" s="10">
        <v>1</v>
      </c>
      <c r="M2591" s="10">
        <v>1</v>
      </c>
    </row>
    <row r="2592" spans="1:13">
      <c r="A2592" s="8">
        <v>42936</v>
      </c>
      <c r="B2592" s="9">
        <v>0.68055555555555547</v>
      </c>
      <c r="C2592" s="10" t="str">
        <f>"FES1162563956"</f>
        <v>FES1162563956</v>
      </c>
      <c r="D2592" s="10" t="s">
        <v>19</v>
      </c>
      <c r="E2592" s="10" t="s">
        <v>129</v>
      </c>
      <c r="F2592" s="10" t="str">
        <f>"2170580489 "</f>
        <v xml:space="preserve">2170580489 </v>
      </c>
      <c r="G2592" s="10" t="str">
        <f t="shared" si="115"/>
        <v>ON1</v>
      </c>
      <c r="H2592" s="10" t="s">
        <v>21</v>
      </c>
      <c r="I2592" s="10" t="s">
        <v>130</v>
      </c>
      <c r="J2592" s="10" t="str">
        <f>""</f>
        <v/>
      </c>
      <c r="K2592" s="10" t="str">
        <f>"PFES1162563956_0001"</f>
        <v>PFES1162563956_0001</v>
      </c>
      <c r="L2592" s="10">
        <v>1</v>
      </c>
      <c r="M2592" s="10">
        <v>1</v>
      </c>
    </row>
    <row r="2593" spans="1:13">
      <c r="A2593" s="8">
        <v>42936</v>
      </c>
      <c r="B2593" s="9">
        <v>0.68055555555555547</v>
      </c>
      <c r="C2593" s="10" t="str">
        <f>"FES1162563915"</f>
        <v>FES1162563915</v>
      </c>
      <c r="D2593" s="10" t="s">
        <v>19</v>
      </c>
      <c r="E2593" s="10" t="s">
        <v>33</v>
      </c>
      <c r="F2593" s="10" t="str">
        <f>"2170580446 "</f>
        <v xml:space="preserve">2170580446 </v>
      </c>
      <c r="G2593" s="10" t="str">
        <f t="shared" si="115"/>
        <v>ON1</v>
      </c>
      <c r="H2593" s="10" t="s">
        <v>21</v>
      </c>
      <c r="I2593" s="10" t="s">
        <v>34</v>
      </c>
      <c r="J2593" s="10" t="str">
        <f>""</f>
        <v/>
      </c>
      <c r="K2593" s="10" t="str">
        <f>"PFES1162563915_0001"</f>
        <v>PFES1162563915_0001</v>
      </c>
      <c r="L2593" s="10">
        <v>1</v>
      </c>
      <c r="M2593" s="10">
        <v>1</v>
      </c>
    </row>
    <row r="2594" spans="1:13">
      <c r="A2594" s="8">
        <v>42936</v>
      </c>
      <c r="B2594" s="9">
        <v>0.67986111111111114</v>
      </c>
      <c r="C2594" s="10" t="str">
        <f>"FES1162563958"</f>
        <v>FES1162563958</v>
      </c>
      <c r="D2594" s="10" t="s">
        <v>19</v>
      </c>
      <c r="E2594" s="10" t="s">
        <v>320</v>
      </c>
      <c r="F2594" s="10" t="str">
        <f>"217057263 "</f>
        <v xml:space="preserve">217057263 </v>
      </c>
      <c r="G2594" s="10" t="str">
        <f t="shared" si="115"/>
        <v>ON1</v>
      </c>
      <c r="H2594" s="10" t="s">
        <v>21</v>
      </c>
      <c r="I2594" s="10" t="s">
        <v>32</v>
      </c>
      <c r="J2594" s="10" t="str">
        <f>""</f>
        <v/>
      </c>
      <c r="K2594" s="10" t="str">
        <f>"PFES1162563958_0001"</f>
        <v>PFES1162563958_0001</v>
      </c>
      <c r="L2594" s="10">
        <v>1</v>
      </c>
      <c r="M2594" s="10">
        <v>1</v>
      </c>
    </row>
    <row r="2595" spans="1:13">
      <c r="A2595" s="8">
        <v>42936</v>
      </c>
      <c r="B2595" s="9">
        <v>0.67222222222222217</v>
      </c>
      <c r="C2595" s="10" t="str">
        <f>"FES1162563950"</f>
        <v>FES1162563950</v>
      </c>
      <c r="D2595" s="10" t="s">
        <v>19</v>
      </c>
      <c r="E2595" s="10" t="s">
        <v>1036</v>
      </c>
      <c r="F2595" s="10" t="str">
        <f>"2170580478 "</f>
        <v xml:space="preserve">2170580478 </v>
      </c>
      <c r="G2595" s="10" t="str">
        <f t="shared" si="115"/>
        <v>ON1</v>
      </c>
      <c r="H2595" s="10" t="s">
        <v>21</v>
      </c>
      <c r="I2595" s="10" t="s">
        <v>803</v>
      </c>
      <c r="J2595" s="10" t="str">
        <f>""</f>
        <v/>
      </c>
      <c r="K2595" s="10" t="str">
        <f>"PFES1162563950_0001"</f>
        <v>PFES1162563950_0001</v>
      </c>
      <c r="L2595" s="10">
        <v>1</v>
      </c>
      <c r="M2595" s="10">
        <v>5</v>
      </c>
    </row>
    <row r="2596" spans="1:13">
      <c r="A2596" s="8">
        <v>42936</v>
      </c>
      <c r="B2596" s="9">
        <v>0.67222222222222217</v>
      </c>
      <c r="C2596" s="10" t="str">
        <f>"FES1162563953"</f>
        <v>FES1162563953</v>
      </c>
      <c r="D2596" s="10" t="s">
        <v>19</v>
      </c>
      <c r="E2596" s="10" t="s">
        <v>277</v>
      </c>
      <c r="F2596" s="10" t="str">
        <f>"2170580486 "</f>
        <v xml:space="preserve">2170580486 </v>
      </c>
      <c r="G2596" s="10" t="str">
        <f t="shared" si="115"/>
        <v>ON1</v>
      </c>
      <c r="H2596" s="10" t="s">
        <v>21</v>
      </c>
      <c r="I2596" s="10" t="s">
        <v>234</v>
      </c>
      <c r="J2596" s="10" t="str">
        <f>""</f>
        <v/>
      </c>
      <c r="K2596" s="10" t="str">
        <f>"PFES1162563953_0001"</f>
        <v>PFES1162563953_0001</v>
      </c>
      <c r="L2596" s="10">
        <v>1</v>
      </c>
      <c r="M2596" s="10">
        <v>13</v>
      </c>
    </row>
    <row r="2597" spans="1:13">
      <c r="A2597" s="8">
        <v>42936</v>
      </c>
      <c r="B2597" s="9">
        <v>0.67152777777777783</v>
      </c>
      <c r="C2597" s="10" t="str">
        <f>"FES1162563846"</f>
        <v>FES1162563846</v>
      </c>
      <c r="D2597" s="10" t="s">
        <v>19</v>
      </c>
      <c r="E2597" s="10" t="s">
        <v>459</v>
      </c>
      <c r="F2597" s="10" t="str">
        <f>"2170580358 "</f>
        <v xml:space="preserve">2170580358 </v>
      </c>
      <c r="G2597" s="10" t="str">
        <f t="shared" si="115"/>
        <v>ON1</v>
      </c>
      <c r="H2597" s="10" t="s">
        <v>21</v>
      </c>
      <c r="I2597" s="10" t="s">
        <v>330</v>
      </c>
      <c r="J2597" s="10" t="str">
        <f>""</f>
        <v/>
      </c>
      <c r="K2597" s="10" t="str">
        <f>"PFES1162563846_0001"</f>
        <v>PFES1162563846_0001</v>
      </c>
      <c r="L2597" s="10">
        <v>1</v>
      </c>
      <c r="M2597" s="10">
        <v>1</v>
      </c>
    </row>
    <row r="2598" spans="1:13">
      <c r="A2598" s="8">
        <v>42936</v>
      </c>
      <c r="B2598" s="9">
        <v>0.67152777777777783</v>
      </c>
      <c r="C2598" s="10" t="str">
        <f>"FES1162563934"</f>
        <v>FES1162563934</v>
      </c>
      <c r="D2598" s="10" t="s">
        <v>19</v>
      </c>
      <c r="E2598" s="10" t="s">
        <v>326</v>
      </c>
      <c r="F2598" s="10" t="str">
        <f>"217058046+2 "</f>
        <v xml:space="preserve">217058046+2 </v>
      </c>
      <c r="G2598" s="10" t="str">
        <f t="shared" si="115"/>
        <v>ON1</v>
      </c>
      <c r="H2598" s="10" t="s">
        <v>21</v>
      </c>
      <c r="I2598" s="10" t="s">
        <v>327</v>
      </c>
      <c r="J2598" s="10" t="str">
        <f>""</f>
        <v/>
      </c>
      <c r="K2598" s="10" t="str">
        <f>"PFES1162563934_0001"</f>
        <v>PFES1162563934_0001</v>
      </c>
      <c r="L2598" s="10">
        <v>1</v>
      </c>
      <c r="M2598" s="10">
        <v>1</v>
      </c>
    </row>
    <row r="2599" spans="1:13">
      <c r="A2599" s="8">
        <v>42936</v>
      </c>
      <c r="B2599" s="9">
        <v>0.67083333333333339</v>
      </c>
      <c r="C2599" s="10" t="str">
        <f>"FES1162563933"</f>
        <v>FES1162563933</v>
      </c>
      <c r="D2599" s="10" t="s">
        <v>19</v>
      </c>
      <c r="E2599" s="10" t="s">
        <v>355</v>
      </c>
      <c r="F2599" s="10" t="str">
        <f>"2170580461 "</f>
        <v xml:space="preserve">2170580461 </v>
      </c>
      <c r="G2599" s="10" t="str">
        <f t="shared" si="115"/>
        <v>ON1</v>
      </c>
      <c r="H2599" s="10" t="s">
        <v>21</v>
      </c>
      <c r="I2599" s="10" t="s">
        <v>330</v>
      </c>
      <c r="J2599" s="10" t="str">
        <f>""</f>
        <v/>
      </c>
      <c r="K2599" s="10" t="str">
        <f>"PFES1162563933_0001"</f>
        <v>PFES1162563933_0001</v>
      </c>
      <c r="L2599" s="10">
        <v>1</v>
      </c>
      <c r="M2599" s="10">
        <v>1</v>
      </c>
    </row>
    <row r="2600" spans="1:13">
      <c r="A2600" s="8">
        <v>42936</v>
      </c>
      <c r="B2600" s="9">
        <v>0.67083333333333339</v>
      </c>
      <c r="C2600" s="10" t="str">
        <f>"FES1162563917"</f>
        <v>FES1162563917</v>
      </c>
      <c r="D2600" s="10" t="s">
        <v>19</v>
      </c>
      <c r="E2600" s="10" t="s">
        <v>1037</v>
      </c>
      <c r="F2600" s="10" t="str">
        <f>"2170580448 "</f>
        <v xml:space="preserve">2170580448 </v>
      </c>
      <c r="G2600" s="10" t="str">
        <f t="shared" si="115"/>
        <v>ON1</v>
      </c>
      <c r="H2600" s="10" t="s">
        <v>21</v>
      </c>
      <c r="I2600" s="10" t="s">
        <v>38</v>
      </c>
      <c r="J2600" s="10" t="str">
        <f>""</f>
        <v/>
      </c>
      <c r="K2600" s="10" t="str">
        <f>"PFES1162563917_0001"</f>
        <v>PFES1162563917_0001</v>
      </c>
      <c r="L2600" s="10">
        <v>1</v>
      </c>
      <c r="M2600" s="10">
        <v>1</v>
      </c>
    </row>
    <row r="2601" spans="1:13">
      <c r="A2601" s="8">
        <v>42936</v>
      </c>
      <c r="B2601" s="9">
        <v>0.67083333333333339</v>
      </c>
      <c r="C2601" s="10" t="str">
        <f>"FES1162563912"</f>
        <v>FES1162563912</v>
      </c>
      <c r="D2601" s="10" t="s">
        <v>19</v>
      </c>
      <c r="E2601" s="10" t="s">
        <v>527</v>
      </c>
      <c r="F2601" s="10" t="str">
        <f>"2170580442 "</f>
        <v xml:space="preserve">2170580442 </v>
      </c>
      <c r="G2601" s="10" t="str">
        <f t="shared" si="115"/>
        <v>ON1</v>
      </c>
      <c r="H2601" s="10" t="s">
        <v>21</v>
      </c>
      <c r="I2601" s="10" t="s">
        <v>217</v>
      </c>
      <c r="J2601" s="10" t="str">
        <f>""</f>
        <v/>
      </c>
      <c r="K2601" s="10" t="str">
        <f>"PFES1162563912_0001"</f>
        <v>PFES1162563912_0001</v>
      </c>
      <c r="L2601" s="10">
        <v>1</v>
      </c>
      <c r="M2601" s="10">
        <v>1</v>
      </c>
    </row>
    <row r="2602" spans="1:13">
      <c r="A2602" s="8">
        <v>42936</v>
      </c>
      <c r="B2602" s="9">
        <v>0.67013888888888884</v>
      </c>
      <c r="C2602" s="10" t="str">
        <f>"FES1162563931"</f>
        <v>FES1162563931</v>
      </c>
      <c r="D2602" s="10" t="s">
        <v>19</v>
      </c>
      <c r="E2602" s="10" t="s">
        <v>45</v>
      </c>
      <c r="F2602" s="10" t="str">
        <f>"2170580457 "</f>
        <v xml:space="preserve">2170580457 </v>
      </c>
      <c r="G2602" s="10" t="str">
        <f t="shared" si="115"/>
        <v>ON1</v>
      </c>
      <c r="H2602" s="10" t="s">
        <v>21</v>
      </c>
      <c r="I2602" s="10" t="s">
        <v>46</v>
      </c>
      <c r="J2602" s="10" t="str">
        <f>""</f>
        <v/>
      </c>
      <c r="K2602" s="10" t="str">
        <f>"PFES1162563931_0001"</f>
        <v>PFES1162563931_0001</v>
      </c>
      <c r="L2602" s="10">
        <v>1</v>
      </c>
      <c r="M2602" s="10">
        <v>1</v>
      </c>
    </row>
    <row r="2603" spans="1:13">
      <c r="A2603" s="8">
        <v>42936</v>
      </c>
      <c r="B2603" s="9">
        <v>0.67013888888888884</v>
      </c>
      <c r="C2603" s="10" t="str">
        <f>"FES1162563868"</f>
        <v>FES1162563868</v>
      </c>
      <c r="D2603" s="10" t="s">
        <v>19</v>
      </c>
      <c r="E2603" s="10" t="s">
        <v>688</v>
      </c>
      <c r="F2603" s="10" t="str">
        <f>"2170580389 "</f>
        <v xml:space="preserve">2170580389 </v>
      </c>
      <c r="G2603" s="10" t="str">
        <f t="shared" si="115"/>
        <v>ON1</v>
      </c>
      <c r="H2603" s="10" t="s">
        <v>21</v>
      </c>
      <c r="I2603" s="10" t="s">
        <v>689</v>
      </c>
      <c r="J2603" s="10" t="str">
        <f>""</f>
        <v/>
      </c>
      <c r="K2603" s="10" t="str">
        <f>"PFES1162563868_0001"</f>
        <v>PFES1162563868_0001</v>
      </c>
      <c r="L2603" s="10">
        <v>1</v>
      </c>
      <c r="M2603" s="10">
        <v>1</v>
      </c>
    </row>
    <row r="2604" spans="1:13">
      <c r="A2604" s="8">
        <v>42936</v>
      </c>
      <c r="B2604" s="9">
        <v>0.6694444444444444</v>
      </c>
      <c r="C2604" s="10" t="str">
        <f>"FES1162563905"</f>
        <v>FES1162563905</v>
      </c>
      <c r="D2604" s="10" t="s">
        <v>19</v>
      </c>
      <c r="E2604" s="10" t="s">
        <v>220</v>
      </c>
      <c r="F2604" s="10" t="str">
        <f>"2170580433 "</f>
        <v xml:space="preserve">2170580433 </v>
      </c>
      <c r="G2604" s="10" t="str">
        <f t="shared" si="115"/>
        <v>ON1</v>
      </c>
      <c r="H2604" s="10" t="s">
        <v>21</v>
      </c>
      <c r="I2604" s="10" t="s">
        <v>949</v>
      </c>
      <c r="J2604" s="10" t="str">
        <f>""</f>
        <v/>
      </c>
      <c r="K2604" s="10" t="str">
        <f>"PFES1162563905_0001"</f>
        <v>PFES1162563905_0001</v>
      </c>
      <c r="L2604" s="10">
        <v>1</v>
      </c>
      <c r="M2604" s="10">
        <v>1</v>
      </c>
    </row>
    <row r="2605" spans="1:13">
      <c r="A2605" s="8">
        <v>42936</v>
      </c>
      <c r="B2605" s="9">
        <v>0.6694444444444444</v>
      </c>
      <c r="C2605" s="10" t="str">
        <f>"FES1162563914"</f>
        <v>FES1162563914</v>
      </c>
      <c r="D2605" s="10" t="s">
        <v>19</v>
      </c>
      <c r="E2605" s="10" t="s">
        <v>527</v>
      </c>
      <c r="F2605" s="10" t="str">
        <f>"217058044 "</f>
        <v xml:space="preserve">217058044 </v>
      </c>
      <c r="G2605" s="10" t="str">
        <f t="shared" si="115"/>
        <v>ON1</v>
      </c>
      <c r="H2605" s="10" t="s">
        <v>21</v>
      </c>
      <c r="I2605" s="10" t="s">
        <v>217</v>
      </c>
      <c r="J2605" s="10" t="str">
        <f>""</f>
        <v/>
      </c>
      <c r="K2605" s="10" t="str">
        <f>"PFES1162563914_0001"</f>
        <v>PFES1162563914_0001</v>
      </c>
      <c r="L2605" s="10">
        <v>1</v>
      </c>
      <c r="M2605" s="10">
        <v>1</v>
      </c>
    </row>
    <row r="2606" spans="1:13">
      <c r="A2606" s="8">
        <v>42936</v>
      </c>
      <c r="B2606" s="9">
        <v>0.66875000000000007</v>
      </c>
      <c r="C2606" s="10" t="str">
        <f>"FES1162563879"</f>
        <v>FES1162563879</v>
      </c>
      <c r="D2606" s="10" t="s">
        <v>19</v>
      </c>
      <c r="E2606" s="10" t="s">
        <v>326</v>
      </c>
      <c r="F2606" s="10" t="str">
        <f>"2170580403 "</f>
        <v xml:space="preserve">2170580403 </v>
      </c>
      <c r="G2606" s="10" t="str">
        <f t="shared" si="115"/>
        <v>ON1</v>
      </c>
      <c r="H2606" s="10" t="s">
        <v>21</v>
      </c>
      <c r="I2606" s="10" t="s">
        <v>327</v>
      </c>
      <c r="J2606" s="10" t="str">
        <f>""</f>
        <v/>
      </c>
      <c r="K2606" s="10" t="str">
        <f>"PFES1162563879_0001"</f>
        <v>PFES1162563879_0001</v>
      </c>
      <c r="L2606" s="10">
        <v>1</v>
      </c>
      <c r="M2606" s="10">
        <v>1</v>
      </c>
    </row>
    <row r="2607" spans="1:13">
      <c r="A2607" s="8">
        <v>42936</v>
      </c>
      <c r="B2607" s="9">
        <v>0.66875000000000007</v>
      </c>
      <c r="C2607" s="10" t="str">
        <f>"FES1162563918"</f>
        <v>FES1162563918</v>
      </c>
      <c r="D2607" s="10" t="s">
        <v>19</v>
      </c>
      <c r="E2607" s="10" t="s">
        <v>611</v>
      </c>
      <c r="F2607" s="10" t="str">
        <f>"2170580449 "</f>
        <v xml:space="preserve">2170580449 </v>
      </c>
      <c r="G2607" s="10" t="str">
        <f t="shared" si="115"/>
        <v>ON1</v>
      </c>
      <c r="H2607" s="10" t="s">
        <v>21</v>
      </c>
      <c r="I2607" s="10" t="s">
        <v>48</v>
      </c>
      <c r="J2607" s="10" t="str">
        <f>""</f>
        <v/>
      </c>
      <c r="K2607" s="10" t="str">
        <f>"PFES1162563918_0001"</f>
        <v>PFES1162563918_0001</v>
      </c>
      <c r="L2607" s="10">
        <v>1</v>
      </c>
      <c r="M2607" s="10">
        <v>1</v>
      </c>
    </row>
    <row r="2608" spans="1:13">
      <c r="A2608" s="8">
        <v>42936</v>
      </c>
      <c r="B2608" s="9">
        <v>0.66875000000000007</v>
      </c>
      <c r="C2608" s="10" t="str">
        <f>"FES1162563813"</f>
        <v>FES1162563813</v>
      </c>
      <c r="D2608" s="10" t="s">
        <v>19</v>
      </c>
      <c r="E2608" s="10" t="s">
        <v>288</v>
      </c>
      <c r="F2608" s="10" t="str">
        <f>"2170580332 "</f>
        <v xml:space="preserve">2170580332 </v>
      </c>
      <c r="G2608" s="10" t="str">
        <f t="shared" si="115"/>
        <v>ON1</v>
      </c>
      <c r="H2608" s="10" t="s">
        <v>21</v>
      </c>
      <c r="I2608" s="10" t="s">
        <v>84</v>
      </c>
      <c r="J2608" s="10" t="str">
        <f>""</f>
        <v/>
      </c>
      <c r="K2608" s="10" t="str">
        <f>"PFES1162563813_0001"</f>
        <v>PFES1162563813_0001</v>
      </c>
      <c r="L2608" s="10">
        <v>1</v>
      </c>
      <c r="M2608" s="10">
        <v>2</v>
      </c>
    </row>
    <row r="2609" spans="1:13">
      <c r="A2609" s="8">
        <v>42936</v>
      </c>
      <c r="B2609" s="9">
        <v>0.66666666666666663</v>
      </c>
      <c r="C2609" s="10" t="str">
        <f>"FES11563819"</f>
        <v>FES11563819</v>
      </c>
      <c r="D2609" s="10" t="s">
        <v>19</v>
      </c>
      <c r="E2609" s="10" t="s">
        <v>459</v>
      </c>
      <c r="F2609" s="10" t="str">
        <f>"2170580340 "</f>
        <v xml:space="preserve">2170580340 </v>
      </c>
      <c r="G2609" s="10" t="str">
        <f t="shared" si="115"/>
        <v>ON1</v>
      </c>
      <c r="H2609" s="10" t="s">
        <v>21</v>
      </c>
      <c r="I2609" s="10" t="s">
        <v>330</v>
      </c>
      <c r="J2609" s="10" t="str">
        <f>""</f>
        <v/>
      </c>
      <c r="K2609" s="10" t="str">
        <f>"PFES11563819_0001"</f>
        <v>PFES11563819_0001</v>
      </c>
      <c r="L2609" s="10">
        <v>1</v>
      </c>
      <c r="M2609" s="10">
        <v>1</v>
      </c>
    </row>
    <row r="2610" spans="1:13">
      <c r="A2610" s="8">
        <v>42936</v>
      </c>
      <c r="B2610" s="9">
        <v>0.66597222222222219</v>
      </c>
      <c r="C2610" s="10" t="str">
        <f>"FES1162563838"</f>
        <v>FES1162563838</v>
      </c>
      <c r="D2610" s="10" t="s">
        <v>19</v>
      </c>
      <c r="E2610" s="10" t="s">
        <v>427</v>
      </c>
      <c r="F2610" s="10" t="str">
        <f>"2170580363 "</f>
        <v xml:space="preserve">2170580363 </v>
      </c>
      <c r="G2610" s="10" t="str">
        <f t="shared" si="115"/>
        <v>ON1</v>
      </c>
      <c r="H2610" s="10" t="s">
        <v>21</v>
      </c>
      <c r="I2610" s="10" t="s">
        <v>50</v>
      </c>
      <c r="J2610" s="10" t="str">
        <f>""</f>
        <v/>
      </c>
      <c r="K2610" s="10" t="str">
        <f>"PFES1162563838_0001"</f>
        <v>PFES1162563838_0001</v>
      </c>
      <c r="L2610" s="10">
        <v>1</v>
      </c>
      <c r="M2610" s="10">
        <v>1</v>
      </c>
    </row>
    <row r="2611" spans="1:13">
      <c r="A2611" s="8">
        <v>42936</v>
      </c>
      <c r="B2611" s="9">
        <v>0.66527777777777775</v>
      </c>
      <c r="C2611" s="10" t="str">
        <f>"FES1162563941"</f>
        <v>FES1162563941</v>
      </c>
      <c r="D2611" s="10" t="s">
        <v>19</v>
      </c>
      <c r="E2611" s="10" t="s">
        <v>550</v>
      </c>
      <c r="F2611" s="10" t="str">
        <f>"217080470 "</f>
        <v xml:space="preserve">217080470 </v>
      </c>
      <c r="G2611" s="10" t="str">
        <f t="shared" si="115"/>
        <v>ON1</v>
      </c>
      <c r="H2611" s="10" t="s">
        <v>21</v>
      </c>
      <c r="I2611" s="10" t="s">
        <v>161</v>
      </c>
      <c r="J2611" s="10" t="str">
        <f>""</f>
        <v/>
      </c>
      <c r="K2611" s="10" t="str">
        <f>"PFES1162563941_0001"</f>
        <v>PFES1162563941_0001</v>
      </c>
      <c r="L2611" s="10">
        <v>1</v>
      </c>
      <c r="M2611" s="10">
        <v>1</v>
      </c>
    </row>
    <row r="2612" spans="1:13">
      <c r="A2612" s="8">
        <v>42936</v>
      </c>
      <c r="B2612" s="9">
        <v>0.66527777777777775</v>
      </c>
      <c r="C2612" s="10" t="str">
        <f>"FES1162563919"</f>
        <v>FES1162563919</v>
      </c>
      <c r="D2612" s="10" t="s">
        <v>19</v>
      </c>
      <c r="E2612" s="10" t="s">
        <v>158</v>
      </c>
      <c r="F2612" s="10" t="str">
        <f>"2170580229 "</f>
        <v xml:space="preserve">2170580229 </v>
      </c>
      <c r="G2612" s="10" t="str">
        <f t="shared" si="115"/>
        <v>ON1</v>
      </c>
      <c r="H2612" s="10" t="s">
        <v>21</v>
      </c>
      <c r="I2612" s="10" t="s">
        <v>159</v>
      </c>
      <c r="J2612" s="10" t="str">
        <f>""</f>
        <v/>
      </c>
      <c r="K2612" s="10" t="str">
        <f>"PFES1162563919_0001"</f>
        <v>PFES1162563919_0001</v>
      </c>
      <c r="L2612" s="10">
        <v>1</v>
      </c>
      <c r="M2612" s="10">
        <v>1</v>
      </c>
    </row>
    <row r="2613" spans="1:13">
      <c r="A2613" s="8">
        <v>42936</v>
      </c>
      <c r="B2613" s="9">
        <v>0.6645833333333333</v>
      </c>
      <c r="C2613" s="10" t="str">
        <f>"FES1162563927"</f>
        <v>FES1162563927</v>
      </c>
      <c r="D2613" s="10" t="s">
        <v>19</v>
      </c>
      <c r="E2613" s="10" t="s">
        <v>129</v>
      </c>
      <c r="F2613" s="10" t="str">
        <f>"2170579356 "</f>
        <v xml:space="preserve">2170579356 </v>
      </c>
      <c r="G2613" s="10" t="str">
        <f t="shared" si="115"/>
        <v>ON1</v>
      </c>
      <c r="H2613" s="10" t="s">
        <v>21</v>
      </c>
      <c r="I2613" s="10" t="s">
        <v>130</v>
      </c>
      <c r="J2613" s="10" t="str">
        <f>""</f>
        <v/>
      </c>
      <c r="K2613" s="10" t="str">
        <f>"PFES1162563927_0001"</f>
        <v>PFES1162563927_0001</v>
      </c>
      <c r="L2613" s="10">
        <v>1</v>
      </c>
      <c r="M2613" s="10">
        <v>1</v>
      </c>
    </row>
    <row r="2614" spans="1:13">
      <c r="A2614" s="8">
        <v>42936</v>
      </c>
      <c r="B2614" s="9">
        <v>0.6645833333333333</v>
      </c>
      <c r="C2614" s="10" t="str">
        <f>"FES1162563945"</f>
        <v>FES1162563945</v>
      </c>
      <c r="D2614" s="10" t="s">
        <v>19</v>
      </c>
      <c r="E2614" s="10" t="s">
        <v>366</v>
      </c>
      <c r="F2614" s="10" t="str">
        <f>"2170580477 "</f>
        <v xml:space="preserve">2170580477 </v>
      </c>
      <c r="G2614" s="10" t="str">
        <f t="shared" si="115"/>
        <v>ON1</v>
      </c>
      <c r="H2614" s="10" t="s">
        <v>21</v>
      </c>
      <c r="I2614" s="10" t="s">
        <v>128</v>
      </c>
      <c r="J2614" s="10" t="str">
        <f>""</f>
        <v/>
      </c>
      <c r="K2614" s="10" t="str">
        <f>"PFES1162563945_0001"</f>
        <v>PFES1162563945_0001</v>
      </c>
      <c r="L2614" s="10">
        <v>1</v>
      </c>
      <c r="M2614" s="10">
        <v>1</v>
      </c>
    </row>
    <row r="2615" spans="1:13">
      <c r="A2615" s="8">
        <v>42936</v>
      </c>
      <c r="B2615" s="9">
        <v>0.66319444444444442</v>
      </c>
      <c r="C2615" s="10" t="str">
        <f>"FES1162563938"</f>
        <v>FES1162563938</v>
      </c>
      <c r="D2615" s="10" t="s">
        <v>19</v>
      </c>
      <c r="E2615" s="10" t="s">
        <v>1038</v>
      </c>
      <c r="F2615" s="10" t="str">
        <f>"2170580465 "</f>
        <v xml:space="preserve">2170580465 </v>
      </c>
      <c r="G2615" s="10" t="str">
        <f t="shared" si="115"/>
        <v>ON1</v>
      </c>
      <c r="H2615" s="10" t="s">
        <v>21</v>
      </c>
      <c r="I2615" s="10" t="s">
        <v>500</v>
      </c>
      <c r="J2615" s="10" t="str">
        <f>""</f>
        <v/>
      </c>
      <c r="K2615" s="10" t="str">
        <f>"PFES1162563938_0001"</f>
        <v>PFES1162563938_0001</v>
      </c>
      <c r="L2615" s="10">
        <v>1</v>
      </c>
      <c r="M2615" s="10">
        <v>1</v>
      </c>
    </row>
    <row r="2616" spans="1:13">
      <c r="A2616" s="8">
        <v>42936</v>
      </c>
      <c r="B2616" s="9">
        <v>0.66249999999999998</v>
      </c>
      <c r="C2616" s="10" t="str">
        <f>"FES1162563874"</f>
        <v>FES1162563874</v>
      </c>
      <c r="D2616" s="10" t="s">
        <v>19</v>
      </c>
      <c r="E2616" s="10" t="s">
        <v>301</v>
      </c>
      <c r="F2616" s="10" t="str">
        <f>"217058393 "</f>
        <v xml:space="preserve">217058393 </v>
      </c>
      <c r="G2616" s="10" t="str">
        <f t="shared" si="115"/>
        <v>ON1</v>
      </c>
      <c r="H2616" s="10" t="s">
        <v>21</v>
      </c>
      <c r="I2616" s="10" t="s">
        <v>302</v>
      </c>
      <c r="J2616" s="10" t="str">
        <f>""</f>
        <v/>
      </c>
      <c r="K2616" s="10" t="str">
        <f>"PFES1162563874_0001"</f>
        <v>PFES1162563874_0001</v>
      </c>
      <c r="L2616" s="10">
        <v>1</v>
      </c>
      <c r="M2616" s="10">
        <v>1</v>
      </c>
    </row>
    <row r="2617" spans="1:13">
      <c r="A2617" s="8">
        <v>42936</v>
      </c>
      <c r="B2617" s="9">
        <v>0.66041666666666665</v>
      </c>
      <c r="C2617" s="10" t="str">
        <f>"FES1162563944"</f>
        <v>FES1162563944</v>
      </c>
      <c r="D2617" s="10" t="s">
        <v>19</v>
      </c>
      <c r="E2617" s="10" t="s">
        <v>139</v>
      </c>
      <c r="F2617" s="10" t="str">
        <f>"2170580467 "</f>
        <v xml:space="preserve">2170580467 </v>
      </c>
      <c r="G2617" s="10" t="str">
        <f t="shared" si="115"/>
        <v>ON1</v>
      </c>
      <c r="H2617" s="10" t="s">
        <v>21</v>
      </c>
      <c r="I2617" s="10" t="s">
        <v>61</v>
      </c>
      <c r="J2617" s="10" t="str">
        <f>""</f>
        <v/>
      </c>
      <c r="K2617" s="10" t="str">
        <f>"PFES1162563944_0001"</f>
        <v>PFES1162563944_0001</v>
      </c>
      <c r="L2617" s="10">
        <v>1</v>
      </c>
      <c r="M2617" s="10">
        <v>1</v>
      </c>
    </row>
    <row r="2618" spans="1:13">
      <c r="A2618" s="8">
        <v>42936</v>
      </c>
      <c r="B2618" s="9">
        <v>0.66041666666666665</v>
      </c>
      <c r="C2618" s="10" t="str">
        <f>"FES1162563939"</f>
        <v>FES1162563939</v>
      </c>
      <c r="D2618" s="10" t="s">
        <v>19</v>
      </c>
      <c r="E2618" s="10" t="s">
        <v>431</v>
      </c>
      <c r="F2618" s="10" t="str">
        <f>"2170580466 "</f>
        <v xml:space="preserve">2170580466 </v>
      </c>
      <c r="G2618" s="10" t="str">
        <f t="shared" si="115"/>
        <v>ON1</v>
      </c>
      <c r="H2618" s="10" t="s">
        <v>21</v>
      </c>
      <c r="I2618" s="10" t="s">
        <v>179</v>
      </c>
      <c r="J2618" s="10" t="str">
        <f>""</f>
        <v/>
      </c>
      <c r="K2618" s="10" t="str">
        <f>"PFES1162563939_0001"</f>
        <v>PFES1162563939_0001</v>
      </c>
      <c r="L2618" s="10">
        <v>1</v>
      </c>
      <c r="M2618" s="10">
        <v>1</v>
      </c>
    </row>
    <row r="2619" spans="1:13">
      <c r="A2619" s="8">
        <v>42936</v>
      </c>
      <c r="B2619" s="9">
        <v>0.66041666666666665</v>
      </c>
      <c r="C2619" s="10" t="str">
        <f>"FES1162563828"</f>
        <v>FES1162563828</v>
      </c>
      <c r="D2619" s="10" t="s">
        <v>19</v>
      </c>
      <c r="E2619" s="10" t="s">
        <v>659</v>
      </c>
      <c r="F2619" s="10" t="str">
        <f>"2170580350 "</f>
        <v xml:space="preserve">2170580350 </v>
      </c>
      <c r="G2619" s="10" t="str">
        <f t="shared" si="115"/>
        <v>ON1</v>
      </c>
      <c r="H2619" s="10" t="s">
        <v>21</v>
      </c>
      <c r="I2619" s="10" t="s">
        <v>183</v>
      </c>
      <c r="J2619" s="10" t="str">
        <f>""</f>
        <v/>
      </c>
      <c r="K2619" s="10" t="str">
        <f>"PFES1162563828_0001"</f>
        <v>PFES1162563828_0001</v>
      </c>
      <c r="L2619" s="10">
        <v>1</v>
      </c>
      <c r="M2619" s="10">
        <v>1</v>
      </c>
    </row>
    <row r="2620" spans="1:13">
      <c r="A2620" s="8">
        <v>42936</v>
      </c>
      <c r="B2620" s="9">
        <v>0.66041666666666665</v>
      </c>
      <c r="C2620" s="10" t="str">
        <f>"FES1162563895"</f>
        <v>FES1162563895</v>
      </c>
      <c r="D2620" s="10" t="s">
        <v>19</v>
      </c>
      <c r="E2620" s="10" t="s">
        <v>329</v>
      </c>
      <c r="F2620" s="10" t="str">
        <f>"2170580424 "</f>
        <v xml:space="preserve">2170580424 </v>
      </c>
      <c r="G2620" s="10" t="str">
        <f t="shared" si="115"/>
        <v>ON1</v>
      </c>
      <c r="H2620" s="10" t="s">
        <v>21</v>
      </c>
      <c r="I2620" s="10" t="s">
        <v>330</v>
      </c>
      <c r="J2620" s="10" t="str">
        <f>""</f>
        <v/>
      </c>
      <c r="K2620" s="10" t="str">
        <f>"PFES1162563895_0001"</f>
        <v>PFES1162563895_0001</v>
      </c>
      <c r="L2620" s="10">
        <v>1</v>
      </c>
      <c r="M2620" s="10">
        <v>1</v>
      </c>
    </row>
    <row r="2621" spans="1:13">
      <c r="A2621" s="8">
        <v>42936</v>
      </c>
      <c r="B2621" s="9">
        <v>0.65972222222222221</v>
      </c>
      <c r="C2621" s="10" t="str">
        <f>"FES1162563903"</f>
        <v>FES1162563903</v>
      </c>
      <c r="D2621" s="10" t="s">
        <v>19</v>
      </c>
      <c r="E2621" s="10" t="s">
        <v>301</v>
      </c>
      <c r="F2621" s="10" t="str">
        <f>"2170580430 "</f>
        <v xml:space="preserve">2170580430 </v>
      </c>
      <c r="G2621" s="10" t="str">
        <f t="shared" si="115"/>
        <v>ON1</v>
      </c>
      <c r="H2621" s="10" t="s">
        <v>21</v>
      </c>
      <c r="I2621" s="10" t="s">
        <v>302</v>
      </c>
      <c r="J2621" s="10" t="str">
        <f>""</f>
        <v/>
      </c>
      <c r="K2621" s="10" t="str">
        <f>"PFES1162563903_0001"</f>
        <v>PFES1162563903_0001</v>
      </c>
      <c r="L2621" s="10">
        <v>1</v>
      </c>
      <c r="M2621" s="10">
        <v>1</v>
      </c>
    </row>
    <row r="2622" spans="1:13">
      <c r="A2622" s="8">
        <v>42936</v>
      </c>
      <c r="B2622" s="9">
        <v>0.65902777777777777</v>
      </c>
      <c r="C2622" s="10" t="str">
        <f>"FES1162563943"</f>
        <v>FES1162563943</v>
      </c>
      <c r="D2622" s="10" t="s">
        <v>19</v>
      </c>
      <c r="E2622" s="10" t="s">
        <v>255</v>
      </c>
      <c r="F2622" s="10" t="str">
        <f>"2170580474 "</f>
        <v xml:space="preserve">2170580474 </v>
      </c>
      <c r="G2622" s="10" t="str">
        <f t="shared" si="115"/>
        <v>ON1</v>
      </c>
      <c r="H2622" s="10" t="s">
        <v>21</v>
      </c>
      <c r="I2622" s="10" t="s">
        <v>256</v>
      </c>
      <c r="J2622" s="10" t="str">
        <f>""</f>
        <v/>
      </c>
      <c r="K2622" s="10" t="str">
        <f>"PFES1162563943_0001"</f>
        <v>PFES1162563943_0001</v>
      </c>
      <c r="L2622" s="10">
        <v>1</v>
      </c>
      <c r="M2622" s="10">
        <v>4</v>
      </c>
    </row>
    <row r="2623" spans="1:13">
      <c r="A2623" s="8">
        <v>42936</v>
      </c>
      <c r="B2623" s="9">
        <v>0.65902777777777777</v>
      </c>
      <c r="C2623" s="10" t="str">
        <f>"FES1162563947"</f>
        <v>FES1162563947</v>
      </c>
      <c r="D2623" s="10" t="s">
        <v>19</v>
      </c>
      <c r="E2623" s="10" t="s">
        <v>436</v>
      </c>
      <c r="F2623" s="10" t="str">
        <f>"2170580481 "</f>
        <v xml:space="preserve">2170580481 </v>
      </c>
      <c r="G2623" s="10" t="str">
        <f t="shared" si="115"/>
        <v>ON1</v>
      </c>
      <c r="H2623" s="10" t="s">
        <v>21</v>
      </c>
      <c r="I2623" s="10" t="s">
        <v>252</v>
      </c>
      <c r="J2623" s="10" t="str">
        <f>""</f>
        <v/>
      </c>
      <c r="K2623" s="10" t="str">
        <f>"PFES1162563947_0001"</f>
        <v>PFES1162563947_0001</v>
      </c>
      <c r="L2623" s="10">
        <v>1</v>
      </c>
      <c r="M2623" s="10">
        <v>1.61</v>
      </c>
    </row>
    <row r="2624" spans="1:13">
      <c r="A2624" s="8">
        <v>42936</v>
      </c>
      <c r="B2624" s="9">
        <v>0.65833333333333333</v>
      </c>
      <c r="C2624" s="10" t="str">
        <f>"FES1162563826"</f>
        <v>FES1162563826</v>
      </c>
      <c r="D2624" s="10" t="s">
        <v>19</v>
      </c>
      <c r="E2624" s="10" t="s">
        <v>641</v>
      </c>
      <c r="F2624" s="10" t="str">
        <f>"2170580348 "</f>
        <v xml:space="preserve">2170580348 </v>
      </c>
      <c r="G2624" s="10" t="str">
        <f t="shared" si="115"/>
        <v>ON1</v>
      </c>
      <c r="H2624" s="10" t="s">
        <v>21</v>
      </c>
      <c r="I2624" s="10" t="s">
        <v>887</v>
      </c>
      <c r="J2624" s="10" t="str">
        <f>""</f>
        <v/>
      </c>
      <c r="K2624" s="10" t="str">
        <f>"PFES1162563826_0001"</f>
        <v>PFES1162563826_0001</v>
      </c>
      <c r="L2624" s="10">
        <v>1</v>
      </c>
      <c r="M2624" s="10">
        <v>4</v>
      </c>
    </row>
    <row r="2625" spans="1:13">
      <c r="A2625" s="8">
        <v>42936</v>
      </c>
      <c r="B2625" s="9">
        <v>0.65833333333333333</v>
      </c>
      <c r="C2625" s="10" t="str">
        <f>"FES1162563774"</f>
        <v>FES1162563774</v>
      </c>
      <c r="D2625" s="10" t="s">
        <v>19</v>
      </c>
      <c r="E2625" s="10" t="s">
        <v>808</v>
      </c>
      <c r="F2625" s="10" t="str">
        <f>"217059832 "</f>
        <v xml:space="preserve">217059832 </v>
      </c>
      <c r="G2625" s="10" t="str">
        <f t="shared" si="115"/>
        <v>ON1</v>
      </c>
      <c r="H2625" s="10" t="s">
        <v>21</v>
      </c>
      <c r="I2625" s="10" t="s">
        <v>109</v>
      </c>
      <c r="J2625" s="10" t="str">
        <f>""</f>
        <v/>
      </c>
      <c r="K2625" s="10" t="str">
        <f>"PFES1162563774_0001"</f>
        <v>PFES1162563774_0001</v>
      </c>
      <c r="L2625" s="10">
        <v>1</v>
      </c>
      <c r="M2625" s="10">
        <v>2</v>
      </c>
    </row>
    <row r="2626" spans="1:13">
      <c r="A2626" s="8">
        <v>42936</v>
      </c>
      <c r="B2626" s="9">
        <v>0.65763888888888888</v>
      </c>
      <c r="C2626" s="10" t="str">
        <f>"FES1162563913"</f>
        <v>FES1162563913</v>
      </c>
      <c r="D2626" s="10" t="s">
        <v>19</v>
      </c>
      <c r="E2626" s="10" t="s">
        <v>146</v>
      </c>
      <c r="F2626" s="10" t="str">
        <f>"2170580443 "</f>
        <v xml:space="preserve">2170580443 </v>
      </c>
      <c r="G2626" s="10" t="str">
        <f t="shared" si="115"/>
        <v>ON1</v>
      </c>
      <c r="H2626" s="10" t="s">
        <v>21</v>
      </c>
      <c r="I2626" s="10" t="s">
        <v>147</v>
      </c>
      <c r="J2626" s="10" t="str">
        <f>""</f>
        <v/>
      </c>
      <c r="K2626" s="10" t="str">
        <f>"PFES1162563913_0001"</f>
        <v>PFES1162563913_0001</v>
      </c>
      <c r="L2626" s="10">
        <v>1</v>
      </c>
      <c r="M2626" s="10">
        <v>2</v>
      </c>
    </row>
    <row r="2627" spans="1:13">
      <c r="A2627" s="8">
        <v>42936</v>
      </c>
      <c r="B2627" s="9">
        <v>0.65694444444444444</v>
      </c>
      <c r="C2627" s="10" t="str">
        <f>"FES1162563923"</f>
        <v>FES1162563923</v>
      </c>
      <c r="D2627" s="10" t="s">
        <v>19</v>
      </c>
      <c r="E2627" s="10" t="s">
        <v>536</v>
      </c>
      <c r="F2627" s="10" t="str">
        <f>"2170580455 "</f>
        <v xml:space="preserve">2170580455 </v>
      </c>
      <c r="G2627" s="10" t="str">
        <f t="shared" si="115"/>
        <v>ON1</v>
      </c>
      <c r="H2627" s="10" t="s">
        <v>21</v>
      </c>
      <c r="I2627" s="10" t="s">
        <v>26</v>
      </c>
      <c r="J2627" s="10" t="str">
        <f>""</f>
        <v/>
      </c>
      <c r="K2627" s="10" t="str">
        <f>"PFES1162563923_0001"</f>
        <v>PFES1162563923_0001</v>
      </c>
      <c r="L2627" s="10">
        <v>1</v>
      </c>
      <c r="M2627" s="10">
        <v>1</v>
      </c>
    </row>
    <row r="2628" spans="1:13">
      <c r="A2628" s="8">
        <v>42936</v>
      </c>
      <c r="B2628" s="9">
        <v>0.65625</v>
      </c>
      <c r="C2628" s="10" t="str">
        <f>"FES1162563859"</f>
        <v>FES1162563859</v>
      </c>
      <c r="D2628" s="10" t="s">
        <v>19</v>
      </c>
      <c r="E2628" s="10" t="s">
        <v>95</v>
      </c>
      <c r="F2628" s="10" t="str">
        <f>"2170580379 "</f>
        <v xml:space="preserve">2170580379 </v>
      </c>
      <c r="G2628" s="10" t="str">
        <f t="shared" si="115"/>
        <v>ON1</v>
      </c>
      <c r="H2628" s="10" t="s">
        <v>21</v>
      </c>
      <c r="I2628" s="10" t="s">
        <v>84</v>
      </c>
      <c r="J2628" s="10" t="str">
        <f>""</f>
        <v/>
      </c>
      <c r="K2628" s="10" t="str">
        <f>"PFES1162563859_0001"</f>
        <v>PFES1162563859_0001</v>
      </c>
      <c r="L2628" s="10">
        <v>1</v>
      </c>
      <c r="M2628" s="10">
        <v>1</v>
      </c>
    </row>
    <row r="2629" spans="1:13">
      <c r="A2629" s="8">
        <v>42936</v>
      </c>
      <c r="B2629" s="9">
        <v>0.65625</v>
      </c>
      <c r="C2629" s="10" t="str">
        <f>"FES1162563187"</f>
        <v>FES1162563187</v>
      </c>
      <c r="D2629" s="10" t="s">
        <v>19</v>
      </c>
      <c r="E2629" s="10" t="s">
        <v>1010</v>
      </c>
      <c r="F2629" s="10" t="str">
        <f>"2170579706 "</f>
        <v xml:space="preserve">2170579706 </v>
      </c>
      <c r="G2629" s="10" t="str">
        <f t="shared" si="115"/>
        <v>ON1</v>
      </c>
      <c r="H2629" s="10" t="s">
        <v>21</v>
      </c>
      <c r="I2629" s="10" t="s">
        <v>455</v>
      </c>
      <c r="J2629" s="10" t="str">
        <f>""</f>
        <v/>
      </c>
      <c r="K2629" s="10" t="str">
        <f>"PFES1162563187_0001"</f>
        <v>PFES1162563187_0001</v>
      </c>
      <c r="L2629" s="10">
        <v>1</v>
      </c>
      <c r="M2629" s="10">
        <v>1</v>
      </c>
    </row>
    <row r="2630" spans="1:13">
      <c r="A2630" s="8">
        <v>42936</v>
      </c>
      <c r="B2630" s="9">
        <v>0.65555555555555556</v>
      </c>
      <c r="C2630" s="10" t="str">
        <f>"FES1162563801"</f>
        <v>FES1162563801</v>
      </c>
      <c r="D2630" s="10" t="s">
        <v>19</v>
      </c>
      <c r="E2630" s="10" t="s">
        <v>1039</v>
      </c>
      <c r="F2630" s="10" t="str">
        <f>"2170580294 "</f>
        <v xml:space="preserve">2170580294 </v>
      </c>
      <c r="G2630" s="10" t="str">
        <f t="shared" si="115"/>
        <v>ON1</v>
      </c>
      <c r="H2630" s="10" t="s">
        <v>21</v>
      </c>
      <c r="I2630" s="10" t="s">
        <v>1040</v>
      </c>
      <c r="J2630" s="10" t="str">
        <f>""</f>
        <v/>
      </c>
      <c r="K2630" s="10" t="str">
        <f>"PFES1162563801_0001"</f>
        <v>PFES1162563801_0001</v>
      </c>
      <c r="L2630" s="10">
        <v>1</v>
      </c>
      <c r="M2630" s="10">
        <v>1</v>
      </c>
    </row>
    <row r="2631" spans="1:13">
      <c r="A2631" s="8">
        <v>42936</v>
      </c>
      <c r="B2631" s="9">
        <v>0.65486111111111112</v>
      </c>
      <c r="C2631" s="10" t="str">
        <f>"FES1162563825"</f>
        <v>FES1162563825</v>
      </c>
      <c r="D2631" s="10" t="s">
        <v>19</v>
      </c>
      <c r="E2631" s="10" t="s">
        <v>33</v>
      </c>
      <c r="F2631" s="10" t="str">
        <f>"2170580346 "</f>
        <v xml:space="preserve">2170580346 </v>
      </c>
      <c r="G2631" s="10" t="str">
        <f t="shared" si="115"/>
        <v>ON1</v>
      </c>
      <c r="H2631" s="10" t="s">
        <v>21</v>
      </c>
      <c r="I2631" s="10" t="s">
        <v>34</v>
      </c>
      <c r="J2631" s="10" t="str">
        <f>""</f>
        <v/>
      </c>
      <c r="K2631" s="10" t="str">
        <f>"PFES1162563825_0001"</f>
        <v>PFES1162563825_0001</v>
      </c>
      <c r="L2631" s="10">
        <v>1</v>
      </c>
      <c r="M2631" s="10">
        <v>1</v>
      </c>
    </row>
    <row r="2632" spans="1:13">
      <c r="A2632" s="8">
        <v>42936</v>
      </c>
      <c r="B2632" s="9">
        <v>0.65486111111111112</v>
      </c>
      <c r="C2632" s="10" t="str">
        <f>"FES1162563829"</f>
        <v>FES1162563829</v>
      </c>
      <c r="D2632" s="10" t="s">
        <v>19</v>
      </c>
      <c r="E2632" s="10" t="s">
        <v>589</v>
      </c>
      <c r="F2632" s="10" t="str">
        <f>"2170580351 "</f>
        <v xml:space="preserve">2170580351 </v>
      </c>
      <c r="G2632" s="10" t="str">
        <f t="shared" si="115"/>
        <v>ON1</v>
      </c>
      <c r="H2632" s="10" t="s">
        <v>21</v>
      </c>
      <c r="I2632" s="10" t="s">
        <v>330</v>
      </c>
      <c r="J2632" s="10" t="str">
        <f>""</f>
        <v/>
      </c>
      <c r="K2632" s="10" t="str">
        <f>"PFES1162563829_0001"</f>
        <v>PFES1162563829_0001</v>
      </c>
      <c r="L2632" s="10">
        <v>1</v>
      </c>
      <c r="M2632" s="10">
        <v>2</v>
      </c>
    </row>
    <row r="2633" spans="1:13">
      <c r="A2633" s="8">
        <v>42936</v>
      </c>
      <c r="B2633" s="9">
        <v>0.65069444444444446</v>
      </c>
      <c r="C2633" s="10" t="str">
        <f>"FES1162563816"</f>
        <v>FES1162563816</v>
      </c>
      <c r="D2633" s="10" t="s">
        <v>19</v>
      </c>
      <c r="E2633" s="10" t="s">
        <v>178</v>
      </c>
      <c r="F2633" s="10" t="str">
        <f>"2170580336 "</f>
        <v xml:space="preserve">2170580336 </v>
      </c>
      <c r="G2633" s="10" t="str">
        <f t="shared" si="115"/>
        <v>ON1</v>
      </c>
      <c r="H2633" s="10" t="s">
        <v>21</v>
      </c>
      <c r="I2633" s="10" t="s">
        <v>179</v>
      </c>
      <c r="J2633" s="10" t="str">
        <f>""</f>
        <v/>
      </c>
      <c r="K2633" s="10" t="str">
        <f>"PFES1162563816_0001"</f>
        <v>PFES1162563816_0001</v>
      </c>
      <c r="L2633" s="10">
        <v>1</v>
      </c>
      <c r="M2633" s="10">
        <v>2</v>
      </c>
    </row>
    <row r="2634" spans="1:13">
      <c r="A2634" s="8">
        <v>42936</v>
      </c>
      <c r="B2634" s="9">
        <v>0.64722222222222225</v>
      </c>
      <c r="C2634" s="10" t="str">
        <f>"FES1162563892"</f>
        <v>FES1162563892</v>
      </c>
      <c r="D2634" s="10" t="s">
        <v>19</v>
      </c>
      <c r="E2634" s="10" t="s">
        <v>1041</v>
      </c>
      <c r="F2634" s="10" t="str">
        <f>"2170580421 "</f>
        <v xml:space="preserve">2170580421 </v>
      </c>
      <c r="G2634" s="10" t="str">
        <f t="shared" si="115"/>
        <v>ON1</v>
      </c>
      <c r="H2634" s="10" t="s">
        <v>21</v>
      </c>
      <c r="I2634" s="10" t="s">
        <v>412</v>
      </c>
      <c r="J2634" s="10" t="str">
        <f>""</f>
        <v/>
      </c>
      <c r="K2634" s="10" t="str">
        <f>"PFES1162563892_0001"</f>
        <v>PFES1162563892_0001</v>
      </c>
      <c r="L2634" s="10">
        <v>1</v>
      </c>
      <c r="M2634" s="10">
        <v>1</v>
      </c>
    </row>
    <row r="2635" spans="1:13">
      <c r="A2635" s="8">
        <v>42936</v>
      </c>
      <c r="B2635" s="9">
        <v>0.64583333333333337</v>
      </c>
      <c r="C2635" s="10" t="str">
        <f>"FES1162563803"</f>
        <v>FES1162563803</v>
      </c>
      <c r="D2635" s="10" t="s">
        <v>19</v>
      </c>
      <c r="E2635" s="10" t="s">
        <v>790</v>
      </c>
      <c r="F2635" s="10" t="str">
        <f>"2170580324 "</f>
        <v xml:space="preserve">2170580324 </v>
      </c>
      <c r="G2635" s="10" t="str">
        <f t="shared" si="115"/>
        <v>ON1</v>
      </c>
      <c r="H2635" s="10" t="s">
        <v>21</v>
      </c>
      <c r="I2635" s="10" t="s">
        <v>652</v>
      </c>
      <c r="J2635" s="10" t="str">
        <f>""</f>
        <v/>
      </c>
      <c r="K2635" s="10" t="str">
        <f>"PFES1162563803_0001"</f>
        <v>PFES1162563803_0001</v>
      </c>
      <c r="L2635" s="10">
        <v>1</v>
      </c>
      <c r="M2635" s="10">
        <v>1</v>
      </c>
    </row>
    <row r="2636" spans="1:13">
      <c r="A2636" s="8">
        <v>42936</v>
      </c>
      <c r="B2636" s="9">
        <v>0.64583333333333337</v>
      </c>
      <c r="C2636" s="10" t="str">
        <f>"FES1162563858"</f>
        <v>FES1162563858</v>
      </c>
      <c r="D2636" s="10" t="s">
        <v>19</v>
      </c>
      <c r="E2636" s="10" t="s">
        <v>378</v>
      </c>
      <c r="F2636" s="10" t="str">
        <f>"2170580378 "</f>
        <v xml:space="preserve">2170580378 </v>
      </c>
      <c r="G2636" s="10" t="str">
        <f t="shared" si="115"/>
        <v>ON1</v>
      </c>
      <c r="H2636" s="10" t="s">
        <v>21</v>
      </c>
      <c r="I2636" s="10" t="s">
        <v>36</v>
      </c>
      <c r="J2636" s="10" t="str">
        <f>""</f>
        <v/>
      </c>
      <c r="K2636" s="10" t="str">
        <f>"PFES1162563858_0001"</f>
        <v>PFES1162563858_0001</v>
      </c>
      <c r="L2636" s="10">
        <v>1</v>
      </c>
      <c r="M2636" s="10">
        <v>1</v>
      </c>
    </row>
    <row r="2637" spans="1:13">
      <c r="A2637" s="8">
        <v>42936</v>
      </c>
      <c r="B2637" s="9">
        <v>0.64513888888888882</v>
      </c>
      <c r="C2637" s="10" t="str">
        <f>"FES1162563847"</f>
        <v>FES1162563847</v>
      </c>
      <c r="D2637" s="10" t="s">
        <v>19</v>
      </c>
      <c r="E2637" s="10" t="s">
        <v>986</v>
      </c>
      <c r="F2637" s="10" t="str">
        <f>"2170580365 "</f>
        <v xml:space="preserve">2170580365 </v>
      </c>
      <c r="G2637" s="10" t="str">
        <f t="shared" si="115"/>
        <v>ON1</v>
      </c>
      <c r="H2637" s="10" t="s">
        <v>21</v>
      </c>
      <c r="I2637" s="10" t="s">
        <v>88</v>
      </c>
      <c r="J2637" s="10" t="str">
        <f>""</f>
        <v/>
      </c>
      <c r="K2637" s="10" t="str">
        <f>"PFES1162563847_0001"</f>
        <v>PFES1162563847_0001</v>
      </c>
      <c r="L2637" s="10">
        <v>1</v>
      </c>
      <c r="M2637" s="10">
        <v>1</v>
      </c>
    </row>
    <row r="2638" spans="1:13">
      <c r="A2638" s="8">
        <v>42936</v>
      </c>
      <c r="B2638" s="9">
        <v>0.64513888888888882</v>
      </c>
      <c r="C2638" s="10" t="str">
        <f>"FES1162563806"</f>
        <v>FES1162563806</v>
      </c>
      <c r="D2638" s="10" t="s">
        <v>19</v>
      </c>
      <c r="E2638" s="10" t="s">
        <v>1042</v>
      </c>
      <c r="F2638" s="10" t="str">
        <f>"2170576471 "</f>
        <v xml:space="preserve">2170576471 </v>
      </c>
      <c r="G2638" s="10" t="str">
        <f t="shared" si="115"/>
        <v>ON1</v>
      </c>
      <c r="H2638" s="10" t="s">
        <v>21</v>
      </c>
      <c r="I2638" s="10" t="s">
        <v>455</v>
      </c>
      <c r="J2638" s="10" t="str">
        <f>""</f>
        <v/>
      </c>
      <c r="K2638" s="10" t="str">
        <f>"PFES1162563806_0001"</f>
        <v>PFES1162563806_0001</v>
      </c>
      <c r="L2638" s="10">
        <v>1</v>
      </c>
      <c r="M2638" s="10">
        <v>1</v>
      </c>
    </row>
    <row r="2639" spans="1:13">
      <c r="A2639" s="8">
        <v>42936</v>
      </c>
      <c r="B2639" s="9">
        <v>0.64444444444444449</v>
      </c>
      <c r="C2639" s="10" t="str">
        <f>"FES1162563894"</f>
        <v>FES1162563894</v>
      </c>
      <c r="D2639" s="10" t="s">
        <v>19</v>
      </c>
      <c r="E2639" s="10" t="s">
        <v>33</v>
      </c>
      <c r="F2639" s="10" t="str">
        <f>"2170580423 "</f>
        <v xml:space="preserve">2170580423 </v>
      </c>
      <c r="G2639" s="10" t="str">
        <f t="shared" si="115"/>
        <v>ON1</v>
      </c>
      <c r="H2639" s="10" t="s">
        <v>21</v>
      </c>
      <c r="I2639" s="10" t="s">
        <v>34</v>
      </c>
      <c r="J2639" s="10" t="str">
        <f>""</f>
        <v/>
      </c>
      <c r="K2639" s="10" t="str">
        <f>"PFES1162563894_0001"</f>
        <v>PFES1162563894_0001</v>
      </c>
      <c r="L2639" s="10">
        <v>1</v>
      </c>
      <c r="M2639" s="10">
        <v>1</v>
      </c>
    </row>
    <row r="2640" spans="1:13">
      <c r="A2640" s="8">
        <v>42936</v>
      </c>
      <c r="B2640" s="9">
        <v>0.64444444444444449</v>
      </c>
      <c r="C2640" s="10" t="str">
        <f>"FES1162563898"</f>
        <v>FES1162563898</v>
      </c>
      <c r="D2640" s="10" t="s">
        <v>19</v>
      </c>
      <c r="E2640" s="10" t="s">
        <v>33</v>
      </c>
      <c r="F2640" s="10" t="str">
        <f>"2170580428 "</f>
        <v xml:space="preserve">2170580428 </v>
      </c>
      <c r="G2640" s="10" t="str">
        <f t="shared" si="115"/>
        <v>ON1</v>
      </c>
      <c r="H2640" s="10" t="s">
        <v>21</v>
      </c>
      <c r="I2640" s="10" t="s">
        <v>34</v>
      </c>
      <c r="J2640" s="10" t="str">
        <f>""</f>
        <v/>
      </c>
      <c r="K2640" s="10" t="str">
        <f>"PFES1162563898_0001"</f>
        <v>PFES1162563898_0001</v>
      </c>
      <c r="L2640" s="10">
        <v>1</v>
      </c>
      <c r="M2640" s="10">
        <v>1</v>
      </c>
    </row>
    <row r="2641" spans="1:13">
      <c r="A2641" s="8">
        <v>42936</v>
      </c>
      <c r="B2641" s="9">
        <v>0.64374999999999993</v>
      </c>
      <c r="C2641" s="10" t="str">
        <f>"FES1162563887"</f>
        <v>FES1162563887</v>
      </c>
      <c r="D2641" s="10" t="s">
        <v>19</v>
      </c>
      <c r="E2641" s="10" t="s">
        <v>1006</v>
      </c>
      <c r="F2641" s="10" t="str">
        <f>"21705890412 "</f>
        <v xml:space="preserve">21705890412 </v>
      </c>
      <c r="G2641" s="10" t="str">
        <f t="shared" si="115"/>
        <v>ON1</v>
      </c>
      <c r="H2641" s="10" t="s">
        <v>21</v>
      </c>
      <c r="I2641" s="10" t="s">
        <v>673</v>
      </c>
      <c r="J2641" s="10" t="str">
        <f>""</f>
        <v/>
      </c>
      <c r="K2641" s="10" t="str">
        <f>"PFES1162563887_0001"</f>
        <v>PFES1162563887_0001</v>
      </c>
      <c r="L2641" s="10">
        <v>1</v>
      </c>
      <c r="M2641" s="10">
        <v>1</v>
      </c>
    </row>
    <row r="2642" spans="1:13">
      <c r="A2642" s="8">
        <v>42936</v>
      </c>
      <c r="B2642" s="9">
        <v>0.6430555555555556</v>
      </c>
      <c r="C2642" s="10" t="str">
        <f>"FES1162563869"</f>
        <v>FES1162563869</v>
      </c>
      <c r="D2642" s="10" t="s">
        <v>19</v>
      </c>
      <c r="E2642" s="10" t="s">
        <v>33</v>
      </c>
      <c r="F2642" s="10" t="str">
        <f>"2170580390 "</f>
        <v xml:space="preserve">2170580390 </v>
      </c>
      <c r="G2642" s="10" t="str">
        <f t="shared" si="115"/>
        <v>ON1</v>
      </c>
      <c r="H2642" s="10" t="s">
        <v>21</v>
      </c>
      <c r="I2642" s="10" t="s">
        <v>34</v>
      </c>
      <c r="J2642" s="10" t="str">
        <f>""</f>
        <v/>
      </c>
      <c r="K2642" s="10" t="str">
        <f>"PFES1162563869_0001"</f>
        <v>PFES1162563869_0001</v>
      </c>
      <c r="L2642" s="10">
        <v>1</v>
      </c>
      <c r="M2642" s="10">
        <v>1</v>
      </c>
    </row>
    <row r="2643" spans="1:13">
      <c r="A2643" s="8">
        <v>42936</v>
      </c>
      <c r="B2643" s="9">
        <v>0.64236111111111105</v>
      </c>
      <c r="C2643" s="10" t="str">
        <f>"FES1162563824"</f>
        <v>FES1162563824</v>
      </c>
      <c r="D2643" s="10" t="s">
        <v>19</v>
      </c>
      <c r="E2643" s="10" t="s">
        <v>33</v>
      </c>
      <c r="F2643" s="10" t="str">
        <f>"2170580345 "</f>
        <v xml:space="preserve">2170580345 </v>
      </c>
      <c r="G2643" s="10" t="str">
        <f t="shared" si="115"/>
        <v>ON1</v>
      </c>
      <c r="H2643" s="10" t="s">
        <v>21</v>
      </c>
      <c r="I2643" s="10" t="s">
        <v>34</v>
      </c>
      <c r="J2643" s="10" t="str">
        <f>""</f>
        <v/>
      </c>
      <c r="K2643" s="10" t="str">
        <f>"PFES1162563824_0001"</f>
        <v>PFES1162563824_0001</v>
      </c>
      <c r="L2643" s="10">
        <v>1</v>
      </c>
      <c r="M2643" s="10">
        <v>1</v>
      </c>
    </row>
    <row r="2644" spans="1:13">
      <c r="A2644" s="8">
        <v>42936</v>
      </c>
      <c r="B2644" s="9">
        <v>0.64166666666666672</v>
      </c>
      <c r="C2644" s="10" t="str">
        <f>"FES1162563853"</f>
        <v>FES1162563853</v>
      </c>
      <c r="D2644" s="10" t="s">
        <v>19</v>
      </c>
      <c r="E2644" s="10" t="s">
        <v>610</v>
      </c>
      <c r="F2644" s="10" t="str">
        <f>"2170580373 "</f>
        <v xml:space="preserve">2170580373 </v>
      </c>
      <c r="G2644" s="10" t="str">
        <f t="shared" si="115"/>
        <v>ON1</v>
      </c>
      <c r="H2644" s="10" t="s">
        <v>21</v>
      </c>
      <c r="I2644" s="10" t="s">
        <v>196</v>
      </c>
      <c r="J2644" s="10" t="str">
        <f>""</f>
        <v/>
      </c>
      <c r="K2644" s="10" t="str">
        <f>"PFES1162563853_0001"</f>
        <v>PFES1162563853_0001</v>
      </c>
      <c r="L2644" s="10">
        <v>1</v>
      </c>
      <c r="M2644" s="10">
        <v>1</v>
      </c>
    </row>
    <row r="2645" spans="1:13">
      <c r="A2645" s="8">
        <v>42936</v>
      </c>
      <c r="B2645" s="9">
        <v>0.64097222222222217</v>
      </c>
      <c r="C2645" s="10" t="str">
        <f>"FES1162563850"</f>
        <v>FES1162563850</v>
      </c>
      <c r="D2645" s="10" t="s">
        <v>19</v>
      </c>
      <c r="E2645" s="10" t="s">
        <v>47</v>
      </c>
      <c r="F2645" s="10" t="str">
        <f>"2170580370 "</f>
        <v xml:space="preserve">2170580370 </v>
      </c>
      <c r="G2645" s="10" t="str">
        <f t="shared" ref="G2645:G2654" si="116">"ON1"</f>
        <v>ON1</v>
      </c>
      <c r="H2645" s="10" t="s">
        <v>21</v>
      </c>
      <c r="I2645" s="10" t="s">
        <v>48</v>
      </c>
      <c r="J2645" s="10" t="str">
        <f>""</f>
        <v/>
      </c>
      <c r="K2645" s="10" t="str">
        <f>"PFES1162563850_0001"</f>
        <v>PFES1162563850_0001</v>
      </c>
      <c r="L2645" s="10">
        <v>1</v>
      </c>
      <c r="M2645" s="10">
        <v>1</v>
      </c>
    </row>
    <row r="2646" spans="1:13">
      <c r="A2646" s="8">
        <v>42936</v>
      </c>
      <c r="B2646" s="9">
        <v>0.64097222222222217</v>
      </c>
      <c r="C2646" s="10" t="str">
        <f>"FES1162563888"</f>
        <v>FES1162563888</v>
      </c>
      <c r="D2646" s="10" t="s">
        <v>19</v>
      </c>
      <c r="E2646" s="10" t="s">
        <v>735</v>
      </c>
      <c r="F2646" s="10" t="str">
        <f>"2170580413 "</f>
        <v xml:space="preserve">2170580413 </v>
      </c>
      <c r="G2646" s="10" t="str">
        <f t="shared" si="116"/>
        <v>ON1</v>
      </c>
      <c r="H2646" s="10" t="s">
        <v>21</v>
      </c>
      <c r="I2646" s="10" t="s">
        <v>54</v>
      </c>
      <c r="J2646" s="10" t="str">
        <f>""</f>
        <v/>
      </c>
      <c r="K2646" s="10" t="str">
        <f>"PFES1162563888_0001"</f>
        <v>PFES1162563888_0001</v>
      </c>
      <c r="L2646" s="10">
        <v>1</v>
      </c>
      <c r="M2646" s="10">
        <v>1</v>
      </c>
    </row>
    <row r="2647" spans="1:13">
      <c r="A2647" s="8">
        <v>42936</v>
      </c>
      <c r="B2647" s="9">
        <v>0.64027777777777783</v>
      </c>
      <c r="C2647" s="10" t="str">
        <f>"FES1162563891"</f>
        <v>FES1162563891</v>
      </c>
      <c r="D2647" s="10" t="s">
        <v>19</v>
      </c>
      <c r="E2647" s="10" t="s">
        <v>436</v>
      </c>
      <c r="F2647" s="10" t="str">
        <f>"21705780420 "</f>
        <v xml:space="preserve">21705780420 </v>
      </c>
      <c r="G2647" s="10" t="str">
        <f t="shared" si="116"/>
        <v>ON1</v>
      </c>
      <c r="H2647" s="10" t="s">
        <v>21</v>
      </c>
      <c r="I2647" s="10" t="s">
        <v>252</v>
      </c>
      <c r="J2647" s="10" t="str">
        <f>""</f>
        <v/>
      </c>
      <c r="K2647" s="10" t="str">
        <f>"PFES1162563891_0001"</f>
        <v>PFES1162563891_0001</v>
      </c>
      <c r="L2647" s="10">
        <v>1</v>
      </c>
      <c r="M2647" s="10">
        <v>4</v>
      </c>
    </row>
    <row r="2648" spans="1:13">
      <c r="A2648" s="8">
        <v>42936</v>
      </c>
      <c r="B2648" s="9">
        <v>0.64027777777777783</v>
      </c>
      <c r="C2648" s="10" t="str">
        <f>"FES1162563890"</f>
        <v>FES1162563890</v>
      </c>
      <c r="D2648" s="10" t="s">
        <v>19</v>
      </c>
      <c r="E2648" s="10" t="s">
        <v>714</v>
      </c>
      <c r="F2648" s="10" t="str">
        <f>"2170580429 "</f>
        <v xml:space="preserve">2170580429 </v>
      </c>
      <c r="G2648" s="10" t="str">
        <f t="shared" si="116"/>
        <v>ON1</v>
      </c>
      <c r="H2648" s="10" t="s">
        <v>21</v>
      </c>
      <c r="I2648" s="10" t="s">
        <v>261</v>
      </c>
      <c r="J2648" s="10" t="str">
        <f>""</f>
        <v/>
      </c>
      <c r="K2648" s="10" t="str">
        <f>"PFES1162563890_0001"</f>
        <v>PFES1162563890_0001</v>
      </c>
      <c r="L2648" s="10">
        <v>1</v>
      </c>
      <c r="M2648" s="10">
        <v>1</v>
      </c>
    </row>
    <row r="2649" spans="1:13">
      <c r="A2649" s="8">
        <v>42936</v>
      </c>
      <c r="B2649" s="9">
        <v>0.64027777777777783</v>
      </c>
      <c r="C2649" s="10" t="str">
        <f>"FES1162563893"</f>
        <v>FES1162563893</v>
      </c>
      <c r="D2649" s="10" t="s">
        <v>19</v>
      </c>
      <c r="E2649" s="10" t="s">
        <v>239</v>
      </c>
      <c r="F2649" s="10" t="str">
        <f>"2170580422 "</f>
        <v xml:space="preserve">2170580422 </v>
      </c>
      <c r="G2649" s="10" t="str">
        <f t="shared" si="116"/>
        <v>ON1</v>
      </c>
      <c r="H2649" s="10" t="s">
        <v>21</v>
      </c>
      <c r="I2649" s="10" t="s">
        <v>240</v>
      </c>
      <c r="J2649" s="10" t="str">
        <f>""</f>
        <v/>
      </c>
      <c r="K2649" s="10" t="str">
        <f>"PFES1162563893_0001"</f>
        <v>PFES1162563893_0001</v>
      </c>
      <c r="L2649" s="10">
        <v>1</v>
      </c>
      <c r="M2649" s="10">
        <v>1</v>
      </c>
    </row>
    <row r="2650" spans="1:13">
      <c r="A2650" s="8">
        <v>42936</v>
      </c>
      <c r="B2650" s="9">
        <v>0.63958333333333328</v>
      </c>
      <c r="C2650" s="10" t="str">
        <f>"FES1162563910"</f>
        <v>FES1162563910</v>
      </c>
      <c r="D2650" s="10" t="s">
        <v>19</v>
      </c>
      <c r="E2650" s="10" t="s">
        <v>255</v>
      </c>
      <c r="F2650" s="10" t="str">
        <f>"2170577850 "</f>
        <v xml:space="preserve">2170577850 </v>
      </c>
      <c r="G2650" s="10" t="str">
        <f t="shared" si="116"/>
        <v>ON1</v>
      </c>
      <c r="H2650" s="10" t="s">
        <v>21</v>
      </c>
      <c r="I2650" s="10" t="s">
        <v>256</v>
      </c>
      <c r="J2650" s="10" t="str">
        <f>""</f>
        <v/>
      </c>
      <c r="K2650" s="10" t="str">
        <f>"PFES1162563910_0001"</f>
        <v>PFES1162563910_0001</v>
      </c>
      <c r="L2650" s="10">
        <v>1</v>
      </c>
      <c r="M2650" s="10">
        <v>3</v>
      </c>
    </row>
    <row r="2651" spans="1:13">
      <c r="A2651" s="8">
        <v>42936</v>
      </c>
      <c r="B2651" s="9">
        <v>0.63888888888888895</v>
      </c>
      <c r="C2651" s="10" t="str">
        <f>"FES1162563902"</f>
        <v>FES1162563902</v>
      </c>
      <c r="D2651" s="10" t="s">
        <v>19</v>
      </c>
      <c r="E2651" s="10" t="s">
        <v>336</v>
      </c>
      <c r="F2651" s="10" t="str">
        <f>"2170580435 "</f>
        <v xml:space="preserve">2170580435 </v>
      </c>
      <c r="G2651" s="10" t="str">
        <f t="shared" si="116"/>
        <v>ON1</v>
      </c>
      <c r="H2651" s="10" t="s">
        <v>21</v>
      </c>
      <c r="I2651" s="10" t="s">
        <v>337</v>
      </c>
      <c r="J2651" s="10" t="str">
        <f>""</f>
        <v/>
      </c>
      <c r="K2651" s="10" t="str">
        <f>"PFES1162563902_0001"</f>
        <v>PFES1162563902_0001</v>
      </c>
      <c r="L2651" s="10">
        <v>1</v>
      </c>
      <c r="M2651" s="10">
        <v>1</v>
      </c>
    </row>
    <row r="2652" spans="1:13">
      <c r="A2652" s="8">
        <v>42936</v>
      </c>
      <c r="B2652" s="9">
        <v>0.63263888888888886</v>
      </c>
      <c r="C2652" s="10" t="str">
        <f>"FES1162563922"</f>
        <v>FES1162563922</v>
      </c>
      <c r="D2652" s="10" t="s">
        <v>19</v>
      </c>
      <c r="E2652" s="10" t="s">
        <v>1043</v>
      </c>
      <c r="F2652" s="10" t="str">
        <f>"2170580454 "</f>
        <v xml:space="preserve">2170580454 </v>
      </c>
      <c r="G2652" s="10" t="str">
        <f t="shared" si="116"/>
        <v>ON1</v>
      </c>
      <c r="H2652" s="10" t="s">
        <v>21</v>
      </c>
      <c r="I2652" s="10" t="s">
        <v>553</v>
      </c>
      <c r="J2652" s="10" t="str">
        <f>""</f>
        <v/>
      </c>
      <c r="K2652" s="10" t="str">
        <f>"PFES1162563922_0001"</f>
        <v>PFES1162563922_0001</v>
      </c>
      <c r="L2652" s="10">
        <v>1</v>
      </c>
      <c r="M2652" s="10">
        <v>1</v>
      </c>
    </row>
    <row r="2653" spans="1:13">
      <c r="A2653" s="8">
        <v>42936</v>
      </c>
      <c r="B2653" s="9">
        <v>0.63194444444444442</v>
      </c>
      <c r="C2653" s="10" t="str">
        <f>"FES1162563904"</f>
        <v>FES1162563904</v>
      </c>
      <c r="D2653" s="10" t="s">
        <v>19</v>
      </c>
      <c r="E2653" s="10" t="s">
        <v>146</v>
      </c>
      <c r="F2653" s="10" t="str">
        <f>"2170580432 "</f>
        <v xml:space="preserve">2170580432 </v>
      </c>
      <c r="G2653" s="10" t="str">
        <f t="shared" si="116"/>
        <v>ON1</v>
      </c>
      <c r="H2653" s="10" t="s">
        <v>21</v>
      </c>
      <c r="I2653" s="10" t="s">
        <v>147</v>
      </c>
      <c r="J2653" s="10" t="str">
        <f>""</f>
        <v/>
      </c>
      <c r="K2653" s="10" t="str">
        <f>"PFES1162563904_0001"</f>
        <v>PFES1162563904_0001</v>
      </c>
      <c r="L2653" s="10">
        <v>1</v>
      </c>
      <c r="M2653" s="10">
        <v>1</v>
      </c>
    </row>
    <row r="2654" spans="1:13">
      <c r="A2654" s="8">
        <v>42936</v>
      </c>
      <c r="B2654" s="9">
        <v>0.63194444444444442</v>
      </c>
      <c r="C2654" s="10" t="str">
        <f>"FES1162563907"</f>
        <v>FES1162563907</v>
      </c>
      <c r="D2654" s="10" t="s">
        <v>19</v>
      </c>
      <c r="E2654" s="10" t="s">
        <v>146</v>
      </c>
      <c r="F2654" s="10" t="str">
        <f>"2170580436 "</f>
        <v xml:space="preserve">2170580436 </v>
      </c>
      <c r="G2654" s="10" t="str">
        <f t="shared" si="116"/>
        <v>ON1</v>
      </c>
      <c r="H2654" s="10" t="s">
        <v>21</v>
      </c>
      <c r="I2654" s="10" t="s">
        <v>147</v>
      </c>
      <c r="J2654" s="10" t="str">
        <f>""</f>
        <v/>
      </c>
      <c r="K2654" s="10" t="str">
        <f>"PFES1162563907_0001"</f>
        <v>PFES1162563907_0001</v>
      </c>
      <c r="L2654" s="10">
        <v>1</v>
      </c>
      <c r="M2654" s="10">
        <v>1</v>
      </c>
    </row>
    <row r="2655" spans="1:13">
      <c r="A2655" s="8">
        <v>42936</v>
      </c>
      <c r="B2655" s="9">
        <v>0.60902777777777783</v>
      </c>
      <c r="C2655" s="10" t="str">
        <f>"FES1162563900"</f>
        <v>FES1162563900</v>
      </c>
      <c r="D2655" s="10" t="s">
        <v>19</v>
      </c>
      <c r="E2655" s="10" t="s">
        <v>1003</v>
      </c>
      <c r="F2655" s="10" t="str">
        <f>"217058080 "</f>
        <v xml:space="preserve">217058080 </v>
      </c>
      <c r="G2655" s="10" t="str">
        <f>"DBC"</f>
        <v>DBC</v>
      </c>
      <c r="H2655" s="10" t="s">
        <v>21</v>
      </c>
      <c r="I2655" s="10" t="s">
        <v>130</v>
      </c>
      <c r="J2655" s="10" t="str">
        <f>""</f>
        <v/>
      </c>
      <c r="K2655" s="10" t="str">
        <f>"PFES1162563900_0001"</f>
        <v>PFES1162563900_0001</v>
      </c>
      <c r="L2655" s="10">
        <v>1</v>
      </c>
      <c r="M2655" s="10">
        <v>51</v>
      </c>
    </row>
    <row r="2656" spans="1:13">
      <c r="A2656" s="8">
        <v>42936</v>
      </c>
      <c r="B2656" s="9">
        <v>0.60486111111111118</v>
      </c>
      <c r="C2656" s="10" t="str">
        <f>"FES1162563908"</f>
        <v>FES1162563908</v>
      </c>
      <c r="D2656" s="10" t="s">
        <v>19</v>
      </c>
      <c r="E2656" s="10" t="s">
        <v>953</v>
      </c>
      <c r="F2656" s="10" t="str">
        <f>"2170580437 "</f>
        <v xml:space="preserve">2170580437 </v>
      </c>
      <c r="G2656" s="10" t="str">
        <f>"ON1"</f>
        <v>ON1</v>
      </c>
      <c r="H2656" s="10" t="s">
        <v>21</v>
      </c>
      <c r="I2656" s="10" t="s">
        <v>954</v>
      </c>
      <c r="J2656" s="10" t="str">
        <f>""</f>
        <v/>
      </c>
      <c r="K2656" s="10" t="str">
        <f>"PFES1162563908_0001"</f>
        <v>PFES1162563908_0001</v>
      </c>
      <c r="L2656" s="10">
        <v>1</v>
      </c>
      <c r="M2656" s="10">
        <v>1</v>
      </c>
    </row>
    <row r="2657" spans="1:13">
      <c r="A2657" s="8">
        <v>42937</v>
      </c>
      <c r="B2657" s="9">
        <v>0.62986111111111109</v>
      </c>
      <c r="C2657" s="10" t="str">
        <f>"FES1162564146"</f>
        <v>FES1162564146</v>
      </c>
      <c r="D2657" s="10" t="s">
        <v>19</v>
      </c>
      <c r="E2657" s="10" t="s">
        <v>148</v>
      </c>
      <c r="F2657" s="10" t="str">
        <f>"2170580692 "</f>
        <v xml:space="preserve">2170580692 </v>
      </c>
      <c r="G2657" s="10" t="str">
        <f t="shared" ref="G2657:G2675" si="117">"ON1"</f>
        <v>ON1</v>
      </c>
      <c r="H2657" s="10" t="s">
        <v>21</v>
      </c>
      <c r="I2657" s="10" t="s">
        <v>149</v>
      </c>
      <c r="J2657" s="10" t="str">
        <f>""</f>
        <v/>
      </c>
      <c r="K2657" s="10" t="str">
        <f>"PFES1162564146_0001"</f>
        <v>PFES1162564146_0001</v>
      </c>
      <c r="L2657" s="10">
        <v>1</v>
      </c>
      <c r="M2657" s="10">
        <v>3</v>
      </c>
    </row>
    <row r="2658" spans="1:13">
      <c r="A2658" s="8">
        <v>42937</v>
      </c>
      <c r="B2658" s="9">
        <v>0.62847222222222221</v>
      </c>
      <c r="C2658" s="10" t="str">
        <f>"FES1162564144"</f>
        <v>FES1162564144</v>
      </c>
      <c r="D2658" s="10" t="s">
        <v>19</v>
      </c>
      <c r="E2658" s="10" t="s">
        <v>148</v>
      </c>
      <c r="F2658" s="10" t="str">
        <f>"2170580690 "</f>
        <v xml:space="preserve">2170580690 </v>
      </c>
      <c r="G2658" s="10" t="str">
        <f t="shared" si="117"/>
        <v>ON1</v>
      </c>
      <c r="H2658" s="10" t="s">
        <v>21</v>
      </c>
      <c r="I2658" s="10" t="s">
        <v>149</v>
      </c>
      <c r="J2658" s="10" t="str">
        <f>""</f>
        <v/>
      </c>
      <c r="K2658" s="10" t="str">
        <f>"PFES1162564144_0001"</f>
        <v>PFES1162564144_0001</v>
      </c>
      <c r="L2658" s="10">
        <v>1</v>
      </c>
      <c r="M2658" s="10">
        <v>1</v>
      </c>
    </row>
    <row r="2659" spans="1:13">
      <c r="A2659" s="8">
        <v>42937</v>
      </c>
      <c r="B2659" s="9">
        <v>0.62777777777777777</v>
      </c>
      <c r="C2659" s="10" t="str">
        <f>"FES1162564143"</f>
        <v>FES1162564143</v>
      </c>
      <c r="D2659" s="10" t="s">
        <v>19</v>
      </c>
      <c r="E2659" s="10" t="s">
        <v>148</v>
      </c>
      <c r="F2659" s="10" t="str">
        <f>"2170580688 "</f>
        <v xml:space="preserve">2170580688 </v>
      </c>
      <c r="G2659" s="10" t="str">
        <f t="shared" si="117"/>
        <v>ON1</v>
      </c>
      <c r="H2659" s="10" t="s">
        <v>21</v>
      </c>
      <c r="I2659" s="10" t="s">
        <v>149</v>
      </c>
      <c r="J2659" s="10" t="str">
        <f>""</f>
        <v/>
      </c>
      <c r="K2659" s="10" t="str">
        <f>"PFES1162564143_0001"</f>
        <v>PFES1162564143_0001</v>
      </c>
      <c r="L2659" s="10">
        <v>1</v>
      </c>
      <c r="M2659" s="10">
        <v>3</v>
      </c>
    </row>
    <row r="2660" spans="1:13">
      <c r="A2660" s="8">
        <v>42937</v>
      </c>
      <c r="B2660" s="9">
        <v>0.62430555555555556</v>
      </c>
      <c r="C2660" s="10" t="str">
        <f>"FES1162564142"</f>
        <v>FES1162564142</v>
      </c>
      <c r="D2660" s="10" t="s">
        <v>19</v>
      </c>
      <c r="E2660" s="10" t="s">
        <v>319</v>
      </c>
      <c r="F2660" s="10" t="str">
        <f>"2170580687 "</f>
        <v xml:space="preserve">2170580687 </v>
      </c>
      <c r="G2660" s="10" t="str">
        <f t="shared" si="117"/>
        <v>ON1</v>
      </c>
      <c r="H2660" s="10" t="s">
        <v>21</v>
      </c>
      <c r="I2660" s="10" t="s">
        <v>177</v>
      </c>
      <c r="J2660" s="10" t="str">
        <f>""</f>
        <v/>
      </c>
      <c r="K2660" s="10" t="str">
        <f>"PFES1162564142_0001"</f>
        <v>PFES1162564142_0001</v>
      </c>
      <c r="L2660" s="10">
        <v>1</v>
      </c>
      <c r="M2660" s="10">
        <v>1</v>
      </c>
    </row>
    <row r="2661" spans="1:13">
      <c r="A2661" s="8">
        <v>42937</v>
      </c>
      <c r="B2661" s="9">
        <v>0.62361111111111112</v>
      </c>
      <c r="C2661" s="10" t="str">
        <f>"FES1162564145"</f>
        <v>FES1162564145</v>
      </c>
      <c r="D2661" s="10" t="s">
        <v>19</v>
      </c>
      <c r="E2661" s="10" t="s">
        <v>251</v>
      </c>
      <c r="F2661" s="10" t="str">
        <f>"2170580691 "</f>
        <v xml:space="preserve">2170580691 </v>
      </c>
      <c r="G2661" s="10" t="str">
        <f t="shared" si="117"/>
        <v>ON1</v>
      </c>
      <c r="H2661" s="10" t="s">
        <v>21</v>
      </c>
      <c r="I2661" s="10" t="s">
        <v>252</v>
      </c>
      <c r="J2661" s="10" t="str">
        <f>""</f>
        <v/>
      </c>
      <c r="K2661" s="10" t="str">
        <f>"PFES1162564145_0001"</f>
        <v>PFES1162564145_0001</v>
      </c>
      <c r="L2661" s="10">
        <v>1</v>
      </c>
      <c r="M2661" s="10">
        <v>1</v>
      </c>
    </row>
    <row r="2662" spans="1:13">
      <c r="A2662" s="8">
        <v>42937</v>
      </c>
      <c r="B2662" s="9">
        <v>0.62083333333333335</v>
      </c>
      <c r="C2662" s="10" t="str">
        <f>"FES1162564135"</f>
        <v>FES1162564135</v>
      </c>
      <c r="D2662" s="10" t="s">
        <v>19</v>
      </c>
      <c r="E2662" s="10" t="s">
        <v>323</v>
      </c>
      <c r="F2662" s="10" t="str">
        <f>"2170580678 "</f>
        <v xml:space="preserve">2170580678 </v>
      </c>
      <c r="G2662" s="10" t="str">
        <f t="shared" si="117"/>
        <v>ON1</v>
      </c>
      <c r="H2662" s="10" t="s">
        <v>21</v>
      </c>
      <c r="I2662" s="10" t="s">
        <v>75</v>
      </c>
      <c r="J2662" s="10" t="str">
        <f>""</f>
        <v/>
      </c>
      <c r="K2662" s="10" t="str">
        <f>"PFES1162564135_0001"</f>
        <v>PFES1162564135_0001</v>
      </c>
      <c r="L2662" s="10">
        <v>1</v>
      </c>
      <c r="M2662" s="10">
        <v>1</v>
      </c>
    </row>
    <row r="2663" spans="1:13">
      <c r="A2663" s="8">
        <v>42937</v>
      </c>
      <c r="B2663" s="9">
        <v>0.62013888888888891</v>
      </c>
      <c r="C2663" s="10" t="str">
        <f>"FES1162564139"</f>
        <v>FES1162564139</v>
      </c>
      <c r="D2663" s="10" t="s">
        <v>19</v>
      </c>
      <c r="E2663" s="10" t="s">
        <v>39</v>
      </c>
      <c r="F2663" s="10" t="str">
        <f>"2170580686 "</f>
        <v xml:space="preserve">2170580686 </v>
      </c>
      <c r="G2663" s="10" t="str">
        <f t="shared" si="117"/>
        <v>ON1</v>
      </c>
      <c r="H2663" s="10" t="s">
        <v>21</v>
      </c>
      <c r="I2663" s="10" t="s">
        <v>40</v>
      </c>
      <c r="J2663" s="10" t="str">
        <f>""</f>
        <v/>
      </c>
      <c r="K2663" s="10" t="str">
        <f>"PFES1162564139_0001"</f>
        <v>PFES1162564139_0001</v>
      </c>
      <c r="L2663" s="10">
        <v>1</v>
      </c>
      <c r="M2663" s="10">
        <v>1</v>
      </c>
    </row>
    <row r="2664" spans="1:13">
      <c r="A2664" s="8">
        <v>42937</v>
      </c>
      <c r="B2664" s="9">
        <v>0.62013888888888891</v>
      </c>
      <c r="C2664" s="10" t="str">
        <f>"FES1162564140"</f>
        <v>FES1162564140</v>
      </c>
      <c r="D2664" s="10" t="s">
        <v>19</v>
      </c>
      <c r="E2664" s="10" t="s">
        <v>304</v>
      </c>
      <c r="F2664" s="10" t="str">
        <f>"2170580680 "</f>
        <v xml:space="preserve">2170580680 </v>
      </c>
      <c r="G2664" s="10" t="str">
        <f t="shared" si="117"/>
        <v>ON1</v>
      </c>
      <c r="H2664" s="10" t="s">
        <v>21</v>
      </c>
      <c r="I2664" s="10" t="s">
        <v>56</v>
      </c>
      <c r="J2664" s="10" t="str">
        <f>""</f>
        <v/>
      </c>
      <c r="K2664" s="10" t="str">
        <f>"PFES1162564140_0001"</f>
        <v>PFES1162564140_0001</v>
      </c>
      <c r="L2664" s="10">
        <v>1</v>
      </c>
      <c r="M2664" s="10">
        <v>3</v>
      </c>
    </row>
    <row r="2665" spans="1:13">
      <c r="A2665" s="8">
        <v>42937</v>
      </c>
      <c r="B2665" s="9">
        <v>0.6166666666666667</v>
      </c>
      <c r="C2665" s="10" t="str">
        <f>"FES1162564123"</f>
        <v>FES1162564123</v>
      </c>
      <c r="D2665" s="10" t="s">
        <v>19</v>
      </c>
      <c r="E2665" s="10" t="s">
        <v>1044</v>
      </c>
      <c r="F2665" s="10" t="str">
        <f>"2170580643 "</f>
        <v xml:space="preserve">2170580643 </v>
      </c>
      <c r="G2665" s="10" t="str">
        <f t="shared" si="117"/>
        <v>ON1</v>
      </c>
      <c r="H2665" s="10" t="s">
        <v>21</v>
      </c>
      <c r="I2665" s="10" t="s">
        <v>313</v>
      </c>
      <c r="J2665" s="10" t="str">
        <f>""</f>
        <v/>
      </c>
      <c r="K2665" s="10" t="str">
        <f>"PFES1162564123_0001"</f>
        <v>PFES1162564123_0001</v>
      </c>
      <c r="L2665" s="10">
        <v>1</v>
      </c>
      <c r="M2665" s="10">
        <v>2</v>
      </c>
    </row>
    <row r="2666" spans="1:13">
      <c r="A2666" s="8">
        <v>42937</v>
      </c>
      <c r="B2666" s="9">
        <v>0.61597222222222225</v>
      </c>
      <c r="C2666" s="10" t="str">
        <f>"FES1162564129"</f>
        <v>FES1162564129</v>
      </c>
      <c r="D2666" s="10" t="s">
        <v>19</v>
      </c>
      <c r="E2666" s="10" t="s">
        <v>1045</v>
      </c>
      <c r="F2666" s="10" t="str">
        <f>"2170580671 "</f>
        <v xml:space="preserve">2170580671 </v>
      </c>
      <c r="G2666" s="10" t="str">
        <f t="shared" si="117"/>
        <v>ON1</v>
      </c>
      <c r="H2666" s="10" t="s">
        <v>21</v>
      </c>
      <c r="I2666" s="10" t="s">
        <v>364</v>
      </c>
      <c r="J2666" s="10" t="str">
        <f>""</f>
        <v/>
      </c>
      <c r="K2666" s="10" t="str">
        <f>"PFES1162564129_0001"</f>
        <v>PFES1162564129_0001</v>
      </c>
      <c r="L2666" s="10">
        <v>1</v>
      </c>
      <c r="M2666" s="10">
        <v>2</v>
      </c>
    </row>
    <row r="2667" spans="1:13">
      <c r="A2667" s="8">
        <v>42937</v>
      </c>
      <c r="B2667" s="9">
        <v>0.61458333333333337</v>
      </c>
      <c r="C2667" s="10" t="str">
        <f>"FES1162564128"</f>
        <v>FES1162564128</v>
      </c>
      <c r="D2667" s="10" t="s">
        <v>19</v>
      </c>
      <c r="E2667" s="10" t="s">
        <v>141</v>
      </c>
      <c r="F2667" s="10" t="str">
        <f>"2170579216 "</f>
        <v xml:space="preserve">2170579216 </v>
      </c>
      <c r="G2667" s="10" t="str">
        <f t="shared" si="117"/>
        <v>ON1</v>
      </c>
      <c r="H2667" s="10" t="s">
        <v>21</v>
      </c>
      <c r="I2667" s="10" t="s">
        <v>142</v>
      </c>
      <c r="J2667" s="10" t="str">
        <f>""</f>
        <v/>
      </c>
      <c r="K2667" s="10" t="str">
        <f>"PFES1162564128_0001"</f>
        <v>PFES1162564128_0001</v>
      </c>
      <c r="L2667" s="10">
        <v>1</v>
      </c>
      <c r="M2667" s="10">
        <v>13</v>
      </c>
    </row>
    <row r="2668" spans="1:13">
      <c r="A2668" s="8">
        <v>42937</v>
      </c>
      <c r="B2668" s="9">
        <v>0.61388888888888882</v>
      </c>
      <c r="C2668" s="10" t="str">
        <f>"FES1162564136"</f>
        <v>FES1162564136</v>
      </c>
      <c r="D2668" s="10" t="s">
        <v>19</v>
      </c>
      <c r="E2668" s="10" t="s">
        <v>381</v>
      </c>
      <c r="F2668" s="10" t="str">
        <f>"2170580682 "</f>
        <v xml:space="preserve">2170580682 </v>
      </c>
      <c r="G2668" s="10" t="str">
        <f t="shared" si="117"/>
        <v>ON1</v>
      </c>
      <c r="H2668" s="10" t="s">
        <v>21</v>
      </c>
      <c r="I2668" s="10" t="s">
        <v>149</v>
      </c>
      <c r="J2668" s="10" t="str">
        <f>""</f>
        <v/>
      </c>
      <c r="K2668" s="10" t="str">
        <f>"PFES1162564136_0001"</f>
        <v>PFES1162564136_0001</v>
      </c>
      <c r="L2668" s="10">
        <v>1</v>
      </c>
      <c r="M2668" s="10">
        <v>1</v>
      </c>
    </row>
    <row r="2669" spans="1:13">
      <c r="A2669" s="8">
        <v>42937</v>
      </c>
      <c r="B2669" s="9">
        <v>0.61249999999999993</v>
      </c>
      <c r="C2669" s="10" t="str">
        <f>"FES1162564137"</f>
        <v>FES1162564137</v>
      </c>
      <c r="D2669" s="10" t="s">
        <v>19</v>
      </c>
      <c r="E2669" s="10" t="s">
        <v>932</v>
      </c>
      <c r="F2669" s="10" t="str">
        <f>"2170580683 "</f>
        <v xml:space="preserve">2170580683 </v>
      </c>
      <c r="G2669" s="10" t="str">
        <f t="shared" si="117"/>
        <v>ON1</v>
      </c>
      <c r="H2669" s="10" t="s">
        <v>21</v>
      </c>
      <c r="I2669" s="10" t="s">
        <v>433</v>
      </c>
      <c r="J2669" s="10" t="str">
        <f>""</f>
        <v/>
      </c>
      <c r="K2669" s="10" t="str">
        <f>"PFES1162564137_0001"</f>
        <v>PFES1162564137_0001</v>
      </c>
      <c r="L2669" s="10">
        <v>1</v>
      </c>
      <c r="M2669" s="10">
        <v>1</v>
      </c>
    </row>
    <row r="2670" spans="1:13">
      <c r="A2670" s="8">
        <v>42937</v>
      </c>
      <c r="B2670" s="9">
        <v>0.6118055555555556</v>
      </c>
      <c r="C2670" s="10" t="str">
        <f>"FES1162564104"</f>
        <v>FES1162564104</v>
      </c>
      <c r="D2670" s="10" t="s">
        <v>19</v>
      </c>
      <c r="E2670" s="10" t="s">
        <v>33</v>
      </c>
      <c r="F2670" s="10" t="str">
        <f>"2170580647 "</f>
        <v xml:space="preserve">2170580647 </v>
      </c>
      <c r="G2670" s="10" t="str">
        <f t="shared" si="117"/>
        <v>ON1</v>
      </c>
      <c r="H2670" s="10" t="s">
        <v>21</v>
      </c>
      <c r="I2670" s="10" t="s">
        <v>34</v>
      </c>
      <c r="J2670" s="10" t="str">
        <f>""</f>
        <v/>
      </c>
      <c r="K2670" s="10" t="str">
        <f>"PFES1162564104_0001"</f>
        <v>PFES1162564104_0001</v>
      </c>
      <c r="L2670" s="10">
        <v>1</v>
      </c>
      <c r="M2670" s="10">
        <v>2</v>
      </c>
    </row>
    <row r="2671" spans="1:13">
      <c r="A2671" s="8">
        <v>42937</v>
      </c>
      <c r="B2671" s="9">
        <v>0.61111111111111105</v>
      </c>
      <c r="C2671" s="10" t="str">
        <f>"FES1162564116"</f>
        <v>FES1162564116</v>
      </c>
      <c r="D2671" s="10" t="s">
        <v>19</v>
      </c>
      <c r="E2671" s="10" t="s">
        <v>118</v>
      </c>
      <c r="F2671" s="10" t="str">
        <f>"2170580631 "</f>
        <v xml:space="preserve">2170580631 </v>
      </c>
      <c r="G2671" s="10" t="str">
        <f t="shared" si="117"/>
        <v>ON1</v>
      </c>
      <c r="H2671" s="10" t="s">
        <v>21</v>
      </c>
      <c r="I2671" s="10" t="s">
        <v>119</v>
      </c>
      <c r="J2671" s="10" t="str">
        <f>""</f>
        <v/>
      </c>
      <c r="K2671" s="10" t="str">
        <f>"PFES1162564116_0001"</f>
        <v>PFES1162564116_0001</v>
      </c>
      <c r="L2671" s="10">
        <v>1</v>
      </c>
      <c r="M2671" s="10">
        <v>1</v>
      </c>
    </row>
    <row r="2672" spans="1:13">
      <c r="A2672" s="8">
        <v>42937</v>
      </c>
      <c r="B2672" s="9">
        <v>0.60972222222222217</v>
      </c>
      <c r="C2672" s="10" t="str">
        <f>"FES1162564125"</f>
        <v>FES1162564125</v>
      </c>
      <c r="D2672" s="10" t="s">
        <v>19</v>
      </c>
      <c r="E2672" s="10" t="s">
        <v>391</v>
      </c>
      <c r="F2672" s="10" t="str">
        <f>"2170580669 "</f>
        <v xml:space="preserve">2170580669 </v>
      </c>
      <c r="G2672" s="10" t="str">
        <f t="shared" si="117"/>
        <v>ON1</v>
      </c>
      <c r="H2672" s="10" t="s">
        <v>21</v>
      </c>
      <c r="I2672" s="10" t="s">
        <v>183</v>
      </c>
      <c r="J2672" s="10" t="str">
        <f>""</f>
        <v/>
      </c>
      <c r="K2672" s="10" t="str">
        <f>"PFES1162564125_0001"</f>
        <v>PFES1162564125_0001</v>
      </c>
      <c r="L2672" s="10">
        <v>1</v>
      </c>
      <c r="M2672" s="10">
        <v>1</v>
      </c>
    </row>
    <row r="2673" spans="1:13">
      <c r="A2673" s="8">
        <v>42937</v>
      </c>
      <c r="B2673" s="9">
        <v>0.58888888888888891</v>
      </c>
      <c r="C2673" s="10" t="str">
        <f>"FES1162564119"</f>
        <v>FES1162564119</v>
      </c>
      <c r="D2673" s="10" t="s">
        <v>19</v>
      </c>
      <c r="E2673" s="10" t="s">
        <v>783</v>
      </c>
      <c r="F2673" s="10" t="str">
        <f>"2170580664 "</f>
        <v xml:space="preserve">2170580664 </v>
      </c>
      <c r="G2673" s="10" t="str">
        <f t="shared" si="117"/>
        <v>ON1</v>
      </c>
      <c r="H2673" s="10" t="s">
        <v>21</v>
      </c>
      <c r="I2673" s="10" t="s">
        <v>784</v>
      </c>
      <c r="J2673" s="10" t="str">
        <f>""</f>
        <v/>
      </c>
      <c r="K2673" s="10" t="str">
        <f>"PFES1162564119_0001"</f>
        <v>PFES1162564119_0001</v>
      </c>
      <c r="L2673" s="10">
        <v>1</v>
      </c>
      <c r="M2673" s="10">
        <v>1</v>
      </c>
    </row>
    <row r="2674" spans="1:13">
      <c r="A2674" s="8">
        <v>42937</v>
      </c>
      <c r="B2674" s="9">
        <v>0.58819444444444446</v>
      </c>
      <c r="C2674" s="10" t="str">
        <f>"FES1162564105"</f>
        <v>FES1162564105</v>
      </c>
      <c r="D2674" s="10" t="s">
        <v>19</v>
      </c>
      <c r="E2674" s="10" t="s">
        <v>33</v>
      </c>
      <c r="F2674" s="10" t="str">
        <f>"2170580648 "</f>
        <v xml:space="preserve">2170580648 </v>
      </c>
      <c r="G2674" s="10" t="str">
        <f t="shared" si="117"/>
        <v>ON1</v>
      </c>
      <c r="H2674" s="10" t="s">
        <v>21</v>
      </c>
      <c r="I2674" s="10" t="s">
        <v>34</v>
      </c>
      <c r="J2674" s="10" t="str">
        <f>""</f>
        <v/>
      </c>
      <c r="K2674" s="10" t="str">
        <f>"PFES1162564105_0001"</f>
        <v>PFES1162564105_0001</v>
      </c>
      <c r="L2674" s="10">
        <v>1</v>
      </c>
      <c r="M2674" s="10">
        <v>1</v>
      </c>
    </row>
    <row r="2675" spans="1:13">
      <c r="A2675" s="8">
        <v>42937</v>
      </c>
      <c r="B2675" s="9">
        <v>0.58750000000000002</v>
      </c>
      <c r="C2675" s="10" t="str">
        <f>"FES1162564109"</f>
        <v>FES1162564109</v>
      </c>
      <c r="D2675" s="10" t="s">
        <v>19</v>
      </c>
      <c r="E2675" s="10" t="s">
        <v>288</v>
      </c>
      <c r="F2675" s="10" t="str">
        <f>"2170580653 "</f>
        <v xml:space="preserve">2170580653 </v>
      </c>
      <c r="G2675" s="10" t="str">
        <f t="shared" si="117"/>
        <v>ON1</v>
      </c>
      <c r="H2675" s="10" t="s">
        <v>21</v>
      </c>
      <c r="I2675" s="10" t="s">
        <v>84</v>
      </c>
      <c r="J2675" s="10" t="str">
        <f>""</f>
        <v/>
      </c>
      <c r="K2675" s="10" t="str">
        <f>"PFES1162564109_0001"</f>
        <v>PFES1162564109_0001</v>
      </c>
      <c r="L2675" s="10">
        <v>1</v>
      </c>
      <c r="M2675" s="10">
        <v>1</v>
      </c>
    </row>
    <row r="2676" spans="1:13">
      <c r="A2676" s="8">
        <v>42937</v>
      </c>
      <c r="B2676" s="9">
        <v>0.58611111111111114</v>
      </c>
      <c r="C2676" s="10" t="str">
        <f>"FES1162564070"</f>
        <v>FES1162564070</v>
      </c>
      <c r="D2676" s="10" t="s">
        <v>19</v>
      </c>
      <c r="E2676" s="10" t="s">
        <v>1046</v>
      </c>
      <c r="F2676" s="10" t="str">
        <f>"2170576473 "</f>
        <v xml:space="preserve">2170576473 </v>
      </c>
      <c r="G2676" s="10" t="str">
        <f>"DBC"</f>
        <v>DBC</v>
      </c>
      <c r="H2676" s="10" t="s">
        <v>21</v>
      </c>
      <c r="I2676" s="10" t="s">
        <v>92</v>
      </c>
      <c r="J2676" s="10" t="str">
        <f>""</f>
        <v/>
      </c>
      <c r="K2676" s="10" t="str">
        <f>"PFES1162564070_0001"</f>
        <v>PFES1162564070_0001</v>
      </c>
      <c r="L2676" s="10">
        <v>1</v>
      </c>
      <c r="M2676" s="10">
        <v>19</v>
      </c>
    </row>
    <row r="2677" spans="1:13">
      <c r="A2677" s="8">
        <v>42937</v>
      </c>
      <c r="B2677" s="9">
        <v>0.5854166666666667</v>
      </c>
      <c r="C2677" s="10" t="str">
        <f>"FES1162564088"</f>
        <v>FES1162564088</v>
      </c>
      <c r="D2677" s="10" t="s">
        <v>19</v>
      </c>
      <c r="E2677" s="10" t="s">
        <v>1047</v>
      </c>
      <c r="F2677" s="10" t="str">
        <f>"2170574869 "</f>
        <v xml:space="preserve">2170574869 </v>
      </c>
      <c r="G2677" s="10" t="str">
        <f>"ON1"</f>
        <v>ON1</v>
      </c>
      <c r="H2677" s="10" t="s">
        <v>21</v>
      </c>
      <c r="I2677" s="10" t="s">
        <v>896</v>
      </c>
      <c r="J2677" s="10" t="str">
        <f>""</f>
        <v/>
      </c>
      <c r="K2677" s="10" t="str">
        <f>"PFES1162564088_0001"</f>
        <v>PFES1162564088_0001</v>
      </c>
      <c r="L2677" s="10">
        <v>1</v>
      </c>
      <c r="M2677" s="10">
        <v>1</v>
      </c>
    </row>
    <row r="2678" spans="1:13">
      <c r="A2678" s="8">
        <v>42937</v>
      </c>
      <c r="B2678" s="9">
        <v>0.58472222222222225</v>
      </c>
      <c r="C2678" s="10" t="str">
        <f>"FES1162564089"</f>
        <v>FES1162564089</v>
      </c>
      <c r="D2678" s="10" t="s">
        <v>19</v>
      </c>
      <c r="E2678" s="10" t="s">
        <v>25</v>
      </c>
      <c r="F2678" s="10" t="str">
        <f>"2170575589 "</f>
        <v xml:space="preserve">2170575589 </v>
      </c>
      <c r="G2678" s="10" t="str">
        <f>"ON1"</f>
        <v>ON1</v>
      </c>
      <c r="H2678" s="10" t="s">
        <v>21</v>
      </c>
      <c r="I2678" s="10" t="s">
        <v>26</v>
      </c>
      <c r="J2678" s="10" t="str">
        <f>""</f>
        <v/>
      </c>
      <c r="K2678" s="10" t="str">
        <f>"PFES1162564089_0001"</f>
        <v>PFES1162564089_0001</v>
      </c>
      <c r="L2678" s="10">
        <v>1</v>
      </c>
      <c r="M2678" s="10">
        <v>4</v>
      </c>
    </row>
    <row r="2679" spans="1:13">
      <c r="A2679" s="8">
        <v>42937</v>
      </c>
      <c r="B2679" s="9">
        <v>0.58333333333333337</v>
      </c>
      <c r="C2679" s="10" t="str">
        <f>"FES1162564110"</f>
        <v>FES1162564110</v>
      </c>
      <c r="D2679" s="10" t="s">
        <v>19</v>
      </c>
      <c r="E2679" s="10" t="s">
        <v>1048</v>
      </c>
      <c r="F2679" s="10" t="str">
        <f>"2170580655 "</f>
        <v xml:space="preserve">2170580655 </v>
      </c>
      <c r="G2679" s="10" t="str">
        <f>"DBC"</f>
        <v>DBC</v>
      </c>
      <c r="H2679" s="10" t="s">
        <v>21</v>
      </c>
      <c r="I2679" s="10" t="s">
        <v>1049</v>
      </c>
      <c r="J2679" s="10" t="str">
        <f>"FRAGILE, IOL"</f>
        <v>FRAGILE, IOL</v>
      </c>
      <c r="K2679" s="10" t="str">
        <f>"PFES1162564110_0001"</f>
        <v>PFES1162564110_0001</v>
      </c>
      <c r="L2679" s="10">
        <v>1</v>
      </c>
      <c r="M2679" s="10">
        <v>5</v>
      </c>
    </row>
    <row r="2680" spans="1:13">
      <c r="A2680" s="8">
        <v>42937</v>
      </c>
      <c r="B2680" s="9">
        <v>0.57430555555555551</v>
      </c>
      <c r="C2680" s="10" t="str">
        <f>"FES1162562305"</f>
        <v>FES1162562305</v>
      </c>
      <c r="D2680" s="10" t="s">
        <v>19</v>
      </c>
      <c r="E2680" s="10" t="s">
        <v>979</v>
      </c>
      <c r="F2680" s="10" t="str">
        <f>"2170578880 "</f>
        <v xml:space="preserve">2170578880 </v>
      </c>
      <c r="G2680" s="10" t="str">
        <f t="shared" ref="G2680:G2693" si="118">"ON1"</f>
        <v>ON1</v>
      </c>
      <c r="H2680" s="10" t="s">
        <v>21</v>
      </c>
      <c r="I2680" s="10" t="s">
        <v>980</v>
      </c>
      <c r="J2680" s="10" t="str">
        <f>""</f>
        <v/>
      </c>
      <c r="K2680" s="10" t="str">
        <f>"PFES1162562305_0001"</f>
        <v>PFES1162562305_0001</v>
      </c>
      <c r="L2680" s="10">
        <v>1</v>
      </c>
      <c r="M2680" s="10">
        <v>1</v>
      </c>
    </row>
    <row r="2681" spans="1:13">
      <c r="A2681" s="8">
        <v>42937</v>
      </c>
      <c r="B2681" s="9">
        <v>0.57291666666666663</v>
      </c>
      <c r="C2681" s="10" t="str">
        <f>"FES1162564106"</f>
        <v>FES1162564106</v>
      </c>
      <c r="D2681" s="10" t="s">
        <v>19</v>
      </c>
      <c r="E2681" s="10" t="s">
        <v>376</v>
      </c>
      <c r="F2681" s="10" t="str">
        <f>"2170580649 "</f>
        <v xml:space="preserve">2170580649 </v>
      </c>
      <c r="G2681" s="10" t="str">
        <f t="shared" si="118"/>
        <v>ON1</v>
      </c>
      <c r="H2681" s="10" t="s">
        <v>21</v>
      </c>
      <c r="I2681" s="10" t="s">
        <v>377</v>
      </c>
      <c r="J2681" s="10" t="str">
        <f>""</f>
        <v/>
      </c>
      <c r="K2681" s="10" t="str">
        <f>"PFES1162564106_0001"</f>
        <v>PFES1162564106_0001</v>
      </c>
      <c r="L2681" s="10">
        <v>1</v>
      </c>
      <c r="M2681" s="10">
        <v>1</v>
      </c>
    </row>
    <row r="2682" spans="1:13">
      <c r="A2682" s="8">
        <v>42937</v>
      </c>
      <c r="B2682" s="9">
        <v>0.57222222222222219</v>
      </c>
      <c r="C2682" s="10" t="str">
        <f>"FES1162564074"</f>
        <v>FES1162564074</v>
      </c>
      <c r="D2682" s="10" t="s">
        <v>19</v>
      </c>
      <c r="E2682" s="10" t="s">
        <v>255</v>
      </c>
      <c r="F2682" s="10" t="str">
        <f>"2170580289 "</f>
        <v xml:space="preserve">2170580289 </v>
      </c>
      <c r="G2682" s="10" t="str">
        <f t="shared" si="118"/>
        <v>ON1</v>
      </c>
      <c r="H2682" s="10" t="s">
        <v>21</v>
      </c>
      <c r="I2682" s="10" t="s">
        <v>256</v>
      </c>
      <c r="J2682" s="10" t="str">
        <f>""</f>
        <v/>
      </c>
      <c r="K2682" s="10" t="str">
        <f>"PFES1162564074_0001"</f>
        <v>PFES1162564074_0001</v>
      </c>
      <c r="L2682" s="10">
        <v>1</v>
      </c>
      <c r="M2682" s="10">
        <v>3</v>
      </c>
    </row>
    <row r="2683" spans="1:13">
      <c r="A2683" s="8">
        <v>42937</v>
      </c>
      <c r="B2683" s="9">
        <v>0.5708333333333333</v>
      </c>
      <c r="C2683" s="10" t="str">
        <f>"FES1162564107"</f>
        <v>FES1162564107</v>
      </c>
      <c r="D2683" s="10" t="s">
        <v>19</v>
      </c>
      <c r="E2683" s="10" t="s">
        <v>376</v>
      </c>
      <c r="F2683" s="10" t="str">
        <f>"2170580650 "</f>
        <v xml:space="preserve">2170580650 </v>
      </c>
      <c r="G2683" s="10" t="str">
        <f t="shared" si="118"/>
        <v>ON1</v>
      </c>
      <c r="H2683" s="10" t="s">
        <v>21</v>
      </c>
      <c r="I2683" s="10" t="s">
        <v>377</v>
      </c>
      <c r="J2683" s="10" t="str">
        <f>""</f>
        <v/>
      </c>
      <c r="K2683" s="10" t="str">
        <f>"PFES1162564107_0001"</f>
        <v>PFES1162564107_0001</v>
      </c>
      <c r="L2683" s="10">
        <v>1</v>
      </c>
      <c r="M2683" s="10">
        <v>1</v>
      </c>
    </row>
    <row r="2684" spans="1:13">
      <c r="A2684" s="8">
        <v>42937</v>
      </c>
      <c r="B2684" s="9">
        <v>0.57013888888888886</v>
      </c>
      <c r="C2684" s="10" t="str">
        <f>"FES1162564113"</f>
        <v>FES1162564113</v>
      </c>
      <c r="D2684" s="10" t="s">
        <v>19</v>
      </c>
      <c r="E2684" s="10" t="s">
        <v>146</v>
      </c>
      <c r="F2684" s="10" t="str">
        <f>"2170580658 "</f>
        <v xml:space="preserve">2170580658 </v>
      </c>
      <c r="G2684" s="10" t="str">
        <f t="shared" si="118"/>
        <v>ON1</v>
      </c>
      <c r="H2684" s="10" t="s">
        <v>21</v>
      </c>
      <c r="I2684" s="10" t="s">
        <v>147</v>
      </c>
      <c r="J2684" s="10" t="str">
        <f>""</f>
        <v/>
      </c>
      <c r="K2684" s="10" t="str">
        <f>"PFES1162564113_0001"</f>
        <v>PFES1162564113_0001</v>
      </c>
      <c r="L2684" s="10">
        <v>1</v>
      </c>
      <c r="M2684" s="10">
        <v>1</v>
      </c>
    </row>
    <row r="2685" spans="1:13">
      <c r="A2685" s="8">
        <v>42937</v>
      </c>
      <c r="B2685" s="9">
        <v>0.56944444444444442</v>
      </c>
      <c r="C2685" s="10" t="str">
        <f>"FES1162564102"</f>
        <v>FES1162564102</v>
      </c>
      <c r="D2685" s="10" t="s">
        <v>19</v>
      </c>
      <c r="E2685" s="10" t="s">
        <v>376</v>
      </c>
      <c r="F2685" s="10" t="str">
        <f>"2170580646 "</f>
        <v xml:space="preserve">2170580646 </v>
      </c>
      <c r="G2685" s="10" t="str">
        <f t="shared" si="118"/>
        <v>ON1</v>
      </c>
      <c r="H2685" s="10" t="s">
        <v>21</v>
      </c>
      <c r="I2685" s="10" t="s">
        <v>377</v>
      </c>
      <c r="J2685" s="10" t="str">
        <f>""</f>
        <v/>
      </c>
      <c r="K2685" s="10" t="str">
        <f>"PFES1162564102_0001"</f>
        <v>PFES1162564102_0001</v>
      </c>
      <c r="L2685" s="10">
        <v>1</v>
      </c>
      <c r="M2685" s="10">
        <v>1</v>
      </c>
    </row>
    <row r="2686" spans="1:13">
      <c r="A2686" s="8">
        <v>42937</v>
      </c>
      <c r="B2686" s="9">
        <v>0.56874999999999998</v>
      </c>
      <c r="C2686" s="10" t="str">
        <f>"FES1162564076"</f>
        <v>FES1162564076</v>
      </c>
      <c r="D2686" s="10" t="s">
        <v>19</v>
      </c>
      <c r="E2686" s="10" t="s">
        <v>921</v>
      </c>
      <c r="F2686" s="10" t="str">
        <f>"2170580418 "</f>
        <v xml:space="preserve">2170580418 </v>
      </c>
      <c r="G2686" s="10" t="str">
        <f t="shared" si="118"/>
        <v>ON1</v>
      </c>
      <c r="H2686" s="10" t="s">
        <v>21</v>
      </c>
      <c r="I2686" s="10" t="s">
        <v>26</v>
      </c>
      <c r="J2686" s="10" t="str">
        <f>""</f>
        <v/>
      </c>
      <c r="K2686" s="10" t="str">
        <f>"PFES1162564076_0001"</f>
        <v>PFES1162564076_0001</v>
      </c>
      <c r="L2686" s="10">
        <v>1</v>
      </c>
      <c r="M2686" s="10">
        <v>1</v>
      </c>
    </row>
    <row r="2687" spans="1:13">
      <c r="A2687" s="8">
        <v>42937</v>
      </c>
      <c r="B2687" s="9">
        <v>0.56805555555555554</v>
      </c>
      <c r="C2687" s="10" t="str">
        <f>"FES1162564098"</f>
        <v>FES1162564098</v>
      </c>
      <c r="D2687" s="10" t="s">
        <v>19</v>
      </c>
      <c r="E2687" s="10" t="s">
        <v>62</v>
      </c>
      <c r="F2687" s="10" t="str">
        <f>"2170580635 "</f>
        <v xml:space="preserve">2170580635 </v>
      </c>
      <c r="G2687" s="10" t="str">
        <f t="shared" si="118"/>
        <v>ON1</v>
      </c>
      <c r="H2687" s="10" t="s">
        <v>21</v>
      </c>
      <c r="I2687" s="10" t="s">
        <v>40</v>
      </c>
      <c r="J2687" s="10" t="str">
        <f>""</f>
        <v/>
      </c>
      <c r="K2687" s="10" t="str">
        <f>"PFES1162564098_0001"</f>
        <v>PFES1162564098_0001</v>
      </c>
      <c r="L2687" s="10">
        <v>1</v>
      </c>
      <c r="M2687" s="10">
        <v>3</v>
      </c>
    </row>
    <row r="2688" spans="1:13">
      <c r="A2688" s="8">
        <v>42937</v>
      </c>
      <c r="B2688" s="9">
        <v>0.56736111111111109</v>
      </c>
      <c r="C2688" s="10" t="str">
        <f>"FES1162564092"</f>
        <v>FES1162564092</v>
      </c>
      <c r="D2688" s="10" t="s">
        <v>19</v>
      </c>
      <c r="E2688" s="10" t="s">
        <v>154</v>
      </c>
      <c r="F2688" s="10" t="str">
        <f>"2170576715 "</f>
        <v xml:space="preserve">2170576715 </v>
      </c>
      <c r="G2688" s="10" t="str">
        <f t="shared" si="118"/>
        <v>ON1</v>
      </c>
      <c r="H2688" s="10" t="s">
        <v>21</v>
      </c>
      <c r="I2688" s="10" t="s">
        <v>130</v>
      </c>
      <c r="J2688" s="10" t="str">
        <f>""</f>
        <v/>
      </c>
      <c r="K2688" s="10" t="str">
        <f>"PFES1162564092_0001"</f>
        <v>PFES1162564092_0001</v>
      </c>
      <c r="L2688" s="10">
        <v>1</v>
      </c>
      <c r="M2688" s="10">
        <v>1</v>
      </c>
    </row>
    <row r="2689" spans="1:13">
      <c r="A2689" s="8">
        <v>42937</v>
      </c>
      <c r="B2689" s="9">
        <v>0.55902777777777779</v>
      </c>
      <c r="C2689" s="10" t="str">
        <f>"FES1162564054"</f>
        <v>FES1162564054</v>
      </c>
      <c r="D2689" s="10" t="s">
        <v>19</v>
      </c>
      <c r="E2689" s="10" t="s">
        <v>379</v>
      </c>
      <c r="F2689" s="10" t="str">
        <f>"2170580598 "</f>
        <v xml:space="preserve">2170580598 </v>
      </c>
      <c r="G2689" s="10" t="str">
        <f t="shared" si="118"/>
        <v>ON1</v>
      </c>
      <c r="H2689" s="10" t="s">
        <v>21</v>
      </c>
      <c r="I2689" s="10" t="s">
        <v>380</v>
      </c>
      <c r="J2689" s="10" t="str">
        <f>""</f>
        <v/>
      </c>
      <c r="K2689" s="10" t="str">
        <f>"PFES1162564054_0001"</f>
        <v>PFES1162564054_0001</v>
      </c>
      <c r="L2689" s="10">
        <v>1</v>
      </c>
      <c r="M2689" s="10">
        <v>8</v>
      </c>
    </row>
    <row r="2690" spans="1:13">
      <c r="A2690" s="8">
        <v>42937</v>
      </c>
      <c r="B2690" s="9">
        <v>0.55833333333333335</v>
      </c>
      <c r="C2690" s="10" t="str">
        <f>"FES1162564094"</f>
        <v>FES1162564094</v>
      </c>
      <c r="D2690" s="10" t="s">
        <v>19</v>
      </c>
      <c r="E2690" s="10" t="s">
        <v>350</v>
      </c>
      <c r="F2690" s="10" t="str">
        <f>"2170577255 "</f>
        <v xml:space="preserve">2170577255 </v>
      </c>
      <c r="G2690" s="10" t="str">
        <f t="shared" si="118"/>
        <v>ON1</v>
      </c>
      <c r="H2690" s="10" t="s">
        <v>21</v>
      </c>
      <c r="I2690" s="10" t="s">
        <v>351</v>
      </c>
      <c r="J2690" s="10" t="str">
        <f>""</f>
        <v/>
      </c>
      <c r="K2690" s="10" t="str">
        <f>"PFES1162564094_0001"</f>
        <v>PFES1162564094_0001</v>
      </c>
      <c r="L2690" s="10">
        <v>1</v>
      </c>
      <c r="M2690" s="10">
        <v>4</v>
      </c>
    </row>
    <row r="2691" spans="1:13">
      <c r="A2691" s="8">
        <v>42937</v>
      </c>
      <c r="B2691" s="9">
        <v>0.55694444444444446</v>
      </c>
      <c r="C2691" s="10" t="str">
        <f>"FES1162564085"</f>
        <v>FES1162564085</v>
      </c>
      <c r="D2691" s="10" t="s">
        <v>19</v>
      </c>
      <c r="E2691" s="10" t="s">
        <v>129</v>
      </c>
      <c r="F2691" s="10" t="str">
        <f>"2170572950 "</f>
        <v xml:space="preserve">2170572950 </v>
      </c>
      <c r="G2691" s="10" t="str">
        <f t="shared" si="118"/>
        <v>ON1</v>
      </c>
      <c r="H2691" s="10" t="s">
        <v>21</v>
      </c>
      <c r="I2691" s="10" t="s">
        <v>130</v>
      </c>
      <c r="J2691" s="10" t="str">
        <f>""</f>
        <v/>
      </c>
      <c r="K2691" s="10" t="str">
        <f>"PFES1162564085_0001"</f>
        <v>PFES1162564085_0001</v>
      </c>
      <c r="L2691" s="10">
        <v>1</v>
      </c>
      <c r="M2691" s="10">
        <v>2</v>
      </c>
    </row>
    <row r="2692" spans="1:13">
      <c r="A2692" s="8">
        <v>42937</v>
      </c>
      <c r="B2692" s="9">
        <v>0.55625000000000002</v>
      </c>
      <c r="C2692" s="10" t="str">
        <f>"FES1162564084"</f>
        <v>FES1162564084</v>
      </c>
      <c r="D2692" s="10" t="s">
        <v>19</v>
      </c>
      <c r="E2692" s="10" t="s">
        <v>129</v>
      </c>
      <c r="F2692" s="10" t="str">
        <f>"2170572662 "</f>
        <v xml:space="preserve">2170572662 </v>
      </c>
      <c r="G2692" s="10" t="str">
        <f t="shared" si="118"/>
        <v>ON1</v>
      </c>
      <c r="H2692" s="10" t="s">
        <v>21</v>
      </c>
      <c r="I2692" s="10" t="s">
        <v>130</v>
      </c>
      <c r="J2692" s="10" t="str">
        <f>""</f>
        <v/>
      </c>
      <c r="K2692" s="10" t="str">
        <f>"PFES1162564084_0001"</f>
        <v>PFES1162564084_0001</v>
      </c>
      <c r="L2692" s="10">
        <v>1</v>
      </c>
      <c r="M2692" s="10">
        <v>2</v>
      </c>
    </row>
    <row r="2693" spans="1:13">
      <c r="A2693" s="8">
        <v>42937</v>
      </c>
      <c r="B2693" s="9">
        <v>0.55555555555555558</v>
      </c>
      <c r="C2693" s="10" t="str">
        <f>"FES1162564086"</f>
        <v>FES1162564086</v>
      </c>
      <c r="D2693" s="10" t="s">
        <v>19</v>
      </c>
      <c r="E2693" s="10" t="s">
        <v>1050</v>
      </c>
      <c r="F2693" s="10" t="str">
        <f>"2170572984 "</f>
        <v xml:space="preserve">2170572984 </v>
      </c>
      <c r="G2693" s="10" t="str">
        <f t="shared" si="118"/>
        <v>ON1</v>
      </c>
      <c r="H2693" s="10" t="s">
        <v>21</v>
      </c>
      <c r="I2693" s="10" t="s">
        <v>151</v>
      </c>
      <c r="J2693" s="10" t="str">
        <f>""</f>
        <v/>
      </c>
      <c r="K2693" s="10" t="str">
        <f>"PFES1162564086_0001"</f>
        <v>PFES1162564086_0001</v>
      </c>
      <c r="L2693" s="10">
        <v>1</v>
      </c>
      <c r="M2693" s="10">
        <v>1</v>
      </c>
    </row>
    <row r="2694" spans="1:13">
      <c r="A2694" s="8">
        <v>42937</v>
      </c>
      <c r="B2694" s="9">
        <v>0.55347222222222225</v>
      </c>
      <c r="C2694" s="10" t="str">
        <f>"FES1162564008"</f>
        <v>FES1162564008</v>
      </c>
      <c r="D2694" s="10" t="s">
        <v>19</v>
      </c>
      <c r="E2694" s="10" t="s">
        <v>1051</v>
      </c>
      <c r="F2694" s="10" t="str">
        <f>"2170580539 "</f>
        <v xml:space="preserve">2170580539 </v>
      </c>
      <c r="G2694" s="10" t="str">
        <f>"ON2"</f>
        <v>ON2</v>
      </c>
      <c r="H2694" s="10" t="s">
        <v>21</v>
      </c>
      <c r="I2694" s="10" t="s">
        <v>177</v>
      </c>
      <c r="J2694" s="10" t="str">
        <f>""</f>
        <v/>
      </c>
      <c r="K2694" s="10" t="str">
        <f>"PFES1162564008_0001"</f>
        <v>PFES1162564008_0001</v>
      </c>
      <c r="L2694" s="10">
        <v>1</v>
      </c>
      <c r="M2694" s="10">
        <v>17</v>
      </c>
    </row>
    <row r="2695" spans="1:13">
      <c r="A2695" s="8">
        <v>42937</v>
      </c>
      <c r="B2695" s="9">
        <v>0.54027777777777775</v>
      </c>
      <c r="C2695" s="10" t="str">
        <f>"FES1162564096"</f>
        <v>FES1162564096</v>
      </c>
      <c r="D2695" s="10" t="s">
        <v>19</v>
      </c>
      <c r="E2695" s="10" t="s">
        <v>118</v>
      </c>
      <c r="F2695" s="10" t="str">
        <f>"2170580631 "</f>
        <v xml:space="preserve">2170580631 </v>
      </c>
      <c r="G2695" s="10" t="str">
        <f t="shared" ref="G2695:G2707" si="119">"ON1"</f>
        <v>ON1</v>
      </c>
      <c r="H2695" s="10" t="s">
        <v>21</v>
      </c>
      <c r="I2695" s="10" t="s">
        <v>119</v>
      </c>
      <c r="J2695" s="10" t="str">
        <f>""</f>
        <v/>
      </c>
      <c r="K2695" s="10" t="str">
        <f>"PFES1162564096_0001"</f>
        <v>PFES1162564096_0001</v>
      </c>
      <c r="L2695" s="10">
        <v>1</v>
      </c>
      <c r="M2695" s="10">
        <v>4</v>
      </c>
    </row>
    <row r="2696" spans="1:13">
      <c r="A2696" s="8">
        <v>42937</v>
      </c>
      <c r="B2696" s="9">
        <v>0.5395833333333333</v>
      </c>
      <c r="C2696" s="10" t="str">
        <f>"FES1162564097"</f>
        <v>FES1162564097</v>
      </c>
      <c r="D2696" s="10" t="s">
        <v>19</v>
      </c>
      <c r="E2696" s="10" t="s">
        <v>295</v>
      </c>
      <c r="F2696" s="10" t="str">
        <f>"2170580633 "</f>
        <v xml:space="preserve">2170580633 </v>
      </c>
      <c r="G2696" s="10" t="str">
        <f t="shared" si="119"/>
        <v>ON1</v>
      </c>
      <c r="H2696" s="10" t="s">
        <v>21</v>
      </c>
      <c r="I2696" s="10" t="s">
        <v>179</v>
      </c>
      <c r="J2696" s="10" t="str">
        <f>""</f>
        <v/>
      </c>
      <c r="K2696" s="10" t="str">
        <f>"PFES1162564097_0001"</f>
        <v>PFES1162564097_0001</v>
      </c>
      <c r="L2696" s="10">
        <v>1</v>
      </c>
      <c r="M2696" s="10">
        <v>1</v>
      </c>
    </row>
    <row r="2697" spans="1:13">
      <c r="A2697" s="8">
        <v>42937</v>
      </c>
      <c r="B2697" s="9">
        <v>0.53819444444444442</v>
      </c>
      <c r="C2697" s="10" t="str">
        <f>"FES1162564099"</f>
        <v>FES1162564099</v>
      </c>
      <c r="D2697" s="10" t="s">
        <v>19</v>
      </c>
      <c r="E2697" s="10" t="s">
        <v>301</v>
      </c>
      <c r="F2697" s="10" t="str">
        <f>"2170580639 "</f>
        <v xml:space="preserve">2170580639 </v>
      </c>
      <c r="G2697" s="10" t="str">
        <f t="shared" si="119"/>
        <v>ON1</v>
      </c>
      <c r="H2697" s="10" t="s">
        <v>21</v>
      </c>
      <c r="I2697" s="10" t="s">
        <v>302</v>
      </c>
      <c r="J2697" s="10" t="str">
        <f>""</f>
        <v/>
      </c>
      <c r="K2697" s="10" t="str">
        <f>"PFES1162564099_0001"</f>
        <v>PFES1162564099_0001</v>
      </c>
      <c r="L2697" s="10">
        <v>1</v>
      </c>
      <c r="M2697" s="10">
        <v>1</v>
      </c>
    </row>
    <row r="2698" spans="1:13">
      <c r="A2698" s="8">
        <v>42937</v>
      </c>
      <c r="B2698" s="9">
        <v>0.53749999999999998</v>
      </c>
      <c r="C2698" s="10" t="str">
        <f>"FES1162564090"</f>
        <v>FES1162564090</v>
      </c>
      <c r="D2698" s="10" t="s">
        <v>19</v>
      </c>
      <c r="E2698" s="10" t="s">
        <v>329</v>
      </c>
      <c r="F2698" s="10" t="str">
        <f>"2170575907 "</f>
        <v xml:space="preserve">2170575907 </v>
      </c>
      <c r="G2698" s="10" t="str">
        <f t="shared" si="119"/>
        <v>ON1</v>
      </c>
      <c r="H2698" s="10" t="s">
        <v>21</v>
      </c>
      <c r="I2698" s="10" t="s">
        <v>330</v>
      </c>
      <c r="J2698" s="10" t="str">
        <f>""</f>
        <v/>
      </c>
      <c r="K2698" s="10" t="str">
        <f>"PFES1162564090_0001"</f>
        <v>PFES1162564090_0001</v>
      </c>
      <c r="L2698" s="10">
        <v>1</v>
      </c>
      <c r="M2698" s="10">
        <v>18</v>
      </c>
    </row>
    <row r="2699" spans="1:13">
      <c r="A2699" s="8">
        <v>42937</v>
      </c>
      <c r="B2699" s="9">
        <v>0.53611111111111109</v>
      </c>
      <c r="C2699" s="10" t="str">
        <f>"FES1162564091"</f>
        <v>FES1162564091</v>
      </c>
      <c r="D2699" s="10" t="s">
        <v>19</v>
      </c>
      <c r="E2699" s="10" t="s">
        <v>326</v>
      </c>
      <c r="F2699" s="10" t="str">
        <f>"2170576331 "</f>
        <v xml:space="preserve">2170576331 </v>
      </c>
      <c r="G2699" s="10" t="str">
        <f t="shared" si="119"/>
        <v>ON1</v>
      </c>
      <c r="H2699" s="10" t="s">
        <v>21</v>
      </c>
      <c r="I2699" s="10" t="s">
        <v>327</v>
      </c>
      <c r="J2699" s="10" t="str">
        <f>""</f>
        <v/>
      </c>
      <c r="K2699" s="10" t="str">
        <f>"PFES1162564091_0001"</f>
        <v>PFES1162564091_0001</v>
      </c>
      <c r="L2699" s="10">
        <v>1</v>
      </c>
      <c r="M2699" s="10">
        <v>9</v>
      </c>
    </row>
    <row r="2700" spans="1:13">
      <c r="A2700" s="8">
        <v>42937</v>
      </c>
      <c r="B2700" s="9">
        <v>0.53541666666666665</v>
      </c>
      <c r="C2700" s="10" t="str">
        <f>"FES1162564083"</f>
        <v>FES1162564083</v>
      </c>
      <c r="D2700" s="10" t="s">
        <v>19</v>
      </c>
      <c r="E2700" s="10" t="s">
        <v>175</v>
      </c>
      <c r="F2700" s="10" t="str">
        <f>"2170571699 "</f>
        <v xml:space="preserve">2170571699 </v>
      </c>
      <c r="G2700" s="10" t="str">
        <f t="shared" si="119"/>
        <v>ON1</v>
      </c>
      <c r="H2700" s="10" t="s">
        <v>21</v>
      </c>
      <c r="I2700" s="10" t="s">
        <v>168</v>
      </c>
      <c r="J2700" s="10" t="str">
        <f>""</f>
        <v/>
      </c>
      <c r="K2700" s="10" t="str">
        <f>"PFES1162564083_0001"</f>
        <v>PFES1162564083_0001</v>
      </c>
      <c r="L2700" s="10">
        <v>1</v>
      </c>
      <c r="M2700" s="10">
        <v>1</v>
      </c>
    </row>
    <row r="2701" spans="1:13">
      <c r="A2701" s="8">
        <v>42937</v>
      </c>
      <c r="B2701" s="9">
        <v>0.53402777777777777</v>
      </c>
      <c r="C2701" s="10" t="str">
        <f>"FES1162564087"</f>
        <v>FES1162564087</v>
      </c>
      <c r="D2701" s="10" t="s">
        <v>19</v>
      </c>
      <c r="E2701" s="10" t="s">
        <v>326</v>
      </c>
      <c r="F2701" s="10" t="str">
        <f>"2170573446 "</f>
        <v xml:space="preserve">2170573446 </v>
      </c>
      <c r="G2701" s="10" t="str">
        <f t="shared" si="119"/>
        <v>ON1</v>
      </c>
      <c r="H2701" s="10" t="s">
        <v>21</v>
      </c>
      <c r="I2701" s="10" t="s">
        <v>327</v>
      </c>
      <c r="J2701" s="10" t="str">
        <f>""</f>
        <v/>
      </c>
      <c r="K2701" s="10" t="str">
        <f>"PFES1162564087_0001"</f>
        <v>PFES1162564087_0001</v>
      </c>
      <c r="L2701" s="10">
        <v>1</v>
      </c>
      <c r="M2701" s="10">
        <v>5</v>
      </c>
    </row>
    <row r="2702" spans="1:13">
      <c r="A2702" s="8">
        <v>42937</v>
      </c>
      <c r="B2702" s="9">
        <v>0.53263888888888888</v>
      </c>
      <c r="C2702" s="10" t="str">
        <f>"FES1162564079"</f>
        <v>FES1162564079</v>
      </c>
      <c r="D2702" s="10" t="s">
        <v>19</v>
      </c>
      <c r="E2702" s="10" t="s">
        <v>175</v>
      </c>
      <c r="F2702" s="10" t="str">
        <f>"2170580630 "</f>
        <v xml:space="preserve">2170580630 </v>
      </c>
      <c r="G2702" s="10" t="str">
        <f t="shared" si="119"/>
        <v>ON1</v>
      </c>
      <c r="H2702" s="10" t="s">
        <v>21</v>
      </c>
      <c r="I2702" s="10" t="s">
        <v>168</v>
      </c>
      <c r="J2702" s="10" t="str">
        <f>""</f>
        <v/>
      </c>
      <c r="K2702" s="10" t="str">
        <f>"PFES1162564079_0001"</f>
        <v>PFES1162564079_0001</v>
      </c>
      <c r="L2702" s="10">
        <v>1</v>
      </c>
      <c r="M2702" s="10">
        <v>2</v>
      </c>
    </row>
    <row r="2703" spans="1:13">
      <c r="A2703" s="8">
        <v>42937</v>
      </c>
      <c r="B2703" s="9">
        <v>0.51597222222222217</v>
      </c>
      <c r="C2703" s="10" t="str">
        <f>"009935791611"</f>
        <v>009935791611</v>
      </c>
      <c r="D2703" s="10" t="s">
        <v>19</v>
      </c>
      <c r="E2703" s="10" t="s">
        <v>333</v>
      </c>
      <c r="F2703" s="10" t="str">
        <f>"1162563207 "</f>
        <v xml:space="preserve">1162563207 </v>
      </c>
      <c r="G2703" s="10" t="str">
        <f t="shared" si="119"/>
        <v>ON1</v>
      </c>
      <c r="H2703" s="10" t="s">
        <v>21</v>
      </c>
      <c r="I2703" s="10" t="s">
        <v>334</v>
      </c>
      <c r="J2703" s="10" t="str">
        <f>"WROMG SUPPLIED"</f>
        <v>WROMG SUPPLIED</v>
      </c>
      <c r="K2703" s="10" t="str">
        <f>"P009935791611_0001"</f>
        <v>P009935791611_0001</v>
      </c>
      <c r="L2703" s="10">
        <v>1</v>
      </c>
      <c r="M2703" s="10">
        <v>1</v>
      </c>
    </row>
    <row r="2704" spans="1:13">
      <c r="A2704" s="8">
        <v>42937</v>
      </c>
      <c r="B2704" s="9">
        <v>0.51597222222222217</v>
      </c>
      <c r="C2704" s="10" t="str">
        <f>"FES1162564093"</f>
        <v>FES1162564093</v>
      </c>
      <c r="D2704" s="10" t="s">
        <v>19</v>
      </c>
      <c r="E2704" s="10" t="s">
        <v>378</v>
      </c>
      <c r="F2704" s="10" t="str">
        <f>"2170576758 "</f>
        <v xml:space="preserve">2170576758 </v>
      </c>
      <c r="G2704" s="10" t="str">
        <f t="shared" si="119"/>
        <v>ON1</v>
      </c>
      <c r="H2704" s="10" t="s">
        <v>21</v>
      </c>
      <c r="I2704" s="10" t="s">
        <v>36</v>
      </c>
      <c r="J2704" s="10" t="str">
        <f>""</f>
        <v/>
      </c>
      <c r="K2704" s="10" t="str">
        <f>"PFES1162564093_0001"</f>
        <v>PFES1162564093_0001</v>
      </c>
      <c r="L2704" s="10">
        <v>1</v>
      </c>
      <c r="M2704" s="10">
        <v>3</v>
      </c>
    </row>
    <row r="2705" spans="1:13">
      <c r="A2705" s="8">
        <v>42937</v>
      </c>
      <c r="B2705" s="9">
        <v>0.51527777777777783</v>
      </c>
      <c r="C2705" s="10" t="str">
        <f>"FES1162564073"</f>
        <v>FES1162564073</v>
      </c>
      <c r="D2705" s="10" t="s">
        <v>19</v>
      </c>
      <c r="E2705" s="10" t="s">
        <v>806</v>
      </c>
      <c r="F2705" s="10" t="str">
        <f>"2170580624 "</f>
        <v xml:space="preserve">2170580624 </v>
      </c>
      <c r="G2705" s="10" t="str">
        <f t="shared" si="119"/>
        <v>ON1</v>
      </c>
      <c r="H2705" s="10" t="s">
        <v>21</v>
      </c>
      <c r="I2705" s="10" t="s">
        <v>130</v>
      </c>
      <c r="J2705" s="10" t="str">
        <f>""</f>
        <v/>
      </c>
      <c r="K2705" s="10" t="str">
        <f>"PFES1162564073_0001"</f>
        <v>PFES1162564073_0001</v>
      </c>
      <c r="L2705" s="10">
        <v>1</v>
      </c>
      <c r="M2705" s="10">
        <v>1</v>
      </c>
    </row>
    <row r="2706" spans="1:13">
      <c r="A2706" s="8">
        <v>42937</v>
      </c>
      <c r="B2706" s="9">
        <v>0.51527777777777783</v>
      </c>
      <c r="C2706" s="10" t="str">
        <f>"FES1162564077"</f>
        <v>FES1162564077</v>
      </c>
      <c r="D2706" s="10" t="s">
        <v>19</v>
      </c>
      <c r="E2706" s="10" t="s">
        <v>305</v>
      </c>
      <c r="F2706" s="10" t="str">
        <f>"2170580488 "</f>
        <v xml:space="preserve">2170580488 </v>
      </c>
      <c r="G2706" s="10" t="str">
        <f t="shared" si="119"/>
        <v>ON1</v>
      </c>
      <c r="H2706" s="10" t="s">
        <v>21</v>
      </c>
      <c r="I2706" s="10" t="s">
        <v>202</v>
      </c>
      <c r="J2706" s="10" t="str">
        <f>""</f>
        <v/>
      </c>
      <c r="K2706" s="10" t="str">
        <f>"PFES1162564077_0001"</f>
        <v>PFES1162564077_0001</v>
      </c>
      <c r="L2706" s="10">
        <v>1</v>
      </c>
      <c r="M2706" s="10">
        <v>1</v>
      </c>
    </row>
    <row r="2707" spans="1:13">
      <c r="A2707" s="8">
        <v>42937</v>
      </c>
      <c r="B2707" s="9">
        <v>0.51458333333333328</v>
      </c>
      <c r="C2707" s="10" t="str">
        <f>"FES1162564080"</f>
        <v>FES1162564080</v>
      </c>
      <c r="D2707" s="10" t="s">
        <v>19</v>
      </c>
      <c r="E2707" s="10" t="s">
        <v>735</v>
      </c>
      <c r="F2707" s="10" t="str">
        <f>"2170580632 "</f>
        <v xml:space="preserve">2170580632 </v>
      </c>
      <c r="G2707" s="10" t="str">
        <f t="shared" si="119"/>
        <v>ON1</v>
      </c>
      <c r="H2707" s="10" t="s">
        <v>21</v>
      </c>
      <c r="I2707" s="10" t="s">
        <v>54</v>
      </c>
      <c r="J2707" s="10" t="str">
        <f>""</f>
        <v/>
      </c>
      <c r="K2707" s="10" t="str">
        <f>"PFES1162564080_0001"</f>
        <v>PFES1162564080_0001</v>
      </c>
      <c r="L2707" s="10">
        <v>1</v>
      </c>
      <c r="M2707" s="10">
        <v>5</v>
      </c>
    </row>
    <row r="2708" spans="1:13">
      <c r="A2708" s="8">
        <v>42937</v>
      </c>
      <c r="B2708" s="9">
        <v>0.50972222222222219</v>
      </c>
      <c r="C2708" s="10" t="str">
        <f>"FES1162564067"</f>
        <v>FES1162564067</v>
      </c>
      <c r="D2708" s="10" t="s">
        <v>19</v>
      </c>
      <c r="E2708" s="10" t="s">
        <v>1052</v>
      </c>
      <c r="F2708" s="10" t="str">
        <f>"2170580617 "</f>
        <v xml:space="preserve">2170580617 </v>
      </c>
      <c r="G2708" s="10" t="str">
        <f>"SAT"</f>
        <v>SAT</v>
      </c>
      <c r="H2708" s="10" t="s">
        <v>21</v>
      </c>
      <c r="I2708" s="10" t="s">
        <v>166</v>
      </c>
      <c r="J2708" s="10" t="str">
        <f>"SATURDAY DELIVERY"</f>
        <v>SATURDAY DELIVERY</v>
      </c>
      <c r="K2708" s="10" t="str">
        <f>"PFES1162564067_0001"</f>
        <v>PFES1162564067_0001</v>
      </c>
      <c r="L2708" s="10">
        <v>1</v>
      </c>
      <c r="M2708" s="10">
        <v>1</v>
      </c>
    </row>
    <row r="2709" spans="1:13">
      <c r="A2709" s="8">
        <v>42937</v>
      </c>
      <c r="B2709" s="9">
        <v>0.50555555555555554</v>
      </c>
      <c r="C2709" s="10" t="str">
        <f>"FES1162564071"</f>
        <v>FES1162564071</v>
      </c>
      <c r="D2709" s="10" t="s">
        <v>19</v>
      </c>
      <c r="E2709" s="10" t="s">
        <v>1053</v>
      </c>
      <c r="F2709" s="10" t="str">
        <f>"2170580290 "</f>
        <v xml:space="preserve">2170580290 </v>
      </c>
      <c r="G2709" s="10" t="str">
        <f t="shared" ref="G2709:G2718" si="120">"ON1"</f>
        <v>ON1</v>
      </c>
      <c r="H2709" s="10" t="s">
        <v>21</v>
      </c>
      <c r="I2709" s="10" t="s">
        <v>166</v>
      </c>
      <c r="J2709" s="10" t="str">
        <f>""</f>
        <v/>
      </c>
      <c r="K2709" s="10" t="str">
        <f>"PFES1162564071_0001"</f>
        <v>PFES1162564071_0001</v>
      </c>
      <c r="L2709" s="10">
        <v>1</v>
      </c>
      <c r="M2709" s="10">
        <v>7</v>
      </c>
    </row>
    <row r="2710" spans="1:13">
      <c r="A2710" s="8">
        <v>42937</v>
      </c>
      <c r="B2710" s="9">
        <v>0.50486111111111109</v>
      </c>
      <c r="C2710" s="10" t="str">
        <f>"FES1162564072"</f>
        <v>FES1162564072</v>
      </c>
      <c r="D2710" s="10" t="s">
        <v>19</v>
      </c>
      <c r="E2710" s="10" t="s">
        <v>336</v>
      </c>
      <c r="F2710" s="10" t="str">
        <f>"2170580622 "</f>
        <v xml:space="preserve">2170580622 </v>
      </c>
      <c r="G2710" s="10" t="str">
        <f t="shared" si="120"/>
        <v>ON1</v>
      </c>
      <c r="H2710" s="10" t="s">
        <v>21</v>
      </c>
      <c r="I2710" s="10" t="s">
        <v>337</v>
      </c>
      <c r="J2710" s="10" t="str">
        <f>""</f>
        <v/>
      </c>
      <c r="K2710" s="10" t="str">
        <f>"PFES1162564072_0001"</f>
        <v>PFES1162564072_0001</v>
      </c>
      <c r="L2710" s="10">
        <v>1</v>
      </c>
      <c r="M2710" s="10">
        <v>18</v>
      </c>
    </row>
    <row r="2711" spans="1:13">
      <c r="A2711" s="8">
        <v>42937</v>
      </c>
      <c r="B2711" s="9">
        <v>0.50347222222222221</v>
      </c>
      <c r="C2711" s="10" t="str">
        <f>"FES1162564069"</f>
        <v>FES1162564069</v>
      </c>
      <c r="D2711" s="10" t="s">
        <v>19</v>
      </c>
      <c r="E2711" s="10" t="s">
        <v>184</v>
      </c>
      <c r="F2711" s="10" t="str">
        <f>"2170580620 "</f>
        <v xml:space="preserve">2170580620 </v>
      </c>
      <c r="G2711" s="10" t="str">
        <f t="shared" si="120"/>
        <v>ON1</v>
      </c>
      <c r="H2711" s="10" t="s">
        <v>21</v>
      </c>
      <c r="I2711" s="10" t="s">
        <v>185</v>
      </c>
      <c r="J2711" s="10" t="str">
        <f>""</f>
        <v/>
      </c>
      <c r="K2711" s="10" t="str">
        <f>"PFES1162564069_0001"</f>
        <v>PFES1162564069_0001</v>
      </c>
      <c r="L2711" s="10">
        <v>1</v>
      </c>
      <c r="M2711" s="10">
        <v>1</v>
      </c>
    </row>
    <row r="2712" spans="1:13">
      <c r="A2712" s="8">
        <v>42937</v>
      </c>
      <c r="B2712" s="9">
        <v>0.4909722222222222</v>
      </c>
      <c r="C2712" s="10" t="str">
        <f>"FES1162562582"</f>
        <v>FES1162562582</v>
      </c>
      <c r="D2712" s="10" t="s">
        <v>19</v>
      </c>
      <c r="E2712" s="10" t="s">
        <v>420</v>
      </c>
      <c r="F2712" s="10" t="str">
        <f>"2170579187 "</f>
        <v xml:space="preserve">2170579187 </v>
      </c>
      <c r="G2712" s="10" t="str">
        <f t="shared" si="120"/>
        <v>ON1</v>
      </c>
      <c r="H2712" s="10" t="s">
        <v>21</v>
      </c>
      <c r="I2712" s="10" t="s">
        <v>56</v>
      </c>
      <c r="J2712" s="10" t="str">
        <f>""</f>
        <v/>
      </c>
      <c r="K2712" s="10" t="str">
        <f>"PFES1162562582_0001"</f>
        <v>PFES1162562582_0001</v>
      </c>
      <c r="L2712" s="10">
        <v>1</v>
      </c>
      <c r="M2712" s="10">
        <v>15</v>
      </c>
    </row>
    <row r="2713" spans="1:13">
      <c r="A2713" s="8">
        <v>42937</v>
      </c>
      <c r="B2713" s="9">
        <v>0.48055555555555557</v>
      </c>
      <c r="C2713" s="10" t="str">
        <f>"FES1162564066"</f>
        <v>FES1162564066</v>
      </c>
      <c r="D2713" s="10" t="s">
        <v>19</v>
      </c>
      <c r="E2713" s="10" t="s">
        <v>320</v>
      </c>
      <c r="F2713" s="10" t="str">
        <f>"2170580616 "</f>
        <v xml:space="preserve">2170580616 </v>
      </c>
      <c r="G2713" s="10" t="str">
        <f t="shared" si="120"/>
        <v>ON1</v>
      </c>
      <c r="H2713" s="10" t="s">
        <v>21</v>
      </c>
      <c r="I2713" s="10" t="s">
        <v>32</v>
      </c>
      <c r="J2713" s="10" t="str">
        <f>""</f>
        <v/>
      </c>
      <c r="K2713" s="10" t="str">
        <f>"PFES1162564066_0001"</f>
        <v>PFES1162564066_0001</v>
      </c>
      <c r="L2713" s="10">
        <v>1</v>
      </c>
      <c r="M2713" s="10">
        <v>1</v>
      </c>
    </row>
    <row r="2714" spans="1:13">
      <c r="A2714" s="8">
        <v>42937</v>
      </c>
      <c r="B2714" s="9">
        <v>0.47986111111111113</v>
      </c>
      <c r="C2714" s="10" t="str">
        <f>"FES1162564065"</f>
        <v>FES1162564065</v>
      </c>
      <c r="D2714" s="10" t="s">
        <v>19</v>
      </c>
      <c r="E2714" s="10" t="s">
        <v>288</v>
      </c>
      <c r="F2714" s="10" t="str">
        <f>"2170580615 "</f>
        <v xml:space="preserve">2170580615 </v>
      </c>
      <c r="G2714" s="10" t="str">
        <f t="shared" si="120"/>
        <v>ON1</v>
      </c>
      <c r="H2714" s="10" t="s">
        <v>21</v>
      </c>
      <c r="I2714" s="10" t="s">
        <v>177</v>
      </c>
      <c r="J2714" s="10" t="str">
        <f>""</f>
        <v/>
      </c>
      <c r="K2714" s="10" t="str">
        <f>"PFES1162564065_0001"</f>
        <v>PFES1162564065_0001</v>
      </c>
      <c r="L2714" s="10">
        <v>1</v>
      </c>
      <c r="M2714" s="10">
        <v>1</v>
      </c>
    </row>
    <row r="2715" spans="1:13">
      <c r="A2715" s="8">
        <v>42937</v>
      </c>
      <c r="B2715" s="9">
        <v>0.47916666666666669</v>
      </c>
      <c r="C2715" s="10" t="str">
        <f>"FES1162564064"</f>
        <v>FES1162564064</v>
      </c>
      <c r="D2715" s="10" t="s">
        <v>19</v>
      </c>
      <c r="E2715" s="10" t="s">
        <v>853</v>
      </c>
      <c r="F2715" s="10" t="str">
        <f>"2170580610 "</f>
        <v xml:space="preserve">2170580610 </v>
      </c>
      <c r="G2715" s="10" t="str">
        <f t="shared" si="120"/>
        <v>ON1</v>
      </c>
      <c r="H2715" s="10" t="s">
        <v>21</v>
      </c>
      <c r="I2715" s="10" t="s">
        <v>179</v>
      </c>
      <c r="J2715" s="10" t="str">
        <f>""</f>
        <v/>
      </c>
      <c r="K2715" s="10" t="str">
        <f>"PFES1162564064_0001"</f>
        <v>PFES1162564064_0001</v>
      </c>
      <c r="L2715" s="10">
        <v>1</v>
      </c>
      <c r="M2715" s="10">
        <v>1</v>
      </c>
    </row>
    <row r="2716" spans="1:13">
      <c r="A2716" s="8">
        <v>42937</v>
      </c>
      <c r="B2716" s="9">
        <v>0.47847222222222219</v>
      </c>
      <c r="C2716" s="10" t="str">
        <f>"FES1162564047"</f>
        <v>FES1162564047</v>
      </c>
      <c r="D2716" s="10" t="s">
        <v>19</v>
      </c>
      <c r="E2716" s="10" t="s">
        <v>39</v>
      </c>
      <c r="F2716" s="10" t="str">
        <f>"2170580587 "</f>
        <v xml:space="preserve">2170580587 </v>
      </c>
      <c r="G2716" s="10" t="str">
        <f t="shared" si="120"/>
        <v>ON1</v>
      </c>
      <c r="H2716" s="10" t="s">
        <v>21</v>
      </c>
      <c r="I2716" s="10" t="s">
        <v>40</v>
      </c>
      <c r="J2716" s="10" t="str">
        <f>""</f>
        <v/>
      </c>
      <c r="K2716" s="10" t="str">
        <f>"PFES1162564047_0001"</f>
        <v>PFES1162564047_0001</v>
      </c>
      <c r="L2716" s="10">
        <v>1</v>
      </c>
      <c r="M2716" s="10">
        <v>4</v>
      </c>
    </row>
    <row r="2717" spans="1:13">
      <c r="A2717" s="8">
        <v>42937</v>
      </c>
      <c r="B2717" s="9">
        <v>0.47569444444444442</v>
      </c>
      <c r="C2717" s="10" t="str">
        <f>"FES1162564043"</f>
        <v>FES1162564043</v>
      </c>
      <c r="D2717" s="10" t="s">
        <v>19</v>
      </c>
      <c r="E2717" s="10" t="s">
        <v>39</v>
      </c>
      <c r="F2717" s="10" t="str">
        <f>"2170580579 "</f>
        <v xml:space="preserve">2170580579 </v>
      </c>
      <c r="G2717" s="10" t="str">
        <f t="shared" si="120"/>
        <v>ON1</v>
      </c>
      <c r="H2717" s="10" t="s">
        <v>21</v>
      </c>
      <c r="I2717" s="10" t="s">
        <v>40</v>
      </c>
      <c r="J2717" s="10" t="str">
        <f>""</f>
        <v/>
      </c>
      <c r="K2717" s="10" t="str">
        <f>"PFES1162564043_0001"</f>
        <v>PFES1162564043_0001</v>
      </c>
      <c r="L2717" s="10">
        <v>1</v>
      </c>
      <c r="M2717" s="10">
        <v>3</v>
      </c>
    </row>
    <row r="2718" spans="1:13">
      <c r="A2718" s="8">
        <v>42937</v>
      </c>
      <c r="B2718" s="9">
        <v>0.47361111111111115</v>
      </c>
      <c r="C2718" s="10" t="str">
        <f>"FES1162564038"</f>
        <v>FES1162564038</v>
      </c>
      <c r="D2718" s="10" t="s">
        <v>19</v>
      </c>
      <c r="E2718" s="10" t="s">
        <v>341</v>
      </c>
      <c r="F2718" s="10" t="str">
        <f>"2170580572 "</f>
        <v xml:space="preserve">2170580572 </v>
      </c>
      <c r="G2718" s="10" t="str">
        <f t="shared" si="120"/>
        <v>ON1</v>
      </c>
      <c r="H2718" s="10" t="s">
        <v>21</v>
      </c>
      <c r="I2718" s="10" t="s">
        <v>342</v>
      </c>
      <c r="J2718" s="10" t="str">
        <f>""</f>
        <v/>
      </c>
      <c r="K2718" s="10" t="str">
        <f>"PFES1162564038_0001"</f>
        <v>PFES1162564038_0001</v>
      </c>
      <c r="L2718" s="10">
        <v>1</v>
      </c>
      <c r="M2718" s="10">
        <v>3</v>
      </c>
    </row>
    <row r="2719" spans="1:13">
      <c r="A2719" s="8">
        <v>42937</v>
      </c>
      <c r="B2719" s="9">
        <v>0.47291666666666665</v>
      </c>
      <c r="C2719" s="10" t="str">
        <f>"FES1162563980"</f>
        <v>FES1162563980</v>
      </c>
      <c r="D2719" s="10" t="s">
        <v>19</v>
      </c>
      <c r="E2719" s="10" t="s">
        <v>288</v>
      </c>
      <c r="F2719" s="10" t="str">
        <f>"21705937 "</f>
        <v xml:space="preserve">21705937 </v>
      </c>
      <c r="G2719" s="10" t="str">
        <f>"DBC"</f>
        <v>DBC</v>
      </c>
      <c r="H2719" s="10" t="s">
        <v>21</v>
      </c>
      <c r="I2719" s="10" t="s">
        <v>177</v>
      </c>
      <c r="J2719" s="10" t="str">
        <f>""</f>
        <v/>
      </c>
      <c r="K2719" s="10" t="str">
        <f>"PFES1162563980_0001"</f>
        <v>PFES1162563980_0001</v>
      </c>
      <c r="L2719" s="10">
        <v>1</v>
      </c>
      <c r="M2719" s="10">
        <v>6</v>
      </c>
    </row>
    <row r="2720" spans="1:13">
      <c r="A2720" s="8">
        <v>42937</v>
      </c>
      <c r="B2720" s="9">
        <v>0.47291666666666665</v>
      </c>
      <c r="C2720" s="10" t="str">
        <f>"FES1162564025"</f>
        <v>FES1162564025</v>
      </c>
      <c r="D2720" s="10" t="s">
        <v>19</v>
      </c>
      <c r="E2720" s="10" t="s">
        <v>146</v>
      </c>
      <c r="F2720" s="10" t="str">
        <f>"2170580450 "</f>
        <v xml:space="preserve">2170580450 </v>
      </c>
      <c r="G2720" s="10" t="str">
        <f>"ON1"</f>
        <v>ON1</v>
      </c>
      <c r="H2720" s="10" t="s">
        <v>21</v>
      </c>
      <c r="I2720" s="10" t="s">
        <v>147</v>
      </c>
      <c r="J2720" s="10" t="str">
        <f>""</f>
        <v/>
      </c>
      <c r="K2720" s="10" t="str">
        <f>"PFES1162564025_0001"</f>
        <v>PFES1162564025_0001</v>
      </c>
      <c r="L2720" s="10">
        <v>1</v>
      </c>
      <c r="M2720" s="10">
        <v>3</v>
      </c>
    </row>
    <row r="2721" spans="1:13">
      <c r="A2721" s="8">
        <v>42937</v>
      </c>
      <c r="B2721" s="9">
        <v>0.47222222222222227</v>
      </c>
      <c r="C2721" s="10" t="str">
        <f>"FES1162564033"</f>
        <v>FES1162564033</v>
      </c>
      <c r="D2721" s="10" t="s">
        <v>19</v>
      </c>
      <c r="E2721" s="10" t="s">
        <v>223</v>
      </c>
      <c r="F2721" s="10" t="str">
        <f>"2170580541 "</f>
        <v xml:space="preserve">2170580541 </v>
      </c>
      <c r="G2721" s="10" t="str">
        <f>"ON1"</f>
        <v>ON1</v>
      </c>
      <c r="H2721" s="10" t="s">
        <v>21</v>
      </c>
      <c r="I2721" s="10" t="s">
        <v>177</v>
      </c>
      <c r="J2721" s="10" t="str">
        <f>""</f>
        <v/>
      </c>
      <c r="K2721" s="10" t="str">
        <f>"PFES1162564033_0001"</f>
        <v>PFES1162564033_0001</v>
      </c>
      <c r="L2721" s="10">
        <v>1</v>
      </c>
      <c r="M2721" s="10">
        <v>1</v>
      </c>
    </row>
    <row r="2722" spans="1:13">
      <c r="A2722" s="8">
        <v>42937</v>
      </c>
      <c r="B2722" s="9">
        <v>0.47152777777777777</v>
      </c>
      <c r="C2722" s="10" t="str">
        <f>"FES1162564024"</f>
        <v>FES1162564024</v>
      </c>
      <c r="D2722" s="10" t="s">
        <v>19</v>
      </c>
      <c r="E2722" s="10" t="s">
        <v>146</v>
      </c>
      <c r="F2722" s="10" t="str">
        <f>"2170580438 "</f>
        <v xml:space="preserve">2170580438 </v>
      </c>
      <c r="G2722" s="10" t="str">
        <f>"ON1"</f>
        <v>ON1</v>
      </c>
      <c r="H2722" s="10" t="s">
        <v>21</v>
      </c>
      <c r="I2722" s="10" t="s">
        <v>147</v>
      </c>
      <c r="J2722" s="10" t="str">
        <f>""</f>
        <v/>
      </c>
      <c r="K2722" s="10" t="str">
        <f>"PFES1162564024_0001"</f>
        <v>PFES1162564024_0001</v>
      </c>
      <c r="L2722" s="10">
        <v>2</v>
      </c>
      <c r="M2722" s="10">
        <v>7</v>
      </c>
    </row>
    <row r="2723" spans="1:13">
      <c r="A2723" s="8">
        <v>42937</v>
      </c>
      <c r="B2723" s="9">
        <v>0.47152777777777777</v>
      </c>
      <c r="C2723" s="10" t="str">
        <f>"FES1162564024"</f>
        <v>FES1162564024</v>
      </c>
      <c r="D2723" s="10" t="s">
        <v>19</v>
      </c>
      <c r="E2723" s="10" t="s">
        <v>146</v>
      </c>
      <c r="F2723" s="10" t="str">
        <f>"2170580438 "</f>
        <v xml:space="preserve">2170580438 </v>
      </c>
      <c r="G2723" s="10" t="str">
        <f>"ON1"</f>
        <v>ON1</v>
      </c>
      <c r="H2723" s="10" t="s">
        <v>21</v>
      </c>
      <c r="I2723" s="10" t="s">
        <v>147</v>
      </c>
      <c r="J2723" s="10"/>
      <c r="K2723" s="10" t="str">
        <f>"PFES1162564024_0002"</f>
        <v>PFES1162564024_0002</v>
      </c>
      <c r="L2723" s="10">
        <v>2</v>
      </c>
      <c r="M2723" s="10">
        <v>7</v>
      </c>
    </row>
    <row r="2724" spans="1:13">
      <c r="A2724" s="8">
        <v>42937</v>
      </c>
      <c r="B2724" s="9">
        <v>0.47083333333333338</v>
      </c>
      <c r="C2724" s="10" t="str">
        <f>"FES1162564037"</f>
        <v>FES1162564037</v>
      </c>
      <c r="D2724" s="10" t="s">
        <v>19</v>
      </c>
      <c r="E2724" s="10" t="s">
        <v>266</v>
      </c>
      <c r="F2724" s="10" t="str">
        <f>"2170580571 "</f>
        <v xml:space="preserve">2170580571 </v>
      </c>
      <c r="G2724" s="10" t="str">
        <f t="shared" ref="G2724:G2770" si="121">"ON1"</f>
        <v>ON1</v>
      </c>
      <c r="H2724" s="10" t="s">
        <v>21</v>
      </c>
      <c r="I2724" s="10" t="s">
        <v>290</v>
      </c>
      <c r="J2724" s="10" t="str">
        <f>""</f>
        <v/>
      </c>
      <c r="K2724" s="10" t="str">
        <f>"PFES1162564037_0001"</f>
        <v>PFES1162564037_0001</v>
      </c>
      <c r="L2724" s="10">
        <v>1</v>
      </c>
      <c r="M2724" s="10">
        <v>1</v>
      </c>
    </row>
    <row r="2725" spans="1:13">
      <c r="A2725" s="8">
        <v>42937</v>
      </c>
      <c r="B2725" s="9">
        <v>0.47083333333333338</v>
      </c>
      <c r="C2725" s="10" t="str">
        <f>"FES1162564060"</f>
        <v>FES1162564060</v>
      </c>
      <c r="D2725" s="10" t="s">
        <v>19</v>
      </c>
      <c r="E2725" s="10" t="s">
        <v>180</v>
      </c>
      <c r="F2725" s="10" t="str">
        <f>"2170580604 "</f>
        <v xml:space="preserve">2170580604 </v>
      </c>
      <c r="G2725" s="10" t="str">
        <f t="shared" si="121"/>
        <v>ON1</v>
      </c>
      <c r="H2725" s="10" t="s">
        <v>21</v>
      </c>
      <c r="I2725" s="10" t="s">
        <v>168</v>
      </c>
      <c r="J2725" s="10" t="str">
        <f>""</f>
        <v/>
      </c>
      <c r="K2725" s="10" t="str">
        <f>"PFES1162564060_0001"</f>
        <v>PFES1162564060_0001</v>
      </c>
      <c r="L2725" s="10">
        <v>1</v>
      </c>
      <c r="M2725" s="10">
        <v>1</v>
      </c>
    </row>
    <row r="2726" spans="1:13">
      <c r="A2726" s="8">
        <v>42937</v>
      </c>
      <c r="B2726" s="9">
        <v>0.47083333333333338</v>
      </c>
      <c r="C2726" s="10" t="str">
        <f>"FES1162563984"</f>
        <v>FES1162563984</v>
      </c>
      <c r="D2726" s="10" t="s">
        <v>19</v>
      </c>
      <c r="E2726" s="10" t="s">
        <v>723</v>
      </c>
      <c r="F2726" s="10" t="str">
        <f>"217059327 "</f>
        <v xml:space="preserve">217059327 </v>
      </c>
      <c r="G2726" s="10" t="str">
        <f t="shared" si="121"/>
        <v>ON1</v>
      </c>
      <c r="H2726" s="10" t="s">
        <v>21</v>
      </c>
      <c r="I2726" s="10" t="s">
        <v>724</v>
      </c>
      <c r="J2726" s="10" t="str">
        <f>""</f>
        <v/>
      </c>
      <c r="K2726" s="10" t="str">
        <f>"PFES1162563984_0001"</f>
        <v>PFES1162563984_0001</v>
      </c>
      <c r="L2726" s="10">
        <v>1</v>
      </c>
      <c r="M2726" s="10">
        <v>1</v>
      </c>
    </row>
    <row r="2727" spans="1:13">
      <c r="A2727" s="8">
        <v>42937</v>
      </c>
      <c r="B2727" s="9">
        <v>0.4694444444444445</v>
      </c>
      <c r="C2727" s="10" t="str">
        <f>"FES1162564040"</f>
        <v>FES1162564040</v>
      </c>
      <c r="D2727" s="10" t="s">
        <v>19</v>
      </c>
      <c r="E2727" s="10" t="s">
        <v>1054</v>
      </c>
      <c r="F2727" s="10" t="str">
        <f>"2170580577 "</f>
        <v xml:space="preserve">2170580577 </v>
      </c>
      <c r="G2727" s="10" t="str">
        <f t="shared" si="121"/>
        <v>ON1</v>
      </c>
      <c r="H2727" s="10" t="s">
        <v>21</v>
      </c>
      <c r="I2727" s="10" t="s">
        <v>711</v>
      </c>
      <c r="J2727" s="10" t="str">
        <f>""</f>
        <v/>
      </c>
      <c r="K2727" s="10" t="str">
        <f>"PFES1162564040_0001"</f>
        <v>PFES1162564040_0001</v>
      </c>
      <c r="L2727" s="10">
        <v>1</v>
      </c>
      <c r="M2727" s="10">
        <v>1.1599999999999999</v>
      </c>
    </row>
    <row r="2728" spans="1:13">
      <c r="A2728" s="8">
        <v>42937</v>
      </c>
      <c r="B2728" s="9">
        <v>0.46875</v>
      </c>
      <c r="C2728" s="10" t="str">
        <f>"FES1162564059"</f>
        <v>FES1162564059</v>
      </c>
      <c r="D2728" s="10" t="s">
        <v>19</v>
      </c>
      <c r="E2728" s="10" t="s">
        <v>460</v>
      </c>
      <c r="F2728" s="10" t="str">
        <f>"217058063 "</f>
        <v xml:space="preserve">217058063 </v>
      </c>
      <c r="G2728" s="10" t="str">
        <f t="shared" si="121"/>
        <v>ON1</v>
      </c>
      <c r="H2728" s="10" t="s">
        <v>21</v>
      </c>
      <c r="I2728" s="10" t="s">
        <v>461</v>
      </c>
      <c r="J2728" s="10" t="str">
        <f>""</f>
        <v/>
      </c>
      <c r="K2728" s="10" t="str">
        <f>"PFES1162564059_0001"</f>
        <v>PFES1162564059_0001</v>
      </c>
      <c r="L2728" s="10">
        <v>1</v>
      </c>
      <c r="M2728" s="10">
        <v>1</v>
      </c>
    </row>
    <row r="2729" spans="1:13">
      <c r="A2729" s="8">
        <v>42937</v>
      </c>
      <c r="B2729" s="9">
        <v>0.46875</v>
      </c>
      <c r="C2729" s="10" t="str">
        <f>"FES1162561132"</f>
        <v>FES1162561132</v>
      </c>
      <c r="D2729" s="10" t="s">
        <v>19</v>
      </c>
      <c r="E2729" s="10" t="s">
        <v>1055</v>
      </c>
      <c r="F2729" s="10" t="str">
        <f>"2170577875 "</f>
        <v xml:space="preserve">2170577875 </v>
      </c>
      <c r="G2729" s="10" t="str">
        <f t="shared" si="121"/>
        <v>ON1</v>
      </c>
      <c r="H2729" s="10" t="s">
        <v>21</v>
      </c>
      <c r="I2729" s="10" t="s">
        <v>28</v>
      </c>
      <c r="J2729" s="10" t="str">
        <f>""</f>
        <v/>
      </c>
      <c r="K2729" s="10" t="str">
        <f>"PFES1162561132_0001"</f>
        <v>PFES1162561132_0001</v>
      </c>
      <c r="L2729" s="10">
        <v>1</v>
      </c>
      <c r="M2729" s="10">
        <v>1</v>
      </c>
    </row>
    <row r="2730" spans="1:13">
      <c r="A2730" s="8">
        <v>42937</v>
      </c>
      <c r="B2730" s="9">
        <v>0.46527777777777773</v>
      </c>
      <c r="C2730" s="10" t="str">
        <f>"FES1162561131"</f>
        <v>FES1162561131</v>
      </c>
      <c r="D2730" s="10" t="s">
        <v>19</v>
      </c>
      <c r="E2730" s="10" t="s">
        <v>1055</v>
      </c>
      <c r="F2730" s="10" t="str">
        <f>"2170577874 "</f>
        <v xml:space="preserve">2170577874 </v>
      </c>
      <c r="G2730" s="10" t="str">
        <f t="shared" si="121"/>
        <v>ON1</v>
      </c>
      <c r="H2730" s="10" t="s">
        <v>21</v>
      </c>
      <c r="I2730" s="10" t="s">
        <v>28</v>
      </c>
      <c r="J2730" s="10" t="str">
        <f>""</f>
        <v/>
      </c>
      <c r="K2730" s="10" t="str">
        <f>"PFES1162561131_0001"</f>
        <v>PFES1162561131_0001</v>
      </c>
      <c r="L2730" s="10">
        <v>1</v>
      </c>
      <c r="M2730" s="10">
        <v>1</v>
      </c>
    </row>
    <row r="2731" spans="1:13">
      <c r="A2731" s="8">
        <v>42937</v>
      </c>
      <c r="B2731" s="9">
        <v>0.46319444444444446</v>
      </c>
      <c r="C2731" s="10" t="str">
        <f>"FES1162564039"</f>
        <v>FES1162564039</v>
      </c>
      <c r="D2731" s="10" t="s">
        <v>19</v>
      </c>
      <c r="E2731" s="10" t="s">
        <v>33</v>
      </c>
      <c r="F2731" s="10" t="str">
        <f>"2170580576 "</f>
        <v xml:space="preserve">2170580576 </v>
      </c>
      <c r="G2731" s="10" t="str">
        <f t="shared" si="121"/>
        <v>ON1</v>
      </c>
      <c r="H2731" s="10" t="s">
        <v>21</v>
      </c>
      <c r="I2731" s="10" t="s">
        <v>34</v>
      </c>
      <c r="J2731" s="10" t="str">
        <f>""</f>
        <v/>
      </c>
      <c r="K2731" s="10" t="str">
        <f>"PFES1162564039_0001"</f>
        <v>PFES1162564039_0001</v>
      </c>
      <c r="L2731" s="10">
        <v>1</v>
      </c>
      <c r="M2731" s="10">
        <v>1</v>
      </c>
    </row>
    <row r="2732" spans="1:13">
      <c r="A2732" s="8">
        <v>42937</v>
      </c>
      <c r="B2732" s="9">
        <v>0.46319444444444446</v>
      </c>
      <c r="C2732" s="10" t="str">
        <f>"FES1162564044"</f>
        <v>FES1162564044</v>
      </c>
      <c r="D2732" s="10" t="s">
        <v>19</v>
      </c>
      <c r="E2732" s="10" t="s">
        <v>33</v>
      </c>
      <c r="F2732" s="10" t="str">
        <f>"2170580581 "</f>
        <v xml:space="preserve">2170580581 </v>
      </c>
      <c r="G2732" s="10" t="str">
        <f t="shared" si="121"/>
        <v>ON1</v>
      </c>
      <c r="H2732" s="10" t="s">
        <v>21</v>
      </c>
      <c r="I2732" s="10" t="s">
        <v>34</v>
      </c>
      <c r="J2732" s="10" t="str">
        <f>""</f>
        <v/>
      </c>
      <c r="K2732" s="10" t="str">
        <f>"PFES1162564044_0001"</f>
        <v>PFES1162564044_0001</v>
      </c>
      <c r="L2732" s="10">
        <v>1</v>
      </c>
      <c r="M2732" s="10">
        <v>1</v>
      </c>
    </row>
    <row r="2733" spans="1:13">
      <c r="A2733" s="8">
        <v>42937</v>
      </c>
      <c r="B2733" s="9">
        <v>0.46249999999999997</v>
      </c>
      <c r="C2733" s="10" t="str">
        <f>"FES1162564035"</f>
        <v>FES1162564035</v>
      </c>
      <c r="D2733" s="10" t="s">
        <v>19</v>
      </c>
      <c r="E2733" s="10" t="s">
        <v>1056</v>
      </c>
      <c r="F2733" s="10" t="str">
        <f>"2170580561 "</f>
        <v xml:space="preserve">2170580561 </v>
      </c>
      <c r="G2733" s="10" t="str">
        <f t="shared" si="121"/>
        <v>ON1</v>
      </c>
      <c r="H2733" s="10" t="s">
        <v>21</v>
      </c>
      <c r="I2733" s="10" t="s">
        <v>84</v>
      </c>
      <c r="J2733" s="10" t="str">
        <f>""</f>
        <v/>
      </c>
      <c r="K2733" s="10" t="str">
        <f>"PFES1162564035_0001"</f>
        <v>PFES1162564035_0001</v>
      </c>
      <c r="L2733" s="10">
        <v>1</v>
      </c>
      <c r="M2733" s="10">
        <v>9</v>
      </c>
    </row>
    <row r="2734" spans="1:13">
      <c r="A2734" s="8">
        <v>42937</v>
      </c>
      <c r="B2734" s="9">
        <v>0.46180555555555558</v>
      </c>
      <c r="C2734" s="10" t="str">
        <f>"FES1162564027"</f>
        <v>FES1162564027</v>
      </c>
      <c r="D2734" s="10" t="s">
        <v>19</v>
      </c>
      <c r="E2734" s="10" t="s">
        <v>535</v>
      </c>
      <c r="F2734" s="10" t="str">
        <f>"2170580557 "</f>
        <v xml:space="preserve">2170580557 </v>
      </c>
      <c r="G2734" s="10" t="str">
        <f t="shared" si="121"/>
        <v>ON1</v>
      </c>
      <c r="H2734" s="10" t="s">
        <v>21</v>
      </c>
      <c r="I2734" s="10" t="s">
        <v>240</v>
      </c>
      <c r="J2734" s="10" t="str">
        <f>""</f>
        <v/>
      </c>
      <c r="K2734" s="10" t="str">
        <f>"PFES1162564027_0001"</f>
        <v>PFES1162564027_0001</v>
      </c>
      <c r="L2734" s="10">
        <v>1</v>
      </c>
      <c r="M2734" s="10">
        <v>5</v>
      </c>
    </row>
    <row r="2735" spans="1:13">
      <c r="A2735" s="8">
        <v>42937</v>
      </c>
      <c r="B2735" s="9">
        <v>0.46111111111111108</v>
      </c>
      <c r="C2735" s="10" t="str">
        <f>"FES1162563968"</f>
        <v>FES1162563968</v>
      </c>
      <c r="D2735" s="10" t="s">
        <v>19</v>
      </c>
      <c r="E2735" s="10" t="s">
        <v>1057</v>
      </c>
      <c r="F2735" s="10" t="str">
        <f>"21705805202 "</f>
        <v xml:space="preserve">21705805202 </v>
      </c>
      <c r="G2735" s="10" t="str">
        <f t="shared" si="121"/>
        <v>ON1</v>
      </c>
      <c r="H2735" s="10" t="s">
        <v>21</v>
      </c>
      <c r="I2735" s="10" t="s">
        <v>1058</v>
      </c>
      <c r="J2735" s="10" t="str">
        <f>""</f>
        <v/>
      </c>
      <c r="K2735" s="10" t="str">
        <f>"PFES1162563968_0001"</f>
        <v>PFES1162563968_0001</v>
      </c>
      <c r="L2735" s="10">
        <v>1</v>
      </c>
      <c r="M2735" s="10">
        <v>2</v>
      </c>
    </row>
    <row r="2736" spans="1:13">
      <c r="A2736" s="8">
        <v>42937</v>
      </c>
      <c r="B2736" s="9">
        <v>0.4604166666666667</v>
      </c>
      <c r="C2736" s="10" t="str">
        <f>"FES1162563979"</f>
        <v>FES1162563979</v>
      </c>
      <c r="D2736" s="10" t="s">
        <v>19</v>
      </c>
      <c r="E2736" s="10" t="s">
        <v>63</v>
      </c>
      <c r="F2736" s="10" t="str">
        <f>"2170579823 "</f>
        <v xml:space="preserve">2170579823 </v>
      </c>
      <c r="G2736" s="10" t="str">
        <f t="shared" si="121"/>
        <v>ON1</v>
      </c>
      <c r="H2736" s="10" t="s">
        <v>21</v>
      </c>
      <c r="I2736" s="10" t="s">
        <v>64</v>
      </c>
      <c r="J2736" s="10" t="str">
        <f>""</f>
        <v/>
      </c>
      <c r="K2736" s="10" t="str">
        <f>"PFES1162563979_0001"</f>
        <v>PFES1162563979_0001</v>
      </c>
      <c r="L2736" s="10">
        <v>1</v>
      </c>
      <c r="M2736" s="10">
        <v>17</v>
      </c>
    </row>
    <row r="2737" spans="1:13">
      <c r="A2737" s="8">
        <v>42937</v>
      </c>
      <c r="B2737" s="9">
        <v>0.4597222222222222</v>
      </c>
      <c r="C2737" s="10" t="str">
        <f>"FES1162564049"</f>
        <v>FES1162564049</v>
      </c>
      <c r="D2737" s="10" t="s">
        <v>19</v>
      </c>
      <c r="E2737" s="10" t="s">
        <v>329</v>
      </c>
      <c r="F2737" s="10" t="str">
        <f>"2170580592 "</f>
        <v xml:space="preserve">2170580592 </v>
      </c>
      <c r="G2737" s="10" t="str">
        <f t="shared" si="121"/>
        <v>ON1</v>
      </c>
      <c r="H2737" s="10" t="s">
        <v>21</v>
      </c>
      <c r="I2737" s="10" t="s">
        <v>330</v>
      </c>
      <c r="J2737" s="10" t="str">
        <f>""</f>
        <v/>
      </c>
      <c r="K2737" s="10" t="str">
        <f>"PFES1162564049_0001"</f>
        <v>PFES1162564049_0001</v>
      </c>
      <c r="L2737" s="10">
        <v>1</v>
      </c>
      <c r="M2737" s="10">
        <v>1</v>
      </c>
    </row>
    <row r="2738" spans="1:13">
      <c r="A2738" s="8">
        <v>42937</v>
      </c>
      <c r="B2738" s="9">
        <v>0.45555555555555555</v>
      </c>
      <c r="C2738" s="10" t="str">
        <f>"FES1162563990"</f>
        <v>FES1162563990</v>
      </c>
      <c r="D2738" s="10" t="s">
        <v>19</v>
      </c>
      <c r="E2738" s="10" t="s">
        <v>320</v>
      </c>
      <c r="F2738" s="10" t="str">
        <f>"2170580512 "</f>
        <v xml:space="preserve">2170580512 </v>
      </c>
      <c r="G2738" s="10" t="str">
        <f t="shared" si="121"/>
        <v>ON1</v>
      </c>
      <c r="H2738" s="10" t="s">
        <v>21</v>
      </c>
      <c r="I2738" s="10" t="s">
        <v>32</v>
      </c>
      <c r="J2738" s="10" t="str">
        <f>""</f>
        <v/>
      </c>
      <c r="K2738" s="10" t="str">
        <f>"PFES1162563990_0001"</f>
        <v>PFES1162563990_0001</v>
      </c>
      <c r="L2738" s="10">
        <v>1</v>
      </c>
      <c r="M2738" s="10">
        <v>1</v>
      </c>
    </row>
    <row r="2739" spans="1:13">
      <c r="A2739" s="8">
        <v>42937</v>
      </c>
      <c r="B2739" s="9">
        <v>0.4548611111111111</v>
      </c>
      <c r="C2739" s="10" t="str">
        <f>"FES1162564012"</f>
        <v>FES1162564012</v>
      </c>
      <c r="D2739" s="10" t="s">
        <v>19</v>
      </c>
      <c r="E2739" s="10" t="s">
        <v>33</v>
      </c>
      <c r="F2739" s="10" t="str">
        <f>"2170580543 "</f>
        <v xml:space="preserve">2170580543 </v>
      </c>
      <c r="G2739" s="10" t="str">
        <f t="shared" si="121"/>
        <v>ON1</v>
      </c>
      <c r="H2739" s="10" t="s">
        <v>21</v>
      </c>
      <c r="I2739" s="10" t="s">
        <v>34</v>
      </c>
      <c r="J2739" s="10" t="str">
        <f>""</f>
        <v/>
      </c>
      <c r="K2739" s="10" t="str">
        <f>"PFES1162564012_0001"</f>
        <v>PFES1162564012_0001</v>
      </c>
      <c r="L2739" s="10">
        <v>1</v>
      </c>
      <c r="M2739" s="10">
        <v>1</v>
      </c>
    </row>
    <row r="2740" spans="1:13">
      <c r="A2740" s="8">
        <v>42937</v>
      </c>
      <c r="B2740" s="9">
        <v>0.4548611111111111</v>
      </c>
      <c r="C2740" s="10" t="str">
        <f>"FES1162564023"</f>
        <v>FES1162564023</v>
      </c>
      <c r="D2740" s="10" t="s">
        <v>19</v>
      </c>
      <c r="E2740" s="10" t="s">
        <v>184</v>
      </c>
      <c r="F2740" s="10" t="str">
        <f>"2170579488 "</f>
        <v xml:space="preserve">2170579488 </v>
      </c>
      <c r="G2740" s="10" t="str">
        <f t="shared" si="121"/>
        <v>ON1</v>
      </c>
      <c r="H2740" s="10" t="s">
        <v>21</v>
      </c>
      <c r="I2740" s="10" t="s">
        <v>185</v>
      </c>
      <c r="J2740" s="10" t="str">
        <f>""</f>
        <v/>
      </c>
      <c r="K2740" s="10" t="str">
        <f>"PFES1162564023_0001"</f>
        <v>PFES1162564023_0001</v>
      </c>
      <c r="L2740" s="10">
        <v>1</v>
      </c>
      <c r="M2740" s="10">
        <v>1</v>
      </c>
    </row>
    <row r="2741" spans="1:13">
      <c r="A2741" s="8">
        <v>42937</v>
      </c>
      <c r="B2741" s="9">
        <v>0.45347222222222222</v>
      </c>
      <c r="C2741" s="10" t="str">
        <f>"FES1162564041"</f>
        <v>FES1162564041</v>
      </c>
      <c r="D2741" s="10" t="s">
        <v>19</v>
      </c>
      <c r="E2741" s="10" t="s">
        <v>326</v>
      </c>
      <c r="F2741" s="10" t="str">
        <f>"2170580578 "</f>
        <v xml:space="preserve">2170580578 </v>
      </c>
      <c r="G2741" s="10" t="str">
        <f t="shared" si="121"/>
        <v>ON1</v>
      </c>
      <c r="H2741" s="10" t="s">
        <v>21</v>
      </c>
      <c r="I2741" s="10" t="s">
        <v>327</v>
      </c>
      <c r="J2741" s="10" t="str">
        <f>""</f>
        <v/>
      </c>
      <c r="K2741" s="10" t="str">
        <f>"PFES1162564041_0001"</f>
        <v>PFES1162564041_0001</v>
      </c>
      <c r="L2741" s="10">
        <v>1</v>
      </c>
      <c r="M2741" s="10">
        <v>1</v>
      </c>
    </row>
    <row r="2742" spans="1:13">
      <c r="A2742" s="8">
        <v>42937</v>
      </c>
      <c r="B2742" s="9">
        <v>0.45347222222222222</v>
      </c>
      <c r="C2742" s="10" t="str">
        <f>"FES1162564034"</f>
        <v>FES1162564034</v>
      </c>
      <c r="D2742" s="10" t="s">
        <v>19</v>
      </c>
      <c r="E2742" s="10" t="s">
        <v>301</v>
      </c>
      <c r="F2742" s="10" t="str">
        <f>"2170580551 "</f>
        <v xml:space="preserve">2170580551 </v>
      </c>
      <c r="G2742" s="10" t="str">
        <f t="shared" si="121"/>
        <v>ON1</v>
      </c>
      <c r="H2742" s="10" t="s">
        <v>21</v>
      </c>
      <c r="I2742" s="10" t="s">
        <v>302</v>
      </c>
      <c r="J2742" s="10" t="str">
        <f>""</f>
        <v/>
      </c>
      <c r="K2742" s="10" t="str">
        <f>"PFES1162564034_0001"</f>
        <v>PFES1162564034_0001</v>
      </c>
      <c r="L2742" s="10">
        <v>1</v>
      </c>
      <c r="M2742" s="10">
        <v>1</v>
      </c>
    </row>
    <row r="2743" spans="1:13">
      <c r="A2743" s="8">
        <v>42937</v>
      </c>
      <c r="B2743" s="9">
        <v>0.45347222222222222</v>
      </c>
      <c r="C2743" s="10" t="str">
        <f>"FES1162564028"</f>
        <v>FES1162564028</v>
      </c>
      <c r="D2743" s="10" t="s">
        <v>19</v>
      </c>
      <c r="E2743" s="10" t="s">
        <v>20</v>
      </c>
      <c r="F2743" s="10" t="str">
        <f>"2170580560 "</f>
        <v xml:space="preserve">2170580560 </v>
      </c>
      <c r="G2743" s="10" t="str">
        <f t="shared" si="121"/>
        <v>ON1</v>
      </c>
      <c r="H2743" s="10" t="s">
        <v>21</v>
      </c>
      <c r="I2743" s="10" t="s">
        <v>22</v>
      </c>
      <c r="J2743" s="10" t="str">
        <f>""</f>
        <v/>
      </c>
      <c r="K2743" s="10" t="str">
        <f>"PFES1162564028_0001"</f>
        <v>PFES1162564028_0001</v>
      </c>
      <c r="L2743" s="10">
        <v>1</v>
      </c>
      <c r="M2743" s="10">
        <v>1</v>
      </c>
    </row>
    <row r="2744" spans="1:13">
      <c r="A2744" s="8">
        <v>42937</v>
      </c>
      <c r="B2744" s="9">
        <v>0.4201388888888889</v>
      </c>
      <c r="C2744" s="10" t="str">
        <f>"FES1162564021"</f>
        <v>FES1162564021</v>
      </c>
      <c r="D2744" s="10" t="s">
        <v>19</v>
      </c>
      <c r="E2744" s="10" t="s">
        <v>270</v>
      </c>
      <c r="F2744" s="10" t="str">
        <f>"2170580553 "</f>
        <v xml:space="preserve">2170580553 </v>
      </c>
      <c r="G2744" s="10" t="str">
        <f t="shared" si="121"/>
        <v>ON1</v>
      </c>
      <c r="H2744" s="10" t="s">
        <v>21</v>
      </c>
      <c r="I2744" s="10" t="s">
        <v>271</v>
      </c>
      <c r="J2744" s="10" t="str">
        <f>""</f>
        <v/>
      </c>
      <c r="K2744" s="10" t="str">
        <f>"PFES1162564021_0001"</f>
        <v>PFES1162564021_0001</v>
      </c>
      <c r="L2744" s="10">
        <v>1</v>
      </c>
      <c r="M2744" s="10">
        <v>1</v>
      </c>
    </row>
    <row r="2745" spans="1:13">
      <c r="A2745" s="8">
        <v>42937</v>
      </c>
      <c r="B2745" s="9">
        <v>0.41875000000000001</v>
      </c>
      <c r="C2745" s="10" t="str">
        <f>"FES1162563994"</f>
        <v>FES1162563994</v>
      </c>
      <c r="D2745" s="10" t="s">
        <v>19</v>
      </c>
      <c r="E2745" s="10" t="s">
        <v>99</v>
      </c>
      <c r="F2745" s="10" t="str">
        <f>"2170580520 "</f>
        <v xml:space="preserve">2170580520 </v>
      </c>
      <c r="G2745" s="10" t="str">
        <f t="shared" si="121"/>
        <v>ON1</v>
      </c>
      <c r="H2745" s="10" t="s">
        <v>21</v>
      </c>
      <c r="I2745" s="10" t="s">
        <v>100</v>
      </c>
      <c r="J2745" s="10" t="str">
        <f>""</f>
        <v/>
      </c>
      <c r="K2745" s="10" t="str">
        <f>"PFES1162563994_0001"</f>
        <v>PFES1162563994_0001</v>
      </c>
      <c r="L2745" s="10">
        <v>1</v>
      </c>
      <c r="M2745" s="10">
        <v>1</v>
      </c>
    </row>
    <row r="2746" spans="1:13">
      <c r="A2746" s="8">
        <v>42937</v>
      </c>
      <c r="B2746" s="9">
        <v>0.41805555555555557</v>
      </c>
      <c r="C2746" s="10" t="str">
        <f>"FES1162563698"</f>
        <v>FES1162563698</v>
      </c>
      <c r="D2746" s="10" t="s">
        <v>19</v>
      </c>
      <c r="E2746" s="10" t="s">
        <v>167</v>
      </c>
      <c r="F2746" s="10" t="str">
        <f>"2170576795 "</f>
        <v xml:space="preserve">2170576795 </v>
      </c>
      <c r="G2746" s="10" t="str">
        <f t="shared" si="121"/>
        <v>ON1</v>
      </c>
      <c r="H2746" s="10" t="s">
        <v>21</v>
      </c>
      <c r="I2746" s="10" t="s">
        <v>168</v>
      </c>
      <c r="J2746" s="10" t="str">
        <f>""</f>
        <v/>
      </c>
      <c r="K2746" s="10" t="str">
        <f>"PFES1162563698_0001"</f>
        <v>PFES1162563698_0001</v>
      </c>
      <c r="L2746" s="10">
        <v>1</v>
      </c>
      <c r="M2746" s="10">
        <v>2</v>
      </c>
    </row>
    <row r="2747" spans="1:13">
      <c r="A2747" s="8">
        <v>42937</v>
      </c>
      <c r="B2747" s="9">
        <v>0.4152777777777778</v>
      </c>
      <c r="C2747" s="10" t="str">
        <f>"FES1162563995"</f>
        <v>FES1162563995</v>
      </c>
      <c r="D2747" s="10" t="s">
        <v>19</v>
      </c>
      <c r="E2747" s="10" t="s">
        <v>666</v>
      </c>
      <c r="F2747" s="10" t="str">
        <f>"2170580523 "</f>
        <v xml:space="preserve">2170580523 </v>
      </c>
      <c r="G2747" s="10" t="str">
        <f t="shared" si="121"/>
        <v>ON1</v>
      </c>
      <c r="H2747" s="10" t="s">
        <v>21</v>
      </c>
      <c r="I2747" s="10" t="s">
        <v>628</v>
      </c>
      <c r="J2747" s="10" t="str">
        <f>""</f>
        <v/>
      </c>
      <c r="K2747" s="10" t="str">
        <f>"PFES1162563995_0001"</f>
        <v>PFES1162563995_0001</v>
      </c>
      <c r="L2747" s="10">
        <v>1</v>
      </c>
      <c r="M2747" s="10">
        <v>3</v>
      </c>
    </row>
    <row r="2748" spans="1:13">
      <c r="A2748" s="8">
        <v>42937</v>
      </c>
      <c r="B2748" s="9">
        <v>0.4152777777777778</v>
      </c>
      <c r="C2748" s="10" t="str">
        <f>"FES1162563970"</f>
        <v>FES1162563970</v>
      </c>
      <c r="D2748" s="10" t="s">
        <v>19</v>
      </c>
      <c r="E2748" s="10" t="s">
        <v>255</v>
      </c>
      <c r="F2748" s="10" t="str">
        <f>"2170577846 "</f>
        <v xml:space="preserve">2170577846 </v>
      </c>
      <c r="G2748" s="10" t="str">
        <f t="shared" si="121"/>
        <v>ON1</v>
      </c>
      <c r="H2748" s="10" t="s">
        <v>21</v>
      </c>
      <c r="I2748" s="10" t="s">
        <v>256</v>
      </c>
      <c r="J2748" s="10" t="str">
        <f>""</f>
        <v/>
      </c>
      <c r="K2748" s="10" t="str">
        <f>"PFES1162563970_0001"</f>
        <v>PFES1162563970_0001</v>
      </c>
      <c r="L2748" s="10">
        <v>1</v>
      </c>
      <c r="M2748" s="10">
        <v>1</v>
      </c>
    </row>
    <row r="2749" spans="1:13">
      <c r="A2749" s="8">
        <v>42937</v>
      </c>
      <c r="B2749" s="9">
        <v>0.4145833333333333</v>
      </c>
      <c r="C2749" s="10" t="str">
        <f>"FES1162563975"</f>
        <v>FES1162563975</v>
      </c>
      <c r="D2749" s="10" t="s">
        <v>19</v>
      </c>
      <c r="E2749" s="10" t="s">
        <v>268</v>
      </c>
      <c r="F2749" s="10" t="str">
        <f>"2170580505 "</f>
        <v xml:space="preserve">2170580505 </v>
      </c>
      <c r="G2749" s="10" t="str">
        <f t="shared" si="121"/>
        <v>ON1</v>
      </c>
      <c r="H2749" s="10" t="s">
        <v>21</v>
      </c>
      <c r="I2749" s="10" t="s">
        <v>185</v>
      </c>
      <c r="J2749" s="10" t="str">
        <f>""</f>
        <v/>
      </c>
      <c r="K2749" s="10" t="str">
        <f>"PFES1162563975_0001"</f>
        <v>PFES1162563975_0001</v>
      </c>
      <c r="L2749" s="10">
        <v>1</v>
      </c>
      <c r="M2749" s="10">
        <v>1</v>
      </c>
    </row>
    <row r="2750" spans="1:13">
      <c r="A2750" s="8">
        <v>42937</v>
      </c>
      <c r="B2750" s="9">
        <v>0.4145833333333333</v>
      </c>
      <c r="C2750" s="10" t="str">
        <f>"FES1162563982"</f>
        <v>FES1162563982</v>
      </c>
      <c r="D2750" s="10" t="s">
        <v>19</v>
      </c>
      <c r="E2750" s="10" t="s">
        <v>429</v>
      </c>
      <c r="F2750" s="10" t="str">
        <f>"2170578871 "</f>
        <v xml:space="preserve">2170578871 </v>
      </c>
      <c r="G2750" s="10" t="str">
        <f t="shared" si="121"/>
        <v>ON1</v>
      </c>
      <c r="H2750" s="10" t="s">
        <v>21</v>
      </c>
      <c r="I2750" s="10" t="s">
        <v>430</v>
      </c>
      <c r="J2750" s="10" t="str">
        <f>""</f>
        <v/>
      </c>
      <c r="K2750" s="10" t="str">
        <f>"PFES1162563982_0001"</f>
        <v>PFES1162563982_0001</v>
      </c>
      <c r="L2750" s="10">
        <v>1</v>
      </c>
      <c r="M2750" s="10">
        <v>1</v>
      </c>
    </row>
    <row r="2751" spans="1:13">
      <c r="A2751" s="8">
        <v>42937</v>
      </c>
      <c r="B2751" s="9">
        <v>0.41388888888888892</v>
      </c>
      <c r="C2751" s="10" t="str">
        <f>"FES1162564020"</f>
        <v>FES1162564020</v>
      </c>
      <c r="D2751" s="10" t="s">
        <v>19</v>
      </c>
      <c r="E2751" s="10" t="s">
        <v>641</v>
      </c>
      <c r="F2751" s="10" t="str">
        <f>"2170580552 "</f>
        <v xml:space="preserve">2170580552 </v>
      </c>
      <c r="G2751" s="10" t="str">
        <f t="shared" si="121"/>
        <v>ON1</v>
      </c>
      <c r="H2751" s="10" t="s">
        <v>21</v>
      </c>
      <c r="I2751" s="10" t="s">
        <v>887</v>
      </c>
      <c r="J2751" s="10" t="str">
        <f>""</f>
        <v/>
      </c>
      <c r="K2751" s="10" t="str">
        <f>"PFES1162564020_0001"</f>
        <v>PFES1162564020_0001</v>
      </c>
      <c r="L2751" s="10">
        <v>1</v>
      </c>
      <c r="M2751" s="10">
        <v>2</v>
      </c>
    </row>
    <row r="2752" spans="1:13">
      <c r="A2752" s="8">
        <v>42937</v>
      </c>
      <c r="B2752" s="9">
        <v>0.41388888888888892</v>
      </c>
      <c r="C2752" s="10" t="str">
        <f>"FES1162563986"</f>
        <v>FES1162563986</v>
      </c>
      <c r="D2752" s="10" t="s">
        <v>19</v>
      </c>
      <c r="E2752" s="10" t="s">
        <v>233</v>
      </c>
      <c r="F2752" s="10" t="str">
        <f>"2170580178 "</f>
        <v xml:space="preserve">2170580178 </v>
      </c>
      <c r="G2752" s="10" t="str">
        <f t="shared" si="121"/>
        <v>ON1</v>
      </c>
      <c r="H2752" s="10" t="s">
        <v>21</v>
      </c>
      <c r="I2752" s="10" t="s">
        <v>234</v>
      </c>
      <c r="J2752" s="10" t="str">
        <f>""</f>
        <v/>
      </c>
      <c r="K2752" s="10" t="str">
        <f>"PFES1162563986_0001"</f>
        <v>PFES1162563986_0001</v>
      </c>
      <c r="L2752" s="10">
        <v>1</v>
      </c>
      <c r="M2752" s="10">
        <v>1</v>
      </c>
    </row>
    <row r="2753" spans="1:13">
      <c r="A2753" s="8">
        <v>42937</v>
      </c>
      <c r="B2753" s="9">
        <v>0.41388888888888892</v>
      </c>
      <c r="C2753" s="10" t="str">
        <f>"FES1162563971"</f>
        <v>FES1162563971</v>
      </c>
      <c r="D2753" s="10" t="s">
        <v>19</v>
      </c>
      <c r="E2753" s="10" t="s">
        <v>255</v>
      </c>
      <c r="F2753" s="10" t="str">
        <f>"2170579493 "</f>
        <v xml:space="preserve">2170579493 </v>
      </c>
      <c r="G2753" s="10" t="str">
        <f t="shared" si="121"/>
        <v>ON1</v>
      </c>
      <c r="H2753" s="10" t="s">
        <v>21</v>
      </c>
      <c r="I2753" s="10" t="s">
        <v>256</v>
      </c>
      <c r="J2753" s="10" t="str">
        <f>""</f>
        <v/>
      </c>
      <c r="K2753" s="10" t="str">
        <f>"PFES1162563971_0001"</f>
        <v>PFES1162563971_0001</v>
      </c>
      <c r="L2753" s="10">
        <v>1</v>
      </c>
      <c r="M2753" s="10">
        <v>5</v>
      </c>
    </row>
    <row r="2754" spans="1:13">
      <c r="A2754" s="8">
        <v>42937</v>
      </c>
      <c r="B2754" s="9">
        <v>0.41250000000000003</v>
      </c>
      <c r="C2754" s="10" t="str">
        <f>"FES1162563969"</f>
        <v>FES1162563969</v>
      </c>
      <c r="D2754" s="10" t="s">
        <v>19</v>
      </c>
      <c r="E2754" s="10" t="s">
        <v>535</v>
      </c>
      <c r="F2754" s="10" t="str">
        <f>"2170580503 "</f>
        <v xml:space="preserve">2170580503 </v>
      </c>
      <c r="G2754" s="10" t="str">
        <f t="shared" si="121"/>
        <v>ON1</v>
      </c>
      <c r="H2754" s="10" t="s">
        <v>21</v>
      </c>
      <c r="I2754" s="10" t="s">
        <v>240</v>
      </c>
      <c r="J2754" s="10" t="str">
        <f>""</f>
        <v/>
      </c>
      <c r="K2754" s="10" t="str">
        <f>"PFES1162563969_0001"</f>
        <v>PFES1162563969_0001</v>
      </c>
      <c r="L2754" s="10">
        <v>1</v>
      </c>
      <c r="M2754" s="10">
        <v>7</v>
      </c>
    </row>
    <row r="2755" spans="1:13">
      <c r="A2755" s="8">
        <v>42937</v>
      </c>
      <c r="B2755" s="9">
        <v>0.41180555555555554</v>
      </c>
      <c r="C2755" s="10" t="str">
        <f>"FES1162563998"</f>
        <v>FES1162563998</v>
      </c>
      <c r="D2755" s="10" t="s">
        <v>19</v>
      </c>
      <c r="E2755" s="10" t="s">
        <v>436</v>
      </c>
      <c r="F2755" s="10" t="str">
        <f>"2170580524 "</f>
        <v xml:space="preserve">2170580524 </v>
      </c>
      <c r="G2755" s="10" t="str">
        <f t="shared" si="121"/>
        <v>ON1</v>
      </c>
      <c r="H2755" s="10" t="s">
        <v>21</v>
      </c>
      <c r="I2755" s="10" t="s">
        <v>252</v>
      </c>
      <c r="J2755" s="10" t="str">
        <f>""</f>
        <v/>
      </c>
      <c r="K2755" s="10" t="str">
        <f>"PFES1162563998_0001"</f>
        <v>PFES1162563998_0001</v>
      </c>
      <c r="L2755" s="10">
        <v>1</v>
      </c>
      <c r="M2755" s="10">
        <v>5</v>
      </c>
    </row>
    <row r="2756" spans="1:13">
      <c r="A2756" s="8">
        <v>42937</v>
      </c>
      <c r="B2756" s="9">
        <v>0.41180555555555554</v>
      </c>
      <c r="C2756" s="10" t="str">
        <f>"FES1162564004"</f>
        <v>FES1162564004</v>
      </c>
      <c r="D2756" s="10" t="s">
        <v>19</v>
      </c>
      <c r="E2756" s="10" t="s">
        <v>190</v>
      </c>
      <c r="F2756" s="10" t="str">
        <f>"2170580531 "</f>
        <v xml:space="preserve">2170580531 </v>
      </c>
      <c r="G2756" s="10" t="str">
        <f t="shared" si="121"/>
        <v>ON1</v>
      </c>
      <c r="H2756" s="10" t="s">
        <v>21</v>
      </c>
      <c r="I2756" s="10" t="s">
        <v>52</v>
      </c>
      <c r="J2756" s="10" t="str">
        <f>""</f>
        <v/>
      </c>
      <c r="K2756" s="10" t="str">
        <f>"PFES1162564004_0001"</f>
        <v>PFES1162564004_0001</v>
      </c>
      <c r="L2756" s="10">
        <v>1</v>
      </c>
      <c r="M2756" s="10">
        <v>1</v>
      </c>
    </row>
    <row r="2757" spans="1:13">
      <c r="A2757" s="8">
        <v>42937</v>
      </c>
      <c r="B2757" s="9">
        <v>0.41111111111111115</v>
      </c>
      <c r="C2757" s="10" t="str">
        <f>"FES1162563973"</f>
        <v>FES1162563973</v>
      </c>
      <c r="D2757" s="10" t="s">
        <v>19</v>
      </c>
      <c r="E2757" s="10" t="s">
        <v>1059</v>
      </c>
      <c r="F2757" s="10" t="str">
        <f>"2170580242 "</f>
        <v xml:space="preserve">2170580242 </v>
      </c>
      <c r="G2757" s="10" t="str">
        <f t="shared" si="121"/>
        <v>ON1</v>
      </c>
      <c r="H2757" s="10" t="s">
        <v>21</v>
      </c>
      <c r="I2757" s="10" t="s">
        <v>1060</v>
      </c>
      <c r="J2757" s="10" t="str">
        <f>""</f>
        <v/>
      </c>
      <c r="K2757" s="10" t="str">
        <f>"PFES1162563973_0001"</f>
        <v>PFES1162563973_0001</v>
      </c>
      <c r="L2757" s="10">
        <v>1</v>
      </c>
      <c r="M2757" s="10">
        <v>2</v>
      </c>
    </row>
    <row r="2758" spans="1:13">
      <c r="A2758" s="8">
        <v>42937</v>
      </c>
      <c r="B2758" s="9">
        <v>0.41041666666666665</v>
      </c>
      <c r="C2758" s="10" t="str">
        <f>"FES1162564005"</f>
        <v>FES1162564005</v>
      </c>
      <c r="D2758" s="10" t="s">
        <v>19</v>
      </c>
      <c r="E2758" s="10" t="s">
        <v>707</v>
      </c>
      <c r="F2758" s="10" t="str">
        <f>"2170580532 "</f>
        <v xml:space="preserve">2170580532 </v>
      </c>
      <c r="G2758" s="10" t="str">
        <f t="shared" si="121"/>
        <v>ON1</v>
      </c>
      <c r="H2758" s="10" t="s">
        <v>21</v>
      </c>
      <c r="I2758" s="10" t="s">
        <v>402</v>
      </c>
      <c r="J2758" s="10" t="str">
        <f>""</f>
        <v/>
      </c>
      <c r="K2758" s="10" t="str">
        <f>"PFES1162564005_0001"</f>
        <v>PFES1162564005_0001</v>
      </c>
      <c r="L2758" s="10">
        <v>1</v>
      </c>
      <c r="M2758" s="10">
        <v>16</v>
      </c>
    </row>
    <row r="2759" spans="1:13">
      <c r="A2759" s="8">
        <v>42937</v>
      </c>
      <c r="B2759" s="9">
        <v>0.40972222222222227</v>
      </c>
      <c r="C2759" s="10" t="str">
        <f>"FES1162563989"</f>
        <v>FES1162563989</v>
      </c>
      <c r="D2759" s="10" t="s">
        <v>19</v>
      </c>
      <c r="E2759" s="10" t="s">
        <v>549</v>
      </c>
      <c r="F2759" s="10" t="str">
        <f>"2170580510 "</f>
        <v xml:space="preserve">2170580510 </v>
      </c>
      <c r="G2759" s="10" t="str">
        <f t="shared" si="121"/>
        <v>ON1</v>
      </c>
      <c r="H2759" s="10" t="s">
        <v>21</v>
      </c>
      <c r="I2759" s="10" t="s">
        <v>224</v>
      </c>
      <c r="J2759" s="10" t="str">
        <f>""</f>
        <v/>
      </c>
      <c r="K2759" s="10" t="str">
        <f>"PFES1162563989_0001"</f>
        <v>PFES1162563989_0001</v>
      </c>
      <c r="L2759" s="10">
        <v>1</v>
      </c>
      <c r="M2759" s="10">
        <v>2</v>
      </c>
    </row>
    <row r="2760" spans="1:13">
      <c r="A2760" s="8">
        <v>42937</v>
      </c>
      <c r="B2760" s="9">
        <v>0.40902777777777777</v>
      </c>
      <c r="C2760" s="10" t="str">
        <f>"FES1162563983"</f>
        <v>FES1162563983</v>
      </c>
      <c r="D2760" s="10" t="s">
        <v>19</v>
      </c>
      <c r="E2760" s="10" t="s">
        <v>154</v>
      </c>
      <c r="F2760" s="10" t="str">
        <f>"2170579038 "</f>
        <v xml:space="preserve">2170579038 </v>
      </c>
      <c r="G2760" s="10" t="str">
        <f t="shared" si="121"/>
        <v>ON1</v>
      </c>
      <c r="H2760" s="10" t="s">
        <v>21</v>
      </c>
      <c r="I2760" s="10" t="s">
        <v>130</v>
      </c>
      <c r="J2760" s="10" t="str">
        <f>""</f>
        <v/>
      </c>
      <c r="K2760" s="10" t="str">
        <f>"PFES1162563983_0001"</f>
        <v>PFES1162563983_0001</v>
      </c>
      <c r="L2760" s="10">
        <v>1</v>
      </c>
      <c r="M2760" s="10">
        <v>2</v>
      </c>
    </row>
    <row r="2761" spans="1:13">
      <c r="A2761" s="8">
        <v>42937</v>
      </c>
      <c r="B2761" s="9">
        <v>0.40833333333333338</v>
      </c>
      <c r="C2761" s="10" t="str">
        <f>"FES1162563977"</f>
        <v>FES1162563977</v>
      </c>
      <c r="D2761" s="10" t="s">
        <v>19</v>
      </c>
      <c r="E2761" s="10" t="s">
        <v>39</v>
      </c>
      <c r="F2761" s="10" t="str">
        <f>"2170580507 "</f>
        <v xml:space="preserve">2170580507 </v>
      </c>
      <c r="G2761" s="10" t="str">
        <f t="shared" si="121"/>
        <v>ON1</v>
      </c>
      <c r="H2761" s="10" t="s">
        <v>21</v>
      </c>
      <c r="I2761" s="10" t="s">
        <v>40</v>
      </c>
      <c r="J2761" s="10" t="str">
        <f>""</f>
        <v/>
      </c>
      <c r="K2761" s="10" t="str">
        <f>"PFES1162563977_0001"</f>
        <v>PFES1162563977_0001</v>
      </c>
      <c r="L2761" s="10">
        <v>1</v>
      </c>
      <c r="M2761" s="10">
        <v>1</v>
      </c>
    </row>
    <row r="2762" spans="1:13">
      <c r="A2762" s="8">
        <v>42937</v>
      </c>
      <c r="B2762" s="9">
        <v>0.4069444444444445</v>
      </c>
      <c r="C2762" s="10" t="str">
        <f>"FES1162563972"</f>
        <v>FES1162563972</v>
      </c>
      <c r="D2762" s="10" t="s">
        <v>19</v>
      </c>
      <c r="E2762" s="10" t="s">
        <v>164</v>
      </c>
      <c r="F2762" s="10" t="str">
        <f>"2170580158 "</f>
        <v xml:space="preserve">2170580158 </v>
      </c>
      <c r="G2762" s="10" t="str">
        <f t="shared" si="121"/>
        <v>ON1</v>
      </c>
      <c r="H2762" s="10" t="s">
        <v>21</v>
      </c>
      <c r="I2762" s="10" t="s">
        <v>147</v>
      </c>
      <c r="J2762" s="10" t="str">
        <f>""</f>
        <v/>
      </c>
      <c r="K2762" s="10" t="str">
        <f>"PFES1162563972_0001"</f>
        <v>PFES1162563972_0001</v>
      </c>
      <c r="L2762" s="10">
        <v>1</v>
      </c>
      <c r="M2762" s="10">
        <v>1</v>
      </c>
    </row>
    <row r="2763" spans="1:13">
      <c r="A2763" s="8">
        <v>42937</v>
      </c>
      <c r="B2763" s="9">
        <v>0.40625</v>
      </c>
      <c r="C2763" s="10" t="str">
        <f>"FES1162563985"</f>
        <v>FES1162563985</v>
      </c>
      <c r="D2763" s="10" t="s">
        <v>19</v>
      </c>
      <c r="E2763" s="10" t="s">
        <v>343</v>
      </c>
      <c r="F2763" s="10" t="str">
        <f>"2170580076 "</f>
        <v xml:space="preserve">2170580076 </v>
      </c>
      <c r="G2763" s="10" t="str">
        <f t="shared" si="121"/>
        <v>ON1</v>
      </c>
      <c r="H2763" s="10" t="s">
        <v>21</v>
      </c>
      <c r="I2763" s="10" t="s">
        <v>58</v>
      </c>
      <c r="J2763" s="10" t="str">
        <f>""</f>
        <v/>
      </c>
      <c r="K2763" s="10" t="str">
        <f>"PFES1162563985_0001"</f>
        <v>PFES1162563985_0001</v>
      </c>
      <c r="L2763" s="10">
        <v>1</v>
      </c>
      <c r="M2763" s="10">
        <v>1</v>
      </c>
    </row>
    <row r="2764" spans="1:13">
      <c r="A2764" s="8">
        <v>42937</v>
      </c>
      <c r="B2764" s="9">
        <v>0.4055555555555555</v>
      </c>
      <c r="C2764" s="10" t="str">
        <f>"FES1162563991"</f>
        <v>FES1162563991</v>
      </c>
      <c r="D2764" s="10" t="s">
        <v>19</v>
      </c>
      <c r="E2764" s="10" t="s">
        <v>625</v>
      </c>
      <c r="F2764" s="10" t="str">
        <f>"2170580514 "</f>
        <v xml:space="preserve">2170580514 </v>
      </c>
      <c r="G2764" s="10" t="str">
        <f t="shared" si="121"/>
        <v>ON1</v>
      </c>
      <c r="H2764" s="10" t="s">
        <v>21</v>
      </c>
      <c r="I2764" s="10" t="s">
        <v>330</v>
      </c>
      <c r="J2764" s="10" t="str">
        <f>""</f>
        <v/>
      </c>
      <c r="K2764" s="10" t="str">
        <f>"PFES1162563991_0001"</f>
        <v>PFES1162563991_0001</v>
      </c>
      <c r="L2764" s="10">
        <v>1</v>
      </c>
      <c r="M2764" s="10">
        <v>1</v>
      </c>
    </row>
    <row r="2765" spans="1:13">
      <c r="A2765" s="8">
        <v>42937</v>
      </c>
      <c r="B2765" s="9">
        <v>0.4055555555555555</v>
      </c>
      <c r="C2765" s="10" t="str">
        <f>"FES1162563981"</f>
        <v>FES1162563981</v>
      </c>
      <c r="D2765" s="10" t="s">
        <v>19</v>
      </c>
      <c r="E2765" s="10" t="s">
        <v>333</v>
      </c>
      <c r="F2765" s="10" t="str">
        <f>"2170578285 "</f>
        <v xml:space="preserve">2170578285 </v>
      </c>
      <c r="G2765" s="10" t="str">
        <f t="shared" si="121"/>
        <v>ON1</v>
      </c>
      <c r="H2765" s="10" t="s">
        <v>21</v>
      </c>
      <c r="I2765" s="10" t="s">
        <v>334</v>
      </c>
      <c r="J2765" s="10" t="str">
        <f>""</f>
        <v/>
      </c>
      <c r="K2765" s="10" t="str">
        <f>"PFES1162563981_0001"</f>
        <v>PFES1162563981_0001</v>
      </c>
      <c r="L2765" s="10">
        <v>1</v>
      </c>
      <c r="M2765" s="10">
        <v>1</v>
      </c>
    </row>
    <row r="2766" spans="1:13">
      <c r="A2766" s="8">
        <v>42937</v>
      </c>
      <c r="B2766" s="9">
        <v>0.3979166666666667</v>
      </c>
      <c r="C2766" s="10" t="str">
        <f>"FES1162563987"</f>
        <v>FES1162563987</v>
      </c>
      <c r="D2766" s="10" t="s">
        <v>19</v>
      </c>
      <c r="E2766" s="10" t="s">
        <v>1061</v>
      </c>
      <c r="F2766" s="10" t="str">
        <f>"2170580264 "</f>
        <v xml:space="preserve">2170580264 </v>
      </c>
      <c r="G2766" s="10" t="str">
        <f t="shared" si="121"/>
        <v>ON1</v>
      </c>
      <c r="H2766" s="10" t="s">
        <v>21</v>
      </c>
      <c r="I2766" s="10" t="s">
        <v>240</v>
      </c>
      <c r="J2766" s="10" t="str">
        <f>""</f>
        <v/>
      </c>
      <c r="K2766" s="10" t="str">
        <f>"PFES1162563987_0001"</f>
        <v>PFES1162563987_0001</v>
      </c>
      <c r="L2766" s="10">
        <v>1</v>
      </c>
      <c r="M2766" s="10">
        <v>1</v>
      </c>
    </row>
    <row r="2767" spans="1:13">
      <c r="A2767" s="8">
        <v>42937</v>
      </c>
      <c r="B2767" s="9">
        <v>0.3972222222222222</v>
      </c>
      <c r="C2767" s="10" t="str">
        <f>"FES1162563999"</f>
        <v>FES1162563999</v>
      </c>
      <c r="D2767" s="10" t="s">
        <v>19</v>
      </c>
      <c r="E2767" s="10" t="s">
        <v>1038</v>
      </c>
      <c r="F2767" s="10" t="str">
        <f>"2170580525 "</f>
        <v xml:space="preserve">2170580525 </v>
      </c>
      <c r="G2767" s="10" t="str">
        <f t="shared" si="121"/>
        <v>ON1</v>
      </c>
      <c r="H2767" s="10" t="s">
        <v>21</v>
      </c>
      <c r="I2767" s="10" t="s">
        <v>500</v>
      </c>
      <c r="J2767" s="10" t="str">
        <f>""</f>
        <v/>
      </c>
      <c r="K2767" s="10" t="str">
        <f>"PFES1162563999_0001"</f>
        <v>PFES1162563999_0001</v>
      </c>
      <c r="L2767" s="10">
        <v>1</v>
      </c>
      <c r="M2767" s="10">
        <v>1</v>
      </c>
    </row>
    <row r="2768" spans="1:13">
      <c r="A2768" s="8">
        <v>42937</v>
      </c>
      <c r="B2768" s="9">
        <v>0.3972222222222222</v>
      </c>
      <c r="C2768" s="10" t="str">
        <f>"FES1162564014"</f>
        <v>FES1162564014</v>
      </c>
      <c r="D2768" s="10" t="s">
        <v>19</v>
      </c>
      <c r="E2768" s="10" t="s">
        <v>1062</v>
      </c>
      <c r="F2768" s="10" t="str">
        <f>"21705780454 "</f>
        <v xml:space="preserve">21705780454 </v>
      </c>
      <c r="G2768" s="10" t="str">
        <f t="shared" si="121"/>
        <v>ON1</v>
      </c>
      <c r="H2768" s="10" t="s">
        <v>21</v>
      </c>
      <c r="I2768" s="10" t="s">
        <v>40</v>
      </c>
      <c r="J2768" s="10" t="str">
        <f>""</f>
        <v/>
      </c>
      <c r="K2768" s="10" t="str">
        <f>"PFES1162564014_0001"</f>
        <v>PFES1162564014_0001</v>
      </c>
      <c r="L2768" s="10">
        <v>1</v>
      </c>
      <c r="M2768" s="10">
        <v>1</v>
      </c>
    </row>
    <row r="2769" spans="1:13">
      <c r="A2769" s="8">
        <v>42937</v>
      </c>
      <c r="B2769" s="9">
        <v>0.39652777777777781</v>
      </c>
      <c r="C2769" s="10" t="str">
        <f>"FES1162564011"</f>
        <v>FES1162564011</v>
      </c>
      <c r="D2769" s="10" t="s">
        <v>19</v>
      </c>
      <c r="E2769" s="10" t="s">
        <v>304</v>
      </c>
      <c r="F2769" s="10" t="str">
        <f>"21705780533 "</f>
        <v xml:space="preserve">21705780533 </v>
      </c>
      <c r="G2769" s="10" t="str">
        <f t="shared" si="121"/>
        <v>ON1</v>
      </c>
      <c r="H2769" s="10" t="s">
        <v>21</v>
      </c>
      <c r="I2769" s="10" t="s">
        <v>56</v>
      </c>
      <c r="J2769" s="10" t="str">
        <f>""</f>
        <v/>
      </c>
      <c r="K2769" s="10" t="str">
        <f>"PFES1162564011_0001"</f>
        <v>PFES1162564011_0001</v>
      </c>
      <c r="L2769" s="10">
        <v>1</v>
      </c>
      <c r="M2769" s="10">
        <v>1</v>
      </c>
    </row>
    <row r="2770" spans="1:13">
      <c r="A2770" s="8">
        <v>42937</v>
      </c>
      <c r="B2770" s="9">
        <v>0.39513888888888887</v>
      </c>
      <c r="C2770" s="10" t="str">
        <f>"FES1162563978"</f>
        <v>FES1162563978</v>
      </c>
      <c r="D2770" s="10" t="s">
        <v>19</v>
      </c>
      <c r="E2770" s="10" t="s">
        <v>429</v>
      </c>
      <c r="F2770" s="10" t="str">
        <f>"21705780508 "</f>
        <v xml:space="preserve">21705780508 </v>
      </c>
      <c r="G2770" s="10" t="str">
        <f t="shared" si="121"/>
        <v>ON1</v>
      </c>
      <c r="H2770" s="10" t="s">
        <v>21</v>
      </c>
      <c r="I2770" s="10" t="s">
        <v>430</v>
      </c>
      <c r="J2770" s="10" t="str">
        <f>""</f>
        <v/>
      </c>
      <c r="K2770" s="10" t="str">
        <f>"PFES1162563978_0001"</f>
        <v>PFES1162563978_0001</v>
      </c>
      <c r="L2770" s="10">
        <v>1</v>
      </c>
      <c r="M2770" s="10">
        <v>1</v>
      </c>
    </row>
    <row r="2771" spans="1:13">
      <c r="A2771" s="8">
        <v>42940</v>
      </c>
      <c r="B2771" s="9">
        <v>0.61875000000000002</v>
      </c>
      <c r="C2771" s="10" t="str">
        <f>"FES1162564305"</f>
        <v>FES1162564305</v>
      </c>
      <c r="D2771" s="10" t="s">
        <v>19</v>
      </c>
      <c r="E2771" s="10" t="s">
        <v>1063</v>
      </c>
      <c r="F2771" s="10" t="str">
        <f>"2170580785 "</f>
        <v xml:space="preserve">2170580785 </v>
      </c>
      <c r="G2771" s="10" t="str">
        <f>"DBC"</f>
        <v>DBC</v>
      </c>
      <c r="H2771" s="10" t="s">
        <v>21</v>
      </c>
      <c r="I2771" s="10" t="s">
        <v>443</v>
      </c>
      <c r="J2771" s="10" t="str">
        <f>""</f>
        <v/>
      </c>
      <c r="K2771" s="10" t="str">
        <f>"PFES1162564305_0001"</f>
        <v>PFES1162564305_0001</v>
      </c>
      <c r="L2771" s="10">
        <v>5</v>
      </c>
      <c r="M2771" s="10">
        <v>41</v>
      </c>
    </row>
    <row r="2772" spans="1:13">
      <c r="A2772" s="8">
        <v>42940</v>
      </c>
      <c r="B2772" s="9">
        <v>0.61875000000000002</v>
      </c>
      <c r="C2772" s="10" t="str">
        <f>"FES1162564305"</f>
        <v>FES1162564305</v>
      </c>
      <c r="D2772" s="10" t="s">
        <v>19</v>
      </c>
      <c r="E2772" s="10" t="s">
        <v>1063</v>
      </c>
      <c r="F2772" s="10" t="str">
        <f>"2170580785 "</f>
        <v xml:space="preserve">2170580785 </v>
      </c>
      <c r="G2772" s="10" t="str">
        <f>"DBC"</f>
        <v>DBC</v>
      </c>
      <c r="H2772" s="10" t="s">
        <v>21</v>
      </c>
      <c r="I2772" s="10" t="s">
        <v>443</v>
      </c>
      <c r="J2772" s="10"/>
      <c r="K2772" s="10" t="str">
        <f>"PFES1162564305_0002"</f>
        <v>PFES1162564305_0002</v>
      </c>
      <c r="L2772" s="10">
        <v>5</v>
      </c>
      <c r="M2772" s="10">
        <v>41</v>
      </c>
    </row>
    <row r="2773" spans="1:13">
      <c r="A2773" s="8">
        <v>42940</v>
      </c>
      <c r="B2773" s="9">
        <v>0.61875000000000002</v>
      </c>
      <c r="C2773" s="10" t="str">
        <f>"FES1162564305"</f>
        <v>FES1162564305</v>
      </c>
      <c r="D2773" s="10" t="s">
        <v>19</v>
      </c>
      <c r="E2773" s="10" t="s">
        <v>1063</v>
      </c>
      <c r="F2773" s="10" t="str">
        <f t="shared" ref="F2773:F2775" si="122">"2170580785 "</f>
        <v xml:space="preserve">2170580785 </v>
      </c>
      <c r="G2773" s="10" t="str">
        <f t="shared" ref="G2773:G2775" si="123">"DBC"</f>
        <v>DBC</v>
      </c>
      <c r="H2773" s="10" t="s">
        <v>21</v>
      </c>
      <c r="I2773" s="10" t="s">
        <v>443</v>
      </c>
      <c r="J2773" s="10"/>
      <c r="K2773" s="10" t="str">
        <f>"PFES1162564305_0003"</f>
        <v>PFES1162564305_0003</v>
      </c>
      <c r="L2773" s="10">
        <v>5</v>
      </c>
      <c r="M2773" s="10">
        <v>41</v>
      </c>
    </row>
    <row r="2774" spans="1:13">
      <c r="A2774" s="8">
        <v>42940</v>
      </c>
      <c r="B2774" s="9">
        <v>0.61875000000000002</v>
      </c>
      <c r="C2774" s="10" t="str">
        <f>"FES1162564305"</f>
        <v>FES1162564305</v>
      </c>
      <c r="D2774" s="10" t="s">
        <v>19</v>
      </c>
      <c r="E2774" s="10" t="s">
        <v>1063</v>
      </c>
      <c r="F2774" s="10" t="str">
        <f t="shared" si="122"/>
        <v xml:space="preserve">2170580785 </v>
      </c>
      <c r="G2774" s="10" t="str">
        <f t="shared" si="123"/>
        <v>DBC</v>
      </c>
      <c r="H2774" s="10" t="s">
        <v>21</v>
      </c>
      <c r="I2774" s="10" t="s">
        <v>443</v>
      </c>
      <c r="J2774" s="10"/>
      <c r="K2774" s="10" t="str">
        <f>"PFES1162564305_0004"</f>
        <v>PFES1162564305_0004</v>
      </c>
      <c r="L2774" s="10">
        <v>5</v>
      </c>
      <c r="M2774" s="10">
        <v>41</v>
      </c>
    </row>
    <row r="2775" spans="1:13">
      <c r="A2775" s="8">
        <v>42940</v>
      </c>
      <c r="B2775" s="9">
        <v>0.61875000000000002</v>
      </c>
      <c r="C2775" s="10" t="str">
        <f>"FES1162564305"</f>
        <v>FES1162564305</v>
      </c>
      <c r="D2775" s="10" t="s">
        <v>19</v>
      </c>
      <c r="E2775" s="10" t="s">
        <v>1063</v>
      </c>
      <c r="F2775" s="10" t="str">
        <f t="shared" si="122"/>
        <v xml:space="preserve">2170580785 </v>
      </c>
      <c r="G2775" s="10" t="str">
        <f t="shared" si="123"/>
        <v>DBC</v>
      </c>
      <c r="H2775" s="10" t="s">
        <v>21</v>
      </c>
      <c r="I2775" s="10" t="s">
        <v>443</v>
      </c>
      <c r="J2775" s="10"/>
      <c r="K2775" s="10" t="str">
        <f>"PFES1162564305_0005"</f>
        <v>PFES1162564305_0005</v>
      </c>
      <c r="L2775" s="10">
        <v>5</v>
      </c>
      <c r="M2775" s="10">
        <v>41</v>
      </c>
    </row>
    <row r="2776" spans="1:13">
      <c r="A2776" s="8">
        <v>42940</v>
      </c>
      <c r="B2776" s="9">
        <v>0.61736111111111114</v>
      </c>
      <c r="C2776" s="10" t="str">
        <f>"FES1162564338"</f>
        <v>FES1162564338</v>
      </c>
      <c r="D2776" s="10" t="s">
        <v>19</v>
      </c>
      <c r="E2776" s="10" t="s">
        <v>989</v>
      </c>
      <c r="F2776" s="10" t="str">
        <f>"2170580832 "</f>
        <v xml:space="preserve">2170580832 </v>
      </c>
      <c r="G2776" s="10" t="str">
        <f t="shared" ref="G2776:G2786" si="124">"ON1"</f>
        <v>ON1</v>
      </c>
      <c r="H2776" s="10" t="s">
        <v>21</v>
      </c>
      <c r="I2776" s="10" t="s">
        <v>990</v>
      </c>
      <c r="J2776" s="10" t="str">
        <f>""</f>
        <v/>
      </c>
      <c r="K2776" s="10" t="str">
        <f>"PFES1162564338_0001"</f>
        <v>PFES1162564338_0001</v>
      </c>
      <c r="L2776" s="10">
        <v>1</v>
      </c>
      <c r="M2776" s="10">
        <v>2</v>
      </c>
    </row>
    <row r="2777" spans="1:13">
      <c r="A2777" s="8">
        <v>42940</v>
      </c>
      <c r="B2777" s="9">
        <v>0.61736111111111114</v>
      </c>
      <c r="C2777" s="10" t="str">
        <f>"FES1162564240"</f>
        <v>FES1162564240</v>
      </c>
      <c r="D2777" s="10" t="s">
        <v>19</v>
      </c>
      <c r="E2777" s="10" t="s">
        <v>288</v>
      </c>
      <c r="F2777" s="10" t="str">
        <f>"2170580513 "</f>
        <v xml:space="preserve">2170580513 </v>
      </c>
      <c r="G2777" s="10" t="str">
        <f t="shared" si="124"/>
        <v>ON1</v>
      </c>
      <c r="H2777" s="10" t="s">
        <v>21</v>
      </c>
      <c r="I2777" s="10" t="s">
        <v>177</v>
      </c>
      <c r="J2777" s="10" t="str">
        <f>""</f>
        <v/>
      </c>
      <c r="K2777" s="10" t="str">
        <f>"PFES1162564240_0001"</f>
        <v>PFES1162564240_0001</v>
      </c>
      <c r="L2777" s="10">
        <v>1</v>
      </c>
      <c r="M2777" s="10">
        <v>4</v>
      </c>
    </row>
    <row r="2778" spans="1:13">
      <c r="A2778" s="8">
        <v>42940</v>
      </c>
      <c r="B2778" s="9">
        <v>0.6166666666666667</v>
      </c>
      <c r="C2778" s="10" t="str">
        <f>"FES1162564329"</f>
        <v>FES1162564329</v>
      </c>
      <c r="D2778" s="10" t="s">
        <v>19</v>
      </c>
      <c r="E2778" s="10" t="s">
        <v>1064</v>
      </c>
      <c r="F2778" s="10" t="str">
        <f>"2170580814 "</f>
        <v xml:space="preserve">2170580814 </v>
      </c>
      <c r="G2778" s="10" t="str">
        <f t="shared" si="124"/>
        <v>ON1</v>
      </c>
      <c r="H2778" s="10" t="s">
        <v>21</v>
      </c>
      <c r="I2778" s="10" t="s">
        <v>248</v>
      </c>
      <c r="J2778" s="10" t="str">
        <f>""</f>
        <v/>
      </c>
      <c r="K2778" s="10" t="str">
        <f>"PFES1162564329_0001"</f>
        <v>PFES1162564329_0001</v>
      </c>
      <c r="L2778" s="10">
        <v>1</v>
      </c>
      <c r="M2778" s="10">
        <v>5</v>
      </c>
    </row>
    <row r="2779" spans="1:13">
      <c r="A2779" s="8">
        <v>42940</v>
      </c>
      <c r="B2779" s="9">
        <v>0.61319444444444449</v>
      </c>
      <c r="C2779" s="10" t="str">
        <f>"FES1162564401"</f>
        <v>FES1162564401</v>
      </c>
      <c r="D2779" s="10" t="s">
        <v>19</v>
      </c>
      <c r="E2779" s="10" t="s">
        <v>535</v>
      </c>
      <c r="F2779" s="10" t="str">
        <f>"2170580934 "</f>
        <v xml:space="preserve">2170580934 </v>
      </c>
      <c r="G2779" s="10" t="str">
        <f t="shared" si="124"/>
        <v>ON1</v>
      </c>
      <c r="H2779" s="10" t="s">
        <v>21</v>
      </c>
      <c r="I2779" s="10" t="s">
        <v>240</v>
      </c>
      <c r="J2779" s="10" t="str">
        <f>""</f>
        <v/>
      </c>
      <c r="K2779" s="10" t="str">
        <f>"PFES1162564401_0001"</f>
        <v>PFES1162564401_0001</v>
      </c>
      <c r="L2779" s="10">
        <v>1</v>
      </c>
      <c r="M2779" s="10">
        <v>6</v>
      </c>
    </row>
    <row r="2780" spans="1:13">
      <c r="A2780" s="8">
        <v>42940</v>
      </c>
      <c r="B2780" s="9">
        <v>0.6118055555555556</v>
      </c>
      <c r="C2780" s="10" t="str">
        <f>"FES1162564403"</f>
        <v>FES1162564403</v>
      </c>
      <c r="D2780" s="10" t="s">
        <v>19</v>
      </c>
      <c r="E2780" s="10" t="s">
        <v>178</v>
      </c>
      <c r="F2780" s="10" t="str">
        <f>"2170580936 "</f>
        <v xml:space="preserve">2170580936 </v>
      </c>
      <c r="G2780" s="10" t="str">
        <f t="shared" si="124"/>
        <v>ON1</v>
      </c>
      <c r="H2780" s="10" t="s">
        <v>21</v>
      </c>
      <c r="I2780" s="10" t="s">
        <v>179</v>
      </c>
      <c r="J2780" s="10" t="str">
        <f>""</f>
        <v/>
      </c>
      <c r="K2780" s="10" t="str">
        <f>"PFES1162564403_0001"</f>
        <v>PFES1162564403_0001</v>
      </c>
      <c r="L2780" s="10">
        <v>1</v>
      </c>
      <c r="M2780" s="10">
        <v>14</v>
      </c>
    </row>
    <row r="2781" spans="1:13">
      <c r="A2781" s="8">
        <v>42940</v>
      </c>
      <c r="B2781" s="9">
        <v>0.60972222222222217</v>
      </c>
      <c r="C2781" s="10" t="str">
        <f>"FES1162564159"</f>
        <v>FES1162564159</v>
      </c>
      <c r="D2781" s="10" t="s">
        <v>19</v>
      </c>
      <c r="E2781" s="10" t="s">
        <v>546</v>
      </c>
      <c r="F2781" s="10" t="str">
        <f>"2170580709 "</f>
        <v xml:space="preserve">2170580709 </v>
      </c>
      <c r="G2781" s="10" t="str">
        <f t="shared" si="124"/>
        <v>ON1</v>
      </c>
      <c r="H2781" s="10" t="s">
        <v>21</v>
      </c>
      <c r="I2781" s="10" t="s">
        <v>547</v>
      </c>
      <c r="J2781" s="10" t="str">
        <f>""</f>
        <v/>
      </c>
      <c r="K2781" s="10" t="str">
        <f>"PFES1162564159_0001"</f>
        <v>PFES1162564159_0001</v>
      </c>
      <c r="L2781" s="10">
        <v>1</v>
      </c>
      <c r="M2781" s="10">
        <v>2</v>
      </c>
    </row>
    <row r="2782" spans="1:13">
      <c r="A2782" s="8">
        <v>42940</v>
      </c>
      <c r="B2782" s="9">
        <v>0.60902777777777783</v>
      </c>
      <c r="C2782" s="10" t="str">
        <f>"FES1162564297"</f>
        <v>FES1162564297</v>
      </c>
      <c r="D2782" s="10" t="s">
        <v>19</v>
      </c>
      <c r="E2782" s="10" t="s">
        <v>420</v>
      </c>
      <c r="F2782" s="10" t="str">
        <f>"2170580778 "</f>
        <v xml:space="preserve">2170580778 </v>
      </c>
      <c r="G2782" s="10" t="str">
        <f t="shared" si="124"/>
        <v>ON1</v>
      </c>
      <c r="H2782" s="10" t="s">
        <v>21</v>
      </c>
      <c r="I2782" s="10" t="s">
        <v>56</v>
      </c>
      <c r="J2782" s="10" t="str">
        <f>""</f>
        <v/>
      </c>
      <c r="K2782" s="10" t="str">
        <f>"PFES1162564297_0001"</f>
        <v>PFES1162564297_0001</v>
      </c>
      <c r="L2782" s="10">
        <v>1</v>
      </c>
      <c r="M2782" s="10">
        <v>4</v>
      </c>
    </row>
    <row r="2783" spans="1:13">
      <c r="A2783" s="8">
        <v>42940</v>
      </c>
      <c r="B2783" s="9">
        <v>0.6069444444444444</v>
      </c>
      <c r="C2783" s="10" t="str">
        <f>"FES1162564316"</f>
        <v>FES1162564316</v>
      </c>
      <c r="D2783" s="10" t="s">
        <v>19</v>
      </c>
      <c r="E2783" s="10" t="s">
        <v>1065</v>
      </c>
      <c r="F2783" s="10" t="str">
        <f>"2170580802 "</f>
        <v xml:space="preserve">2170580802 </v>
      </c>
      <c r="G2783" s="10" t="str">
        <f t="shared" si="124"/>
        <v>ON1</v>
      </c>
      <c r="H2783" s="10" t="s">
        <v>21</v>
      </c>
      <c r="I2783" s="10" t="s">
        <v>484</v>
      </c>
      <c r="J2783" s="10" t="str">
        <f>""</f>
        <v/>
      </c>
      <c r="K2783" s="10" t="str">
        <f>"PFES1162564316_0001"</f>
        <v>PFES1162564316_0001</v>
      </c>
      <c r="L2783" s="10">
        <v>1</v>
      </c>
      <c r="M2783" s="10">
        <v>1</v>
      </c>
    </row>
    <row r="2784" spans="1:13">
      <c r="A2784" s="8">
        <v>42940</v>
      </c>
      <c r="B2784" s="9">
        <v>0.6069444444444444</v>
      </c>
      <c r="C2784" s="10" t="str">
        <f>"FES1162564382"</f>
        <v>FES1162564382</v>
      </c>
      <c r="D2784" s="10" t="s">
        <v>19</v>
      </c>
      <c r="E2784" s="10" t="s">
        <v>175</v>
      </c>
      <c r="F2784" s="10" t="str">
        <f>"217058094 "</f>
        <v xml:space="preserve">217058094 </v>
      </c>
      <c r="G2784" s="10" t="str">
        <f t="shared" si="124"/>
        <v>ON1</v>
      </c>
      <c r="H2784" s="10" t="s">
        <v>21</v>
      </c>
      <c r="I2784" s="10" t="s">
        <v>168</v>
      </c>
      <c r="J2784" s="10" t="str">
        <f>""</f>
        <v/>
      </c>
      <c r="K2784" s="10" t="str">
        <f>"PFES1162564382_0001"</f>
        <v>PFES1162564382_0001</v>
      </c>
      <c r="L2784" s="10">
        <v>1</v>
      </c>
      <c r="M2784" s="10">
        <v>2</v>
      </c>
    </row>
    <row r="2785" spans="1:13">
      <c r="A2785" s="8">
        <v>42940</v>
      </c>
      <c r="B2785" s="9">
        <v>0.60625000000000007</v>
      </c>
      <c r="C2785" s="10" t="str">
        <f>"FES1162564355"</f>
        <v>FES1162564355</v>
      </c>
      <c r="D2785" s="10" t="s">
        <v>19</v>
      </c>
      <c r="E2785" s="10" t="s">
        <v>62</v>
      </c>
      <c r="F2785" s="10" t="str">
        <f>"2170580860 "</f>
        <v xml:space="preserve">2170580860 </v>
      </c>
      <c r="G2785" s="10" t="str">
        <f t="shared" si="124"/>
        <v>ON1</v>
      </c>
      <c r="H2785" s="10" t="s">
        <v>21</v>
      </c>
      <c r="I2785" s="10" t="s">
        <v>402</v>
      </c>
      <c r="J2785" s="10" t="str">
        <f>""</f>
        <v/>
      </c>
      <c r="K2785" s="10" t="str">
        <f>"PFES1162564355_0001"</f>
        <v>PFES1162564355_0001</v>
      </c>
      <c r="L2785" s="10">
        <v>1</v>
      </c>
      <c r="M2785" s="10">
        <v>2</v>
      </c>
    </row>
    <row r="2786" spans="1:13">
      <c r="A2786" s="8">
        <v>42940</v>
      </c>
      <c r="B2786" s="9">
        <v>0.60625000000000007</v>
      </c>
      <c r="C2786" s="10" t="str">
        <f>"FES1162564341"</f>
        <v>FES1162564341</v>
      </c>
      <c r="D2786" s="10" t="s">
        <v>19</v>
      </c>
      <c r="E2786" s="10" t="s">
        <v>1066</v>
      </c>
      <c r="F2786" s="10" t="str">
        <f>"2170580591 "</f>
        <v xml:space="preserve">2170580591 </v>
      </c>
      <c r="G2786" s="10" t="str">
        <f t="shared" si="124"/>
        <v>ON1</v>
      </c>
      <c r="H2786" s="10" t="s">
        <v>21</v>
      </c>
      <c r="I2786" s="10" t="s">
        <v>147</v>
      </c>
      <c r="J2786" s="10" t="str">
        <f>""</f>
        <v/>
      </c>
      <c r="K2786" s="10" t="str">
        <f>"PFES1162564341_0001"</f>
        <v>PFES1162564341_0001</v>
      </c>
      <c r="L2786" s="10">
        <v>1</v>
      </c>
      <c r="M2786" s="10">
        <v>1</v>
      </c>
    </row>
    <row r="2787" spans="1:13">
      <c r="A2787" s="8">
        <v>42940</v>
      </c>
      <c r="B2787" s="9">
        <v>0.60555555555555551</v>
      </c>
      <c r="C2787" s="10" t="str">
        <f>"FES1162564170"</f>
        <v>FES1162564170</v>
      </c>
      <c r="D2787" s="10" t="s">
        <v>19</v>
      </c>
      <c r="E2787" s="10" t="s">
        <v>129</v>
      </c>
      <c r="F2787" s="10" t="str">
        <f>"2170575453 "</f>
        <v xml:space="preserve">2170575453 </v>
      </c>
      <c r="G2787" s="10" t="str">
        <f>"DBC"</f>
        <v>DBC</v>
      </c>
      <c r="H2787" s="10" t="s">
        <v>21</v>
      </c>
      <c r="I2787" s="10" t="s">
        <v>130</v>
      </c>
      <c r="J2787" s="10" t="str">
        <f>"DBC Emmanuel / Festo"</f>
        <v>DBC Emmanuel / Festo</v>
      </c>
      <c r="K2787" s="10" t="str">
        <f>"PFES1162564170_0001"</f>
        <v>PFES1162564170_0001</v>
      </c>
      <c r="L2787" s="10">
        <v>2</v>
      </c>
      <c r="M2787" s="10">
        <v>28</v>
      </c>
    </row>
    <row r="2788" spans="1:13">
      <c r="A2788" s="8">
        <v>42940</v>
      </c>
      <c r="B2788" s="9">
        <v>0.60555555555555551</v>
      </c>
      <c r="C2788" s="10" t="str">
        <f>"FES1162564170"</f>
        <v>FES1162564170</v>
      </c>
      <c r="D2788" s="10" t="s">
        <v>19</v>
      </c>
      <c r="E2788" s="10" t="s">
        <v>129</v>
      </c>
      <c r="F2788" s="10" t="str">
        <f>"2170575453 "</f>
        <v xml:space="preserve">2170575453 </v>
      </c>
      <c r="G2788" s="10" t="str">
        <f>"DBC"</f>
        <v>DBC</v>
      </c>
      <c r="H2788" s="10" t="s">
        <v>21</v>
      </c>
      <c r="I2788" s="10" t="s">
        <v>130</v>
      </c>
      <c r="J2788" s="10" t="str">
        <f>"DBC Emmanuel / Festo"</f>
        <v>DBC Emmanuel / Festo</v>
      </c>
      <c r="K2788" s="10" t="str">
        <f>"PFES1162564170_0002"</f>
        <v>PFES1162564170_0002</v>
      </c>
      <c r="L2788" s="10">
        <v>2</v>
      </c>
      <c r="M2788" s="10">
        <v>28</v>
      </c>
    </row>
    <row r="2789" spans="1:13">
      <c r="A2789" s="8">
        <v>42940</v>
      </c>
      <c r="B2789" s="9">
        <v>0.60416666666666663</v>
      </c>
      <c r="C2789" s="10" t="str">
        <f>"FES1162564379"</f>
        <v>FES1162564379</v>
      </c>
      <c r="D2789" s="10" t="s">
        <v>19</v>
      </c>
      <c r="E2789" s="10" t="s">
        <v>326</v>
      </c>
      <c r="F2789" s="10" t="str">
        <f>"2170580896 "</f>
        <v xml:space="preserve">2170580896 </v>
      </c>
      <c r="G2789" s="10" t="str">
        <f t="shared" ref="G2789:G2852" si="125">"ON1"</f>
        <v>ON1</v>
      </c>
      <c r="H2789" s="10" t="s">
        <v>21</v>
      </c>
      <c r="I2789" s="10" t="s">
        <v>327</v>
      </c>
      <c r="J2789" s="10" t="str">
        <f>""</f>
        <v/>
      </c>
      <c r="K2789" s="10" t="str">
        <f>"PFES1162564379_0001"</f>
        <v>PFES1162564379_0001</v>
      </c>
      <c r="L2789" s="10">
        <v>1</v>
      </c>
      <c r="M2789" s="10">
        <v>3</v>
      </c>
    </row>
    <row r="2790" spans="1:13">
      <c r="A2790" s="8">
        <v>42940</v>
      </c>
      <c r="B2790" s="9">
        <v>0.60416666666666663</v>
      </c>
      <c r="C2790" s="10" t="str">
        <f>"FES1162564344"</f>
        <v>FES1162564344</v>
      </c>
      <c r="D2790" s="10" t="s">
        <v>19</v>
      </c>
      <c r="E2790" s="10" t="s">
        <v>333</v>
      </c>
      <c r="F2790" s="10" t="str">
        <f>"2170580837 "</f>
        <v xml:space="preserve">2170580837 </v>
      </c>
      <c r="G2790" s="10" t="str">
        <f t="shared" si="125"/>
        <v>ON1</v>
      </c>
      <c r="H2790" s="10" t="s">
        <v>21</v>
      </c>
      <c r="I2790" s="10" t="s">
        <v>334</v>
      </c>
      <c r="J2790" s="10" t="str">
        <f>""</f>
        <v/>
      </c>
      <c r="K2790" s="10" t="str">
        <f>"PFES1162564344_0001"</f>
        <v>PFES1162564344_0001</v>
      </c>
      <c r="L2790" s="10">
        <v>1</v>
      </c>
      <c r="M2790" s="10">
        <v>3</v>
      </c>
    </row>
    <row r="2791" spans="1:13">
      <c r="A2791" s="8">
        <v>42940</v>
      </c>
      <c r="B2791" s="9">
        <v>0.60347222222222219</v>
      </c>
      <c r="C2791" s="10" t="str">
        <f>"FES1162564399"</f>
        <v>FES1162564399</v>
      </c>
      <c r="D2791" s="10" t="s">
        <v>19</v>
      </c>
      <c r="E2791" s="10" t="s">
        <v>190</v>
      </c>
      <c r="F2791" s="10" t="str">
        <f>"21705780931 "</f>
        <v xml:space="preserve">21705780931 </v>
      </c>
      <c r="G2791" s="10" t="str">
        <f t="shared" si="125"/>
        <v>ON1</v>
      </c>
      <c r="H2791" s="10" t="s">
        <v>21</v>
      </c>
      <c r="I2791" s="10" t="s">
        <v>52</v>
      </c>
      <c r="J2791" s="10" t="str">
        <f>""</f>
        <v/>
      </c>
      <c r="K2791" s="10" t="str">
        <f>"PFES1162564399_0001"</f>
        <v>PFES1162564399_0001</v>
      </c>
      <c r="L2791" s="10">
        <v>1</v>
      </c>
      <c r="M2791" s="10">
        <v>1</v>
      </c>
    </row>
    <row r="2792" spans="1:13">
      <c r="A2792" s="8">
        <v>42940</v>
      </c>
      <c r="B2792" s="9">
        <v>0.6020833333333333</v>
      </c>
      <c r="C2792" s="10" t="str">
        <f>"FES1162564402"</f>
        <v>FES1162564402</v>
      </c>
      <c r="D2792" s="10" t="s">
        <v>19</v>
      </c>
      <c r="E2792" s="10" t="s">
        <v>429</v>
      </c>
      <c r="F2792" s="10" t="str">
        <f>"2170580953 "</f>
        <v xml:space="preserve">2170580953 </v>
      </c>
      <c r="G2792" s="10" t="str">
        <f t="shared" si="125"/>
        <v>ON1</v>
      </c>
      <c r="H2792" s="10" t="s">
        <v>21</v>
      </c>
      <c r="I2792" s="10" t="s">
        <v>430</v>
      </c>
      <c r="J2792" s="10" t="str">
        <f>""</f>
        <v/>
      </c>
      <c r="K2792" s="10" t="str">
        <f>"PFES1162564402_0001"</f>
        <v>PFES1162564402_0001</v>
      </c>
      <c r="L2792" s="10">
        <v>1</v>
      </c>
      <c r="M2792" s="10">
        <v>1</v>
      </c>
    </row>
    <row r="2793" spans="1:13">
      <c r="A2793" s="8">
        <v>42940</v>
      </c>
      <c r="B2793" s="9">
        <v>0.60138888888888886</v>
      </c>
      <c r="C2793" s="10" t="str">
        <f>"FES1162564392"</f>
        <v>FES1162564392</v>
      </c>
      <c r="D2793" s="10" t="s">
        <v>19</v>
      </c>
      <c r="E2793" s="10" t="s">
        <v>436</v>
      </c>
      <c r="F2793" s="10" t="str">
        <f>"2170580917 "</f>
        <v xml:space="preserve">2170580917 </v>
      </c>
      <c r="G2793" s="10" t="str">
        <f t="shared" si="125"/>
        <v>ON1</v>
      </c>
      <c r="H2793" s="10" t="s">
        <v>21</v>
      </c>
      <c r="I2793" s="10" t="s">
        <v>252</v>
      </c>
      <c r="J2793" s="10" t="str">
        <f>""</f>
        <v/>
      </c>
      <c r="K2793" s="10" t="str">
        <f>"PFES1162564392_0001"</f>
        <v>PFES1162564392_0001</v>
      </c>
      <c r="L2793" s="10">
        <v>1</v>
      </c>
      <c r="M2793" s="10">
        <v>1</v>
      </c>
    </row>
    <row r="2794" spans="1:13">
      <c r="A2794" s="8">
        <v>42940</v>
      </c>
      <c r="B2794" s="9">
        <v>0.60138888888888886</v>
      </c>
      <c r="C2794" s="10" t="str">
        <f>"FES1162564345"</f>
        <v>FES1162564345</v>
      </c>
      <c r="D2794" s="10" t="s">
        <v>19</v>
      </c>
      <c r="E2794" s="10" t="s">
        <v>87</v>
      </c>
      <c r="F2794" s="10" t="str">
        <f>"2170580839 "</f>
        <v xml:space="preserve">2170580839 </v>
      </c>
      <c r="G2794" s="10" t="str">
        <f t="shared" si="125"/>
        <v>ON1</v>
      </c>
      <c r="H2794" s="10" t="s">
        <v>21</v>
      </c>
      <c r="I2794" s="10" t="s">
        <v>88</v>
      </c>
      <c r="J2794" s="10" t="str">
        <f>""</f>
        <v/>
      </c>
      <c r="K2794" s="10" t="str">
        <f>"PFES1162564345_0001"</f>
        <v>PFES1162564345_0001</v>
      </c>
      <c r="L2794" s="10">
        <v>1</v>
      </c>
      <c r="M2794" s="10">
        <v>1</v>
      </c>
    </row>
    <row r="2795" spans="1:13">
      <c r="A2795" s="8">
        <v>42940</v>
      </c>
      <c r="B2795" s="9">
        <v>0.60138888888888886</v>
      </c>
      <c r="C2795" s="10" t="str">
        <f>"FES1162564381"</f>
        <v>FES1162564381</v>
      </c>
      <c r="D2795" s="10" t="s">
        <v>19</v>
      </c>
      <c r="E2795" s="10" t="s">
        <v>326</v>
      </c>
      <c r="F2795" s="10" t="str">
        <f>"2170580903 "</f>
        <v xml:space="preserve">2170580903 </v>
      </c>
      <c r="G2795" s="10" t="str">
        <f t="shared" si="125"/>
        <v>ON1</v>
      </c>
      <c r="H2795" s="10" t="s">
        <v>21</v>
      </c>
      <c r="I2795" s="10" t="s">
        <v>327</v>
      </c>
      <c r="J2795" s="10" t="str">
        <f>""</f>
        <v/>
      </c>
      <c r="K2795" s="10" t="str">
        <f>"PFES1162564381_0001"</f>
        <v>PFES1162564381_0001</v>
      </c>
      <c r="L2795" s="10">
        <v>1</v>
      </c>
      <c r="M2795" s="10">
        <v>1</v>
      </c>
    </row>
    <row r="2796" spans="1:13">
      <c r="A2796" s="8">
        <v>42940</v>
      </c>
      <c r="B2796" s="9">
        <v>0.60069444444444442</v>
      </c>
      <c r="C2796" s="10" t="str">
        <f>"FES1162564343"</f>
        <v>FES1162564343</v>
      </c>
      <c r="D2796" s="10" t="s">
        <v>19</v>
      </c>
      <c r="E2796" s="10" t="s">
        <v>89</v>
      </c>
      <c r="F2796" s="10" t="str">
        <f>"2170580836 "</f>
        <v xml:space="preserve">2170580836 </v>
      </c>
      <c r="G2796" s="10" t="str">
        <f t="shared" si="125"/>
        <v>ON1</v>
      </c>
      <c r="H2796" s="10" t="s">
        <v>21</v>
      </c>
      <c r="I2796" s="10" t="s">
        <v>90</v>
      </c>
      <c r="J2796" s="10" t="str">
        <f>""</f>
        <v/>
      </c>
      <c r="K2796" s="10" t="str">
        <f>"PFES1162564343_0001"</f>
        <v>PFES1162564343_0001</v>
      </c>
      <c r="L2796" s="10">
        <v>1</v>
      </c>
      <c r="M2796" s="10">
        <v>1</v>
      </c>
    </row>
    <row r="2797" spans="1:13">
      <c r="A2797" s="8">
        <v>42940</v>
      </c>
      <c r="B2797" s="9">
        <v>0.6</v>
      </c>
      <c r="C2797" s="10" t="str">
        <f>"FES1162564384"</f>
        <v>FES1162564384</v>
      </c>
      <c r="D2797" s="10" t="s">
        <v>19</v>
      </c>
      <c r="E2797" s="10" t="s">
        <v>1067</v>
      </c>
      <c r="F2797" s="10" t="str">
        <f>"217058912 "</f>
        <v xml:space="preserve">217058912 </v>
      </c>
      <c r="G2797" s="10" t="str">
        <f t="shared" si="125"/>
        <v>ON1</v>
      </c>
      <c r="H2797" s="10" t="s">
        <v>21</v>
      </c>
      <c r="I2797" s="10" t="s">
        <v>168</v>
      </c>
      <c r="J2797" s="10" t="str">
        <f>""</f>
        <v/>
      </c>
      <c r="K2797" s="10" t="str">
        <f>"PFES1162564384_0001"</f>
        <v>PFES1162564384_0001</v>
      </c>
      <c r="L2797" s="10">
        <v>1</v>
      </c>
      <c r="M2797" s="10">
        <v>1.98</v>
      </c>
    </row>
    <row r="2798" spans="1:13">
      <c r="A2798" s="8">
        <v>42940</v>
      </c>
      <c r="B2798" s="9">
        <v>0.6</v>
      </c>
      <c r="C2798" s="10" t="str">
        <f>"FES1162564335"</f>
        <v>FES1162564335</v>
      </c>
      <c r="D2798" s="10" t="s">
        <v>19</v>
      </c>
      <c r="E2798" s="10" t="s">
        <v>782</v>
      </c>
      <c r="F2798" s="10" t="str">
        <f>"217058727 "</f>
        <v xml:space="preserve">217058727 </v>
      </c>
      <c r="G2798" s="10" t="str">
        <f t="shared" si="125"/>
        <v>ON1</v>
      </c>
      <c r="H2798" s="10" t="s">
        <v>21</v>
      </c>
      <c r="I2798" s="10" t="s">
        <v>1049</v>
      </c>
      <c r="J2798" s="10" t="str">
        <f>""</f>
        <v/>
      </c>
      <c r="K2798" s="10" t="str">
        <f>"PFES1162564335_0001"</f>
        <v>PFES1162564335_0001</v>
      </c>
      <c r="L2798" s="10">
        <v>1</v>
      </c>
      <c r="M2798" s="10">
        <v>1</v>
      </c>
    </row>
    <row r="2799" spans="1:13">
      <c r="A2799" s="8">
        <v>42940</v>
      </c>
      <c r="B2799" s="9">
        <v>0.59930555555555554</v>
      </c>
      <c r="C2799" s="10" t="str">
        <f>"FES1162564293"</f>
        <v>FES1162564293</v>
      </c>
      <c r="D2799" s="10" t="s">
        <v>19</v>
      </c>
      <c r="E2799" s="10" t="s">
        <v>181</v>
      </c>
      <c r="F2799" s="10" t="str">
        <f>"2170580775 "</f>
        <v xml:space="preserve">2170580775 </v>
      </c>
      <c r="G2799" s="10" t="str">
        <f t="shared" si="125"/>
        <v>ON1</v>
      </c>
      <c r="H2799" s="10" t="s">
        <v>21</v>
      </c>
      <c r="I2799" s="10" t="s">
        <v>179</v>
      </c>
      <c r="J2799" s="10" t="str">
        <f>""</f>
        <v/>
      </c>
      <c r="K2799" s="10" t="str">
        <f>"PFES1162564293_0001"</f>
        <v>PFES1162564293_0001</v>
      </c>
      <c r="L2799" s="10">
        <v>1</v>
      </c>
      <c r="M2799" s="10">
        <v>1</v>
      </c>
    </row>
    <row r="2800" spans="1:13">
      <c r="A2800" s="8">
        <v>42940</v>
      </c>
      <c r="B2800" s="9">
        <v>0.59861111111111109</v>
      </c>
      <c r="C2800" s="10" t="str">
        <f>"FES1162564330"</f>
        <v>FES1162564330</v>
      </c>
      <c r="D2800" s="10" t="s">
        <v>19</v>
      </c>
      <c r="E2800" s="10" t="s">
        <v>99</v>
      </c>
      <c r="F2800" s="10" t="str">
        <f>"2170580820 "</f>
        <v xml:space="preserve">2170580820 </v>
      </c>
      <c r="G2800" s="10" t="str">
        <f t="shared" si="125"/>
        <v>ON1</v>
      </c>
      <c r="H2800" s="10" t="s">
        <v>21</v>
      </c>
      <c r="I2800" s="10" t="s">
        <v>100</v>
      </c>
      <c r="J2800" s="10" t="str">
        <f>""</f>
        <v/>
      </c>
      <c r="K2800" s="10" t="str">
        <f>"PFES1162564330_0001"</f>
        <v>PFES1162564330_0001</v>
      </c>
      <c r="L2800" s="10">
        <v>1</v>
      </c>
      <c r="M2800" s="10">
        <v>1</v>
      </c>
    </row>
    <row r="2801" spans="1:13">
      <c r="A2801" s="8">
        <v>42940</v>
      </c>
      <c r="B2801" s="9">
        <v>0.59513888888888888</v>
      </c>
      <c r="C2801" s="10" t="str">
        <f>"FES1162564244"</f>
        <v>FES1162564244</v>
      </c>
      <c r="D2801" s="10" t="s">
        <v>19</v>
      </c>
      <c r="E2801" s="10" t="s">
        <v>333</v>
      </c>
      <c r="F2801" s="10" t="str">
        <f>"2170580717 "</f>
        <v xml:space="preserve">2170580717 </v>
      </c>
      <c r="G2801" s="10" t="str">
        <f t="shared" si="125"/>
        <v>ON1</v>
      </c>
      <c r="H2801" s="10" t="s">
        <v>21</v>
      </c>
      <c r="I2801" s="10" t="s">
        <v>334</v>
      </c>
      <c r="J2801" s="10" t="str">
        <f>""</f>
        <v/>
      </c>
      <c r="K2801" s="10" t="str">
        <f>"PFES1162564244_0001"</f>
        <v>PFES1162564244_0001</v>
      </c>
      <c r="L2801" s="10">
        <v>1</v>
      </c>
      <c r="M2801" s="10">
        <v>1</v>
      </c>
    </row>
    <row r="2802" spans="1:13">
      <c r="A2802" s="8">
        <v>42940</v>
      </c>
      <c r="B2802" s="9">
        <v>0.59444444444444444</v>
      </c>
      <c r="C2802" s="10" t="str">
        <f>"FES1162564322"</f>
        <v>FES1162564322</v>
      </c>
      <c r="D2802" s="10" t="s">
        <v>19</v>
      </c>
      <c r="E2802" s="10" t="s">
        <v>101</v>
      </c>
      <c r="F2802" s="10" t="str">
        <f>"2170580809 "</f>
        <v xml:space="preserve">2170580809 </v>
      </c>
      <c r="G2802" s="10" t="str">
        <f t="shared" si="125"/>
        <v>ON1</v>
      </c>
      <c r="H2802" s="10" t="s">
        <v>21</v>
      </c>
      <c r="I2802" s="10" t="s">
        <v>102</v>
      </c>
      <c r="J2802" s="10" t="str">
        <f>""</f>
        <v/>
      </c>
      <c r="K2802" s="10" t="str">
        <f>"PFES1162564322_0001"</f>
        <v>PFES1162564322_0001</v>
      </c>
      <c r="L2802" s="10">
        <v>1</v>
      </c>
      <c r="M2802" s="10">
        <v>1</v>
      </c>
    </row>
    <row r="2803" spans="1:13">
      <c r="A2803" s="8">
        <v>42940</v>
      </c>
      <c r="B2803" s="9">
        <v>0.59375</v>
      </c>
      <c r="C2803" s="10" t="str">
        <f>"FES1162564283"</f>
        <v>FES1162564283</v>
      </c>
      <c r="D2803" s="10" t="s">
        <v>19</v>
      </c>
      <c r="E2803" s="10" t="s">
        <v>912</v>
      </c>
      <c r="F2803" s="10" t="str">
        <f>"2170580761 "</f>
        <v xml:space="preserve">2170580761 </v>
      </c>
      <c r="G2803" s="10" t="str">
        <f t="shared" si="125"/>
        <v>ON1</v>
      </c>
      <c r="H2803" s="10" t="s">
        <v>21</v>
      </c>
      <c r="I2803" s="10" t="s">
        <v>387</v>
      </c>
      <c r="J2803" s="10" t="str">
        <f>""</f>
        <v/>
      </c>
      <c r="K2803" s="10" t="str">
        <f>"PFES1162564283_0001"</f>
        <v>PFES1162564283_0001</v>
      </c>
      <c r="L2803" s="10">
        <v>1</v>
      </c>
      <c r="M2803" s="10">
        <v>1</v>
      </c>
    </row>
    <row r="2804" spans="1:13">
      <c r="A2804" s="8">
        <v>42940</v>
      </c>
      <c r="B2804" s="9">
        <v>0.59305555555555556</v>
      </c>
      <c r="C2804" s="10" t="str">
        <f>"FES1162564351"</f>
        <v>FES1162564351</v>
      </c>
      <c r="D2804" s="10" t="s">
        <v>19</v>
      </c>
      <c r="E2804" s="10" t="s">
        <v>39</v>
      </c>
      <c r="F2804" s="10" t="str">
        <f>"217058082 "</f>
        <v xml:space="preserve">217058082 </v>
      </c>
      <c r="G2804" s="10" t="str">
        <f t="shared" si="125"/>
        <v>ON1</v>
      </c>
      <c r="H2804" s="10" t="s">
        <v>21</v>
      </c>
      <c r="I2804" s="10" t="s">
        <v>40</v>
      </c>
      <c r="J2804" s="10" t="str">
        <f>""</f>
        <v/>
      </c>
      <c r="K2804" s="10" t="str">
        <f>"PFES1162564351_0001"</f>
        <v>PFES1162564351_0001</v>
      </c>
      <c r="L2804" s="10">
        <v>1</v>
      </c>
      <c r="M2804" s="10">
        <v>1</v>
      </c>
    </row>
    <row r="2805" spans="1:13">
      <c r="A2805" s="8">
        <v>42940</v>
      </c>
      <c r="B2805" s="9">
        <v>0.59305555555555556</v>
      </c>
      <c r="C2805" s="10" t="str">
        <f>"FES1162564361"</f>
        <v>FES1162564361</v>
      </c>
      <c r="D2805" s="10" t="s">
        <v>19</v>
      </c>
      <c r="E2805" s="10" t="s">
        <v>709</v>
      </c>
      <c r="F2805" s="10" t="str">
        <f>"2170579204 "</f>
        <v xml:space="preserve">2170579204 </v>
      </c>
      <c r="G2805" s="10" t="str">
        <f t="shared" si="125"/>
        <v>ON1</v>
      </c>
      <c r="H2805" s="10" t="s">
        <v>21</v>
      </c>
      <c r="I2805" s="10" t="s">
        <v>224</v>
      </c>
      <c r="J2805" s="10" t="str">
        <f>""</f>
        <v/>
      </c>
      <c r="K2805" s="10" t="str">
        <f>"PFES1162564361_0001"</f>
        <v>PFES1162564361_0001</v>
      </c>
      <c r="L2805" s="10">
        <v>1</v>
      </c>
      <c r="M2805" s="10">
        <v>1</v>
      </c>
    </row>
    <row r="2806" spans="1:13">
      <c r="A2806" s="8">
        <v>42940</v>
      </c>
      <c r="B2806" s="9">
        <v>0.59236111111111112</v>
      </c>
      <c r="C2806" s="10" t="str">
        <f>"FES1162564281"</f>
        <v>FES1162564281</v>
      </c>
      <c r="D2806" s="10" t="s">
        <v>19</v>
      </c>
      <c r="E2806" s="10" t="s">
        <v>466</v>
      </c>
      <c r="F2806" s="10" t="str">
        <f>"2170580759 "</f>
        <v xml:space="preserve">2170580759 </v>
      </c>
      <c r="G2806" s="10" t="str">
        <f t="shared" si="125"/>
        <v>ON1</v>
      </c>
      <c r="H2806" s="10" t="s">
        <v>21</v>
      </c>
      <c r="I2806" s="10" t="s">
        <v>467</v>
      </c>
      <c r="J2806" s="10" t="str">
        <f>""</f>
        <v/>
      </c>
      <c r="K2806" s="10" t="str">
        <f>"PFES1162564281_0001"</f>
        <v>PFES1162564281_0001</v>
      </c>
      <c r="L2806" s="10">
        <v>1</v>
      </c>
      <c r="M2806" s="10">
        <v>1</v>
      </c>
    </row>
    <row r="2807" spans="1:13">
      <c r="A2807" s="8">
        <v>42940</v>
      </c>
      <c r="B2807" s="9">
        <v>0.59097222222222223</v>
      </c>
      <c r="C2807" s="10" t="str">
        <f>"FES1162564224"</f>
        <v>FES1162564224</v>
      </c>
      <c r="D2807" s="10" t="s">
        <v>19</v>
      </c>
      <c r="E2807" s="10" t="s">
        <v>802</v>
      </c>
      <c r="F2807" s="10" t="str">
        <f>"2170579881 "</f>
        <v xml:space="preserve">2170579881 </v>
      </c>
      <c r="G2807" s="10" t="str">
        <f t="shared" si="125"/>
        <v>ON1</v>
      </c>
      <c r="H2807" s="10" t="s">
        <v>21</v>
      </c>
      <c r="I2807" s="10" t="s">
        <v>92</v>
      </c>
      <c r="J2807" s="10" t="str">
        <f>""</f>
        <v/>
      </c>
      <c r="K2807" s="10" t="str">
        <f>"PFES1162564224_0001"</f>
        <v>PFES1162564224_0001</v>
      </c>
      <c r="L2807" s="10">
        <v>1</v>
      </c>
      <c r="M2807" s="10">
        <v>1</v>
      </c>
    </row>
    <row r="2808" spans="1:13">
      <c r="A2808" s="8">
        <v>42940</v>
      </c>
      <c r="B2808" s="9">
        <v>0.59027777777777779</v>
      </c>
      <c r="C2808" s="10" t="str">
        <f>"FES1162564369"</f>
        <v>FES1162564369</v>
      </c>
      <c r="D2808" s="10" t="s">
        <v>19</v>
      </c>
      <c r="E2808" s="10" t="s">
        <v>1068</v>
      </c>
      <c r="F2808" s="10" t="str">
        <f>"2170580888 "</f>
        <v xml:space="preserve">2170580888 </v>
      </c>
      <c r="G2808" s="10" t="str">
        <f t="shared" si="125"/>
        <v>ON1</v>
      </c>
      <c r="H2808" s="10" t="s">
        <v>21</v>
      </c>
      <c r="I2808" s="10" t="s">
        <v>224</v>
      </c>
      <c r="J2808" s="10" t="str">
        <f>""</f>
        <v/>
      </c>
      <c r="K2808" s="10" t="str">
        <f>"PFES1162564369_0001"</f>
        <v>PFES1162564369_0001</v>
      </c>
      <c r="L2808" s="10">
        <v>1</v>
      </c>
      <c r="M2808" s="10">
        <v>3</v>
      </c>
    </row>
    <row r="2809" spans="1:13">
      <c r="A2809" s="8">
        <v>42940</v>
      </c>
      <c r="B2809" s="9">
        <v>0.58958333333333335</v>
      </c>
      <c r="C2809" s="10" t="str">
        <f>"FES1162564356"</f>
        <v>FES1162564356</v>
      </c>
      <c r="D2809" s="10" t="s">
        <v>19</v>
      </c>
      <c r="E2809" s="10" t="s">
        <v>39</v>
      </c>
      <c r="F2809" s="10" t="str">
        <f>"2170580863 "</f>
        <v xml:space="preserve">2170580863 </v>
      </c>
      <c r="G2809" s="10" t="str">
        <f t="shared" si="125"/>
        <v>ON1</v>
      </c>
      <c r="H2809" s="10" t="s">
        <v>21</v>
      </c>
      <c r="I2809" s="10" t="s">
        <v>40</v>
      </c>
      <c r="J2809" s="10" t="str">
        <f>""</f>
        <v/>
      </c>
      <c r="K2809" s="10" t="str">
        <f>"PFES1162564356_0001"</f>
        <v>PFES1162564356_0001</v>
      </c>
      <c r="L2809" s="10">
        <v>1</v>
      </c>
      <c r="M2809" s="10">
        <v>1</v>
      </c>
    </row>
    <row r="2810" spans="1:13">
      <c r="A2810" s="8">
        <v>42940</v>
      </c>
      <c r="B2810" s="9">
        <v>0.58958333333333335</v>
      </c>
      <c r="C2810" s="10" t="str">
        <f>"FES1162564337"</f>
        <v>FES1162564337</v>
      </c>
      <c r="D2810" s="10" t="s">
        <v>19</v>
      </c>
      <c r="E2810" s="10" t="s">
        <v>23</v>
      </c>
      <c r="F2810" s="10" t="str">
        <f>"2170580831 "</f>
        <v xml:space="preserve">2170580831 </v>
      </c>
      <c r="G2810" s="10" t="str">
        <f t="shared" si="125"/>
        <v>ON1</v>
      </c>
      <c r="H2810" s="10" t="s">
        <v>21</v>
      </c>
      <c r="I2810" s="10" t="s">
        <v>24</v>
      </c>
      <c r="J2810" s="10" t="str">
        <f>""</f>
        <v/>
      </c>
      <c r="K2810" s="10" t="str">
        <f>"PFES1162564337_0001"</f>
        <v>PFES1162564337_0001</v>
      </c>
      <c r="L2810" s="10">
        <v>1</v>
      </c>
      <c r="M2810" s="10">
        <v>1</v>
      </c>
    </row>
    <row r="2811" spans="1:13">
      <c r="A2811" s="8">
        <v>42940</v>
      </c>
      <c r="B2811" s="9">
        <v>0.58958333333333335</v>
      </c>
      <c r="C2811" s="10" t="str">
        <f>"FES1162564378"</f>
        <v>FES1162564378</v>
      </c>
      <c r="D2811" s="10" t="s">
        <v>19</v>
      </c>
      <c r="E2811" s="10" t="s">
        <v>401</v>
      </c>
      <c r="F2811" s="10" t="str">
        <f>"2170580895 "</f>
        <v xml:space="preserve">2170580895 </v>
      </c>
      <c r="G2811" s="10" t="str">
        <f t="shared" si="125"/>
        <v>ON1</v>
      </c>
      <c r="H2811" s="10" t="s">
        <v>21</v>
      </c>
      <c r="I2811" s="10" t="s">
        <v>402</v>
      </c>
      <c r="J2811" s="10" t="str">
        <f>""</f>
        <v/>
      </c>
      <c r="K2811" s="10" t="str">
        <f>"PFES1162564378_0001"</f>
        <v>PFES1162564378_0001</v>
      </c>
      <c r="L2811" s="10">
        <v>1</v>
      </c>
      <c r="M2811" s="10">
        <v>1</v>
      </c>
    </row>
    <row r="2812" spans="1:13">
      <c r="A2812" s="8">
        <v>42940</v>
      </c>
      <c r="B2812" s="9">
        <v>0.58888888888888891</v>
      </c>
      <c r="C2812" s="10" t="str">
        <f>"FES1162564339"</f>
        <v>FES1162564339</v>
      </c>
      <c r="D2812" s="10" t="s">
        <v>19</v>
      </c>
      <c r="E2812" s="10" t="s">
        <v>1069</v>
      </c>
      <c r="F2812" s="10" t="str">
        <f>"21705788042 "</f>
        <v xml:space="preserve">21705788042 </v>
      </c>
      <c r="G2812" s="10" t="str">
        <f t="shared" si="125"/>
        <v>ON1</v>
      </c>
      <c r="H2812" s="10" t="s">
        <v>21</v>
      </c>
      <c r="I2812" s="10" t="s">
        <v>1070</v>
      </c>
      <c r="J2812" s="10" t="str">
        <f>""</f>
        <v/>
      </c>
      <c r="K2812" s="10" t="str">
        <f>"PFES1162564339_0001"</f>
        <v>PFES1162564339_0001</v>
      </c>
      <c r="L2812" s="10">
        <v>2</v>
      </c>
      <c r="M2812" s="10">
        <v>10</v>
      </c>
    </row>
    <row r="2813" spans="1:13">
      <c r="A2813" s="8">
        <v>42940</v>
      </c>
      <c r="B2813" s="9">
        <v>0.58888888888888891</v>
      </c>
      <c r="C2813" s="10" t="str">
        <f>"FES1162564339"</f>
        <v>FES1162564339</v>
      </c>
      <c r="D2813" s="10" t="s">
        <v>19</v>
      </c>
      <c r="E2813" s="10" t="s">
        <v>1069</v>
      </c>
      <c r="F2813" s="10" t="str">
        <f>"21705788042 "</f>
        <v xml:space="preserve">21705788042 </v>
      </c>
      <c r="G2813" s="10" t="str">
        <f t="shared" si="125"/>
        <v>ON1</v>
      </c>
      <c r="H2813" s="10" t="s">
        <v>21</v>
      </c>
      <c r="I2813" s="10" t="s">
        <v>1070</v>
      </c>
      <c r="J2813" s="10"/>
      <c r="K2813" s="10" t="str">
        <f>"PFES1162564339_0002"</f>
        <v>PFES1162564339_0002</v>
      </c>
      <c r="L2813" s="10">
        <v>2</v>
      </c>
      <c r="M2813" s="10">
        <v>10</v>
      </c>
    </row>
    <row r="2814" spans="1:13">
      <c r="A2814" s="8">
        <v>42940</v>
      </c>
      <c r="B2814" s="9">
        <v>0.58888888888888891</v>
      </c>
      <c r="C2814" s="10" t="str">
        <f>"FES1162564386"</f>
        <v>FES1162564386</v>
      </c>
      <c r="D2814" s="10" t="s">
        <v>19</v>
      </c>
      <c r="E2814" s="10" t="s">
        <v>1047</v>
      </c>
      <c r="F2814" s="10" t="str">
        <f>"2170580915 "</f>
        <v xml:space="preserve">2170580915 </v>
      </c>
      <c r="G2814" s="10" t="str">
        <f t="shared" si="125"/>
        <v>ON1</v>
      </c>
      <c r="H2814" s="10" t="s">
        <v>21</v>
      </c>
      <c r="I2814" s="10" t="s">
        <v>896</v>
      </c>
      <c r="J2814" s="10" t="str">
        <f>""</f>
        <v/>
      </c>
      <c r="K2814" s="10" t="str">
        <f>"PFES1162564386_0001"</f>
        <v>PFES1162564386_0001</v>
      </c>
      <c r="L2814" s="10">
        <v>1</v>
      </c>
      <c r="M2814" s="10">
        <v>1</v>
      </c>
    </row>
    <row r="2815" spans="1:13">
      <c r="A2815" s="8">
        <v>42940</v>
      </c>
      <c r="B2815" s="9">
        <v>0.58819444444444446</v>
      </c>
      <c r="C2815" s="10" t="str">
        <f>"FES1162564373"</f>
        <v>FES1162564373</v>
      </c>
      <c r="D2815" s="10" t="s">
        <v>19</v>
      </c>
      <c r="E2815" s="10" t="s">
        <v>184</v>
      </c>
      <c r="F2815" s="10" t="str">
        <f>"2170580296 "</f>
        <v xml:space="preserve">2170580296 </v>
      </c>
      <c r="G2815" s="10" t="str">
        <f t="shared" si="125"/>
        <v>ON1</v>
      </c>
      <c r="H2815" s="10" t="s">
        <v>21</v>
      </c>
      <c r="I2815" s="10" t="s">
        <v>185</v>
      </c>
      <c r="J2815" s="10" t="str">
        <f>""</f>
        <v/>
      </c>
      <c r="K2815" s="10" t="str">
        <f>"PFES1162564373_0001"</f>
        <v>PFES1162564373_0001</v>
      </c>
      <c r="L2815" s="10">
        <v>1</v>
      </c>
      <c r="M2815" s="10">
        <v>2</v>
      </c>
    </row>
    <row r="2816" spans="1:13">
      <c r="A2816" s="8">
        <v>42940</v>
      </c>
      <c r="B2816" s="9">
        <v>0.58819444444444446</v>
      </c>
      <c r="C2816" s="10" t="str">
        <f>"FES1162564209"</f>
        <v>FES1162564209</v>
      </c>
      <c r="D2816" s="10" t="s">
        <v>19</v>
      </c>
      <c r="E2816" s="10" t="s">
        <v>324</v>
      </c>
      <c r="F2816" s="10" t="str">
        <f>"217058649 "</f>
        <v xml:space="preserve">217058649 </v>
      </c>
      <c r="G2816" s="10" t="str">
        <f t="shared" si="125"/>
        <v>ON1</v>
      </c>
      <c r="H2816" s="10" t="s">
        <v>21</v>
      </c>
      <c r="I2816" s="10" t="s">
        <v>325</v>
      </c>
      <c r="J2816" s="10" t="str">
        <f>""</f>
        <v/>
      </c>
      <c r="K2816" s="10" t="str">
        <f>"PFES1162564209_0001"</f>
        <v>PFES1162564209_0001</v>
      </c>
      <c r="L2816" s="10">
        <v>1</v>
      </c>
      <c r="M2816" s="10">
        <v>5</v>
      </c>
    </row>
    <row r="2817" spans="1:13">
      <c r="A2817" s="8">
        <v>42940</v>
      </c>
      <c r="B2817" s="9">
        <v>0.58680555555555558</v>
      </c>
      <c r="C2817" s="10" t="str">
        <f>"FES1162564184"</f>
        <v>FES1162564184</v>
      </c>
      <c r="D2817" s="10" t="s">
        <v>19</v>
      </c>
      <c r="E2817" s="10" t="s">
        <v>671</v>
      </c>
      <c r="F2817" s="10" t="str">
        <f>"2170578197 "</f>
        <v xml:space="preserve">2170578197 </v>
      </c>
      <c r="G2817" s="10" t="str">
        <f t="shared" si="125"/>
        <v>ON1</v>
      </c>
      <c r="H2817" s="10" t="s">
        <v>21</v>
      </c>
      <c r="I2817" s="10" t="s">
        <v>100</v>
      </c>
      <c r="J2817" s="10" t="str">
        <f>""</f>
        <v/>
      </c>
      <c r="K2817" s="10" t="str">
        <f>"PFES1162564184_0001"</f>
        <v>PFES1162564184_0001</v>
      </c>
      <c r="L2817" s="10">
        <v>1</v>
      </c>
      <c r="M2817" s="10">
        <v>2</v>
      </c>
    </row>
    <row r="2818" spans="1:13">
      <c r="A2818" s="8">
        <v>42940</v>
      </c>
      <c r="B2818" s="9">
        <v>0.58611111111111114</v>
      </c>
      <c r="C2818" s="10" t="str">
        <f>"FES1162564291"</f>
        <v>FES1162564291</v>
      </c>
      <c r="D2818" s="10" t="s">
        <v>19</v>
      </c>
      <c r="E2818" s="10" t="s">
        <v>791</v>
      </c>
      <c r="F2818" s="10" t="str">
        <f>"217056780770 "</f>
        <v xml:space="preserve">217056780770 </v>
      </c>
      <c r="G2818" s="10" t="str">
        <f t="shared" si="125"/>
        <v>ON1</v>
      </c>
      <c r="H2818" s="10" t="s">
        <v>21</v>
      </c>
      <c r="I2818" s="10" t="s">
        <v>792</v>
      </c>
      <c r="J2818" s="10" t="str">
        <f>""</f>
        <v/>
      </c>
      <c r="K2818" s="10" t="str">
        <f>"PFES1162564291_0001"</f>
        <v>PFES1162564291_0001</v>
      </c>
      <c r="L2818" s="10">
        <v>1</v>
      </c>
      <c r="M2818" s="10">
        <v>2</v>
      </c>
    </row>
    <row r="2819" spans="1:13">
      <c r="A2819" s="8">
        <v>42940</v>
      </c>
      <c r="B2819" s="9">
        <v>0.58472222222222225</v>
      </c>
      <c r="C2819" s="10" t="str">
        <f>"FES1162564264"</f>
        <v>FES1162564264</v>
      </c>
      <c r="D2819" s="10" t="s">
        <v>19</v>
      </c>
      <c r="E2819" s="10" t="s">
        <v>621</v>
      </c>
      <c r="F2819" s="10" t="str">
        <f>"2170580473 "</f>
        <v xml:space="preserve">2170580473 </v>
      </c>
      <c r="G2819" s="10" t="str">
        <f t="shared" si="125"/>
        <v>ON1</v>
      </c>
      <c r="H2819" s="10" t="s">
        <v>21</v>
      </c>
      <c r="I2819" s="10" t="s">
        <v>607</v>
      </c>
      <c r="J2819" s="10" t="str">
        <f>""</f>
        <v/>
      </c>
      <c r="K2819" s="10" t="str">
        <f>"PFES1162564264_0001"</f>
        <v>PFES1162564264_0001</v>
      </c>
      <c r="L2819" s="10">
        <v>1</v>
      </c>
      <c r="M2819" s="10">
        <v>2</v>
      </c>
    </row>
    <row r="2820" spans="1:13">
      <c r="A2820" s="8">
        <v>42940</v>
      </c>
      <c r="B2820" s="9">
        <v>0.58402777777777781</v>
      </c>
      <c r="C2820" s="10" t="str">
        <f>"FES1162564241"</f>
        <v>FES1162564241</v>
      </c>
      <c r="D2820" s="10" t="s">
        <v>19</v>
      </c>
      <c r="E2820" s="10" t="s">
        <v>108</v>
      </c>
      <c r="F2820" s="10" t="str">
        <f>"2170580536 "</f>
        <v xml:space="preserve">2170580536 </v>
      </c>
      <c r="G2820" s="10" t="str">
        <f t="shared" si="125"/>
        <v>ON1</v>
      </c>
      <c r="H2820" s="10" t="s">
        <v>21</v>
      </c>
      <c r="I2820" s="10" t="s">
        <v>56</v>
      </c>
      <c r="J2820" s="10" t="str">
        <f>""</f>
        <v/>
      </c>
      <c r="K2820" s="10" t="str">
        <f>"PFES1162564241_0001"</f>
        <v>PFES1162564241_0001</v>
      </c>
      <c r="L2820" s="10">
        <v>1</v>
      </c>
      <c r="M2820" s="10">
        <v>1</v>
      </c>
    </row>
    <row r="2821" spans="1:13">
      <c r="A2821" s="8">
        <v>42940</v>
      </c>
      <c r="B2821" s="9">
        <v>0.58402777777777781</v>
      </c>
      <c r="C2821" s="10" t="str">
        <f>"FES1162564169"</f>
        <v>FES1162564169</v>
      </c>
      <c r="D2821" s="10" t="s">
        <v>19</v>
      </c>
      <c r="E2821" s="10" t="s">
        <v>180</v>
      </c>
      <c r="F2821" s="10" t="str">
        <f>"2170574705 "</f>
        <v xml:space="preserve">2170574705 </v>
      </c>
      <c r="G2821" s="10" t="str">
        <f t="shared" si="125"/>
        <v>ON1</v>
      </c>
      <c r="H2821" s="10" t="s">
        <v>21</v>
      </c>
      <c r="I2821" s="10" t="s">
        <v>168</v>
      </c>
      <c r="J2821" s="10" t="str">
        <f>""</f>
        <v/>
      </c>
      <c r="K2821" s="10" t="str">
        <f>"PFES1162564169_0001"</f>
        <v>PFES1162564169_0001</v>
      </c>
      <c r="L2821" s="10">
        <v>1</v>
      </c>
      <c r="M2821" s="10">
        <v>1</v>
      </c>
    </row>
    <row r="2822" spans="1:13">
      <c r="A2822" s="8">
        <v>42940</v>
      </c>
      <c r="B2822" s="9">
        <v>0.56388888888888888</v>
      </c>
      <c r="C2822" s="10" t="str">
        <f>"FES1162564376"</f>
        <v>FES1162564376</v>
      </c>
      <c r="D2822" s="10" t="s">
        <v>19</v>
      </c>
      <c r="E2822" s="10" t="s">
        <v>277</v>
      </c>
      <c r="F2822" s="10" t="str">
        <f>"2170580675 "</f>
        <v xml:space="preserve">2170580675 </v>
      </c>
      <c r="G2822" s="10" t="str">
        <f t="shared" si="125"/>
        <v>ON1</v>
      </c>
      <c r="H2822" s="10" t="s">
        <v>21</v>
      </c>
      <c r="I2822" s="10" t="s">
        <v>234</v>
      </c>
      <c r="J2822" s="10" t="str">
        <f>""</f>
        <v/>
      </c>
      <c r="K2822" s="10" t="str">
        <f>"PFES1162564376_0001"</f>
        <v>PFES1162564376_0001</v>
      </c>
      <c r="L2822" s="10">
        <v>1</v>
      </c>
      <c r="M2822" s="10">
        <v>14</v>
      </c>
    </row>
    <row r="2823" spans="1:13">
      <c r="A2823" s="8">
        <v>42940</v>
      </c>
      <c r="B2823" s="9">
        <v>0.5625</v>
      </c>
      <c r="C2823" s="10" t="str">
        <f>"FES1162564364"</f>
        <v>FES1162564364</v>
      </c>
      <c r="D2823" s="10" t="s">
        <v>19</v>
      </c>
      <c r="E2823" s="10" t="s">
        <v>255</v>
      </c>
      <c r="F2823" s="10" t="str">
        <f>"2170580873 "</f>
        <v xml:space="preserve">2170580873 </v>
      </c>
      <c r="G2823" s="10" t="str">
        <f t="shared" si="125"/>
        <v>ON1</v>
      </c>
      <c r="H2823" s="10" t="s">
        <v>21</v>
      </c>
      <c r="I2823" s="10" t="s">
        <v>256</v>
      </c>
      <c r="J2823" s="10" t="str">
        <f>""</f>
        <v/>
      </c>
      <c r="K2823" s="10" t="str">
        <f>"PFES1162564364_0001"</f>
        <v>PFES1162564364_0001</v>
      </c>
      <c r="L2823" s="10">
        <v>1</v>
      </c>
      <c r="M2823" s="10">
        <v>1</v>
      </c>
    </row>
    <row r="2824" spans="1:13">
      <c r="A2824" s="8">
        <v>42940</v>
      </c>
      <c r="B2824" s="9">
        <v>0.5625</v>
      </c>
      <c r="C2824" s="10" t="str">
        <f>"FES1162564367"</f>
        <v>FES1162564367</v>
      </c>
      <c r="D2824" s="10" t="s">
        <v>19</v>
      </c>
      <c r="E2824" s="10" t="s">
        <v>62</v>
      </c>
      <c r="F2824" s="10" t="str">
        <f>"21705808884 "</f>
        <v xml:space="preserve">21705808884 </v>
      </c>
      <c r="G2824" s="10" t="str">
        <f t="shared" si="125"/>
        <v>ON1</v>
      </c>
      <c r="H2824" s="10" t="s">
        <v>21</v>
      </c>
      <c r="I2824" s="10" t="s">
        <v>263</v>
      </c>
      <c r="J2824" s="10" t="str">
        <f>""</f>
        <v/>
      </c>
      <c r="K2824" s="10" t="str">
        <f>"PFES1162564367_0001"</f>
        <v>PFES1162564367_0001</v>
      </c>
      <c r="L2824" s="10">
        <v>1</v>
      </c>
      <c r="M2824" s="10">
        <v>1</v>
      </c>
    </row>
    <row r="2825" spans="1:13">
      <c r="A2825" s="8">
        <v>42940</v>
      </c>
      <c r="B2825" s="9">
        <v>0.56180555555555556</v>
      </c>
      <c r="C2825" s="10" t="str">
        <f>"FES1162564246"</f>
        <v>FES1162564246</v>
      </c>
      <c r="D2825" s="10" t="s">
        <v>19</v>
      </c>
      <c r="E2825" s="10" t="s">
        <v>286</v>
      </c>
      <c r="F2825" s="10" t="str">
        <f>"2170580721 "</f>
        <v xml:space="preserve">2170580721 </v>
      </c>
      <c r="G2825" s="10" t="str">
        <f t="shared" si="125"/>
        <v>ON1</v>
      </c>
      <c r="H2825" s="10" t="s">
        <v>21</v>
      </c>
      <c r="I2825" s="10" t="s">
        <v>177</v>
      </c>
      <c r="J2825" s="10" t="str">
        <f>""</f>
        <v/>
      </c>
      <c r="K2825" s="10" t="str">
        <f>"PFES1162564246_0001"</f>
        <v>PFES1162564246_0001</v>
      </c>
      <c r="L2825" s="10">
        <v>1</v>
      </c>
      <c r="M2825" s="10">
        <v>1</v>
      </c>
    </row>
    <row r="2826" spans="1:13">
      <c r="A2826" s="8">
        <v>42940</v>
      </c>
      <c r="B2826" s="9">
        <v>0.56111111111111112</v>
      </c>
      <c r="C2826" s="10" t="str">
        <f>"FES1162564236"</f>
        <v>FES1162564236</v>
      </c>
      <c r="D2826" s="10" t="s">
        <v>19</v>
      </c>
      <c r="E2826" s="10" t="s">
        <v>1071</v>
      </c>
      <c r="F2826" s="10" t="str">
        <f>"21705850727 "</f>
        <v xml:space="preserve">21705850727 </v>
      </c>
      <c r="G2826" s="10" t="str">
        <f t="shared" si="125"/>
        <v>ON1</v>
      </c>
      <c r="H2826" s="10" t="s">
        <v>21</v>
      </c>
      <c r="I2826" s="10" t="s">
        <v>64</v>
      </c>
      <c r="J2826" s="10" t="str">
        <f>""</f>
        <v/>
      </c>
      <c r="K2826" s="10" t="str">
        <f>"PFES1162564236_0001"</f>
        <v>PFES1162564236_0001</v>
      </c>
      <c r="L2826" s="10">
        <v>1</v>
      </c>
      <c r="M2826" s="10">
        <v>1</v>
      </c>
    </row>
    <row r="2827" spans="1:13">
      <c r="A2827" s="8">
        <v>42940</v>
      </c>
      <c r="B2827" s="9">
        <v>0.56111111111111112</v>
      </c>
      <c r="C2827" s="10" t="str">
        <f>"FES1162564232"</f>
        <v>FES1162564232</v>
      </c>
      <c r="D2827" s="10" t="s">
        <v>19</v>
      </c>
      <c r="E2827" s="10" t="s">
        <v>867</v>
      </c>
      <c r="F2827" s="10" t="str">
        <f>"2170580064 "</f>
        <v xml:space="preserve">2170580064 </v>
      </c>
      <c r="G2827" s="10" t="str">
        <f t="shared" si="125"/>
        <v>ON1</v>
      </c>
      <c r="H2827" s="10" t="s">
        <v>21</v>
      </c>
      <c r="I2827" s="10" t="s">
        <v>514</v>
      </c>
      <c r="J2827" s="10" t="str">
        <f>""</f>
        <v/>
      </c>
      <c r="K2827" s="10" t="str">
        <f>"PFES1162564232_0001"</f>
        <v>PFES1162564232_0001</v>
      </c>
      <c r="L2827" s="10">
        <v>1</v>
      </c>
      <c r="M2827" s="10">
        <v>1</v>
      </c>
    </row>
    <row r="2828" spans="1:13">
      <c r="A2828" s="8">
        <v>42940</v>
      </c>
      <c r="B2828" s="9">
        <v>0.56041666666666667</v>
      </c>
      <c r="C2828" s="10" t="str">
        <f>"FES1162564225"</f>
        <v>FES1162564225</v>
      </c>
      <c r="D2828" s="10" t="s">
        <v>19</v>
      </c>
      <c r="E2828" s="10" t="s">
        <v>867</v>
      </c>
      <c r="F2828" s="10" t="str">
        <f>"2170579888 "</f>
        <v xml:space="preserve">2170579888 </v>
      </c>
      <c r="G2828" s="10" t="str">
        <f t="shared" si="125"/>
        <v>ON1</v>
      </c>
      <c r="H2828" s="10" t="s">
        <v>21</v>
      </c>
      <c r="I2828" s="10" t="s">
        <v>514</v>
      </c>
      <c r="J2828" s="10" t="str">
        <f>""</f>
        <v/>
      </c>
      <c r="K2828" s="10" t="str">
        <f>"PFES1162564225_0001"</f>
        <v>PFES1162564225_0001</v>
      </c>
      <c r="L2828" s="10">
        <v>1</v>
      </c>
      <c r="M2828" s="10">
        <v>1</v>
      </c>
    </row>
    <row r="2829" spans="1:13">
      <c r="A2829" s="8">
        <v>42940</v>
      </c>
      <c r="B2829" s="9">
        <v>0.55972222222222223</v>
      </c>
      <c r="C2829" s="10" t="str">
        <f>"FES1162564319"</f>
        <v>FES1162564319</v>
      </c>
      <c r="D2829" s="10" t="s">
        <v>19</v>
      </c>
      <c r="E2829" s="10" t="s">
        <v>513</v>
      </c>
      <c r="F2829" s="10" t="str">
        <f>"2170580806 "</f>
        <v xml:space="preserve">2170580806 </v>
      </c>
      <c r="G2829" s="10" t="str">
        <f t="shared" si="125"/>
        <v>ON1</v>
      </c>
      <c r="H2829" s="10" t="s">
        <v>21</v>
      </c>
      <c r="I2829" s="10" t="s">
        <v>138</v>
      </c>
      <c r="J2829" s="10" t="str">
        <f>""</f>
        <v/>
      </c>
      <c r="K2829" s="10" t="str">
        <f>"PFES1162564319_0001"</f>
        <v>PFES1162564319_0001</v>
      </c>
      <c r="L2829" s="10">
        <v>1</v>
      </c>
      <c r="M2829" s="10">
        <v>1</v>
      </c>
    </row>
    <row r="2830" spans="1:13">
      <c r="A2830" s="8">
        <v>42940</v>
      </c>
      <c r="B2830" s="9">
        <v>0.55486111111111114</v>
      </c>
      <c r="C2830" s="10" t="str">
        <f>"FES1162564181"</f>
        <v>FES1162564181</v>
      </c>
      <c r="D2830" s="10" t="s">
        <v>19</v>
      </c>
      <c r="E2830" s="10" t="s">
        <v>333</v>
      </c>
      <c r="F2830" s="10" t="str">
        <f>"2170578063 "</f>
        <v xml:space="preserve">2170578063 </v>
      </c>
      <c r="G2830" s="10" t="str">
        <f t="shared" si="125"/>
        <v>ON1</v>
      </c>
      <c r="H2830" s="10" t="s">
        <v>21</v>
      </c>
      <c r="I2830" s="10" t="s">
        <v>334</v>
      </c>
      <c r="J2830" s="10" t="str">
        <f>""</f>
        <v/>
      </c>
      <c r="K2830" s="10" t="str">
        <f>"PFES1162564181_0001"</f>
        <v>PFES1162564181_0001</v>
      </c>
      <c r="L2830" s="10">
        <v>1</v>
      </c>
      <c r="M2830" s="10">
        <v>1</v>
      </c>
    </row>
    <row r="2831" spans="1:13">
      <c r="A2831" s="8">
        <v>42940</v>
      </c>
      <c r="B2831" s="9">
        <v>0.5541666666666667</v>
      </c>
      <c r="C2831" s="10" t="str">
        <f>"FES1162564220"</f>
        <v>FES1162564220</v>
      </c>
      <c r="D2831" s="10" t="s">
        <v>19</v>
      </c>
      <c r="E2831" s="10" t="s">
        <v>288</v>
      </c>
      <c r="F2831" s="10" t="str">
        <f>"2170579591 "</f>
        <v xml:space="preserve">2170579591 </v>
      </c>
      <c r="G2831" s="10" t="str">
        <f t="shared" si="125"/>
        <v>ON1</v>
      </c>
      <c r="H2831" s="10" t="s">
        <v>21</v>
      </c>
      <c r="I2831" s="10" t="s">
        <v>300</v>
      </c>
      <c r="J2831" s="10" t="str">
        <f>""</f>
        <v/>
      </c>
      <c r="K2831" s="10" t="str">
        <f>"PFES1162564220_0001"</f>
        <v>PFES1162564220_0001</v>
      </c>
      <c r="L2831" s="10">
        <v>1</v>
      </c>
      <c r="M2831" s="10">
        <v>1</v>
      </c>
    </row>
    <row r="2832" spans="1:13">
      <c r="A2832" s="8">
        <v>42940</v>
      </c>
      <c r="B2832" s="9">
        <v>0.55208333333333337</v>
      </c>
      <c r="C2832" s="10" t="str">
        <f>"FES1162564180"</f>
        <v>FES1162564180</v>
      </c>
      <c r="D2832" s="10" t="s">
        <v>19</v>
      </c>
      <c r="E2832" s="10" t="s">
        <v>459</v>
      </c>
      <c r="F2832" s="10" t="str">
        <f>"2170578049 "</f>
        <v xml:space="preserve">2170578049 </v>
      </c>
      <c r="G2832" s="10" t="str">
        <f t="shared" si="125"/>
        <v>ON1</v>
      </c>
      <c r="H2832" s="10" t="s">
        <v>21</v>
      </c>
      <c r="I2832" s="10" t="s">
        <v>330</v>
      </c>
      <c r="J2832" s="10" t="str">
        <f>""</f>
        <v/>
      </c>
      <c r="K2832" s="10" t="str">
        <f>"PFES1162564180_0001"</f>
        <v>PFES1162564180_0001</v>
      </c>
      <c r="L2832" s="10">
        <v>1</v>
      </c>
      <c r="M2832" s="10">
        <v>1</v>
      </c>
    </row>
    <row r="2833" spans="1:13">
      <c r="A2833" s="8">
        <v>42940</v>
      </c>
      <c r="B2833" s="9">
        <v>0.55138888888888882</v>
      </c>
      <c r="C2833" s="10" t="str">
        <f>"FES1162564166"</f>
        <v>FES1162564166</v>
      </c>
      <c r="D2833" s="10" t="s">
        <v>19</v>
      </c>
      <c r="E2833" s="10" t="s">
        <v>333</v>
      </c>
      <c r="F2833" s="10" t="str">
        <f>"2170580717 "</f>
        <v xml:space="preserve">2170580717 </v>
      </c>
      <c r="G2833" s="10" t="str">
        <f t="shared" si="125"/>
        <v>ON1</v>
      </c>
      <c r="H2833" s="10" t="s">
        <v>21</v>
      </c>
      <c r="I2833" s="10" t="s">
        <v>334</v>
      </c>
      <c r="J2833" s="10" t="str">
        <f>""</f>
        <v/>
      </c>
      <c r="K2833" s="10" t="str">
        <f>"PFES1162564166_0001"</f>
        <v>PFES1162564166_0001</v>
      </c>
      <c r="L2833" s="10">
        <v>1</v>
      </c>
      <c r="M2833" s="10">
        <v>1</v>
      </c>
    </row>
    <row r="2834" spans="1:13">
      <c r="A2834" s="8">
        <v>42940</v>
      </c>
      <c r="B2834" s="9">
        <v>0.55069444444444449</v>
      </c>
      <c r="C2834" s="10" t="str">
        <f>"FES1162564208"</f>
        <v>FES1162564208</v>
      </c>
      <c r="D2834" s="10" t="s">
        <v>19</v>
      </c>
      <c r="E2834" s="10" t="s">
        <v>180</v>
      </c>
      <c r="F2834" s="10" t="str">
        <f>"2170578622 "</f>
        <v xml:space="preserve">2170578622 </v>
      </c>
      <c r="G2834" s="10" t="str">
        <f t="shared" si="125"/>
        <v>ON1</v>
      </c>
      <c r="H2834" s="10" t="s">
        <v>21</v>
      </c>
      <c r="I2834" s="10" t="s">
        <v>168</v>
      </c>
      <c r="J2834" s="10" t="str">
        <f>""</f>
        <v/>
      </c>
      <c r="K2834" s="10" t="str">
        <f>"PFES1162564208_0001"</f>
        <v>PFES1162564208_0001</v>
      </c>
      <c r="L2834" s="10">
        <v>1</v>
      </c>
      <c r="M2834" s="10">
        <v>1</v>
      </c>
    </row>
    <row r="2835" spans="1:13">
      <c r="A2835" s="8">
        <v>42940</v>
      </c>
      <c r="B2835" s="9">
        <v>0.54999999999999993</v>
      </c>
      <c r="C2835" s="10" t="str">
        <f>"FES1162564162"</f>
        <v>FES1162564162</v>
      </c>
      <c r="D2835" s="10" t="s">
        <v>19</v>
      </c>
      <c r="E2835" s="10" t="s">
        <v>460</v>
      </c>
      <c r="F2835" s="10" t="str">
        <f>"2170580713 "</f>
        <v xml:space="preserve">2170580713 </v>
      </c>
      <c r="G2835" s="10" t="str">
        <f t="shared" si="125"/>
        <v>ON1</v>
      </c>
      <c r="H2835" s="10" t="s">
        <v>21</v>
      </c>
      <c r="I2835" s="10" t="s">
        <v>461</v>
      </c>
      <c r="J2835" s="10" t="str">
        <f>""</f>
        <v/>
      </c>
      <c r="K2835" s="10" t="str">
        <f>"PFES1162564162_0001"</f>
        <v>PFES1162564162_0001</v>
      </c>
      <c r="L2835" s="10">
        <v>1</v>
      </c>
      <c r="M2835" s="10">
        <v>1</v>
      </c>
    </row>
    <row r="2836" spans="1:13">
      <c r="A2836" s="8">
        <v>42940</v>
      </c>
      <c r="B2836" s="9">
        <v>0.54861111111111105</v>
      </c>
      <c r="C2836" s="10" t="str">
        <f>"FES1162564257"</f>
        <v>FES1162564257</v>
      </c>
      <c r="D2836" s="10" t="s">
        <v>19</v>
      </c>
      <c r="E2836" s="10" t="s">
        <v>329</v>
      </c>
      <c r="F2836" s="10" t="str">
        <f>"2170580732 "</f>
        <v xml:space="preserve">2170580732 </v>
      </c>
      <c r="G2836" s="10" t="str">
        <f t="shared" si="125"/>
        <v>ON1</v>
      </c>
      <c r="H2836" s="10" t="s">
        <v>21</v>
      </c>
      <c r="I2836" s="10" t="s">
        <v>330</v>
      </c>
      <c r="J2836" s="10" t="str">
        <f>""</f>
        <v/>
      </c>
      <c r="K2836" s="10" t="str">
        <f>"PFES1162564257_0001"</f>
        <v>PFES1162564257_0001</v>
      </c>
      <c r="L2836" s="10">
        <v>1</v>
      </c>
      <c r="M2836" s="10">
        <v>1</v>
      </c>
    </row>
    <row r="2837" spans="1:13">
      <c r="A2837" s="8">
        <v>42940</v>
      </c>
      <c r="B2837" s="9">
        <v>0.54791666666666672</v>
      </c>
      <c r="C2837" s="10" t="str">
        <f>"FES1162564199"</f>
        <v>FES1162564199</v>
      </c>
      <c r="D2837" s="10" t="s">
        <v>19</v>
      </c>
      <c r="E2837" s="10" t="s">
        <v>355</v>
      </c>
      <c r="F2837" s="10" t="str">
        <f>"2170578425 "</f>
        <v xml:space="preserve">2170578425 </v>
      </c>
      <c r="G2837" s="10" t="str">
        <f t="shared" si="125"/>
        <v>ON1</v>
      </c>
      <c r="H2837" s="10" t="s">
        <v>21</v>
      </c>
      <c r="I2837" s="10" t="s">
        <v>330</v>
      </c>
      <c r="J2837" s="10" t="str">
        <f>""</f>
        <v/>
      </c>
      <c r="K2837" s="10" t="str">
        <f>"PFES1162564199_0001"</f>
        <v>PFES1162564199_0001</v>
      </c>
      <c r="L2837" s="10">
        <v>1</v>
      </c>
      <c r="M2837" s="10">
        <v>1</v>
      </c>
    </row>
    <row r="2838" spans="1:13">
      <c r="A2838" s="8">
        <v>42940</v>
      </c>
      <c r="B2838" s="9">
        <v>0.53055555555555556</v>
      </c>
      <c r="C2838" s="10" t="str">
        <f>"FES1162564317"</f>
        <v>FES1162564317</v>
      </c>
      <c r="D2838" s="10" t="s">
        <v>19</v>
      </c>
      <c r="E2838" s="10" t="s">
        <v>439</v>
      </c>
      <c r="F2838" s="10" t="str">
        <f>"2170580804 "</f>
        <v xml:space="preserve">2170580804 </v>
      </c>
      <c r="G2838" s="10" t="str">
        <f t="shared" si="125"/>
        <v>ON1</v>
      </c>
      <c r="H2838" s="10" t="s">
        <v>21</v>
      </c>
      <c r="I2838" s="10" t="s">
        <v>232</v>
      </c>
      <c r="J2838" s="10" t="str">
        <f>""</f>
        <v/>
      </c>
      <c r="K2838" s="10" t="str">
        <f>"PFES1162564317_0001"</f>
        <v>PFES1162564317_0001</v>
      </c>
      <c r="L2838" s="10">
        <v>1</v>
      </c>
      <c r="M2838" s="10">
        <v>2</v>
      </c>
    </row>
    <row r="2839" spans="1:13">
      <c r="A2839" s="8">
        <v>42940</v>
      </c>
      <c r="B2839" s="9">
        <v>0.52986111111111112</v>
      </c>
      <c r="C2839" s="10" t="str">
        <f>"FES1162564266"</f>
        <v>FES1162564266</v>
      </c>
      <c r="D2839" s="10" t="s">
        <v>19</v>
      </c>
      <c r="E2839" s="10" t="s">
        <v>131</v>
      </c>
      <c r="F2839" s="10" t="str">
        <f>"2170587460 "</f>
        <v xml:space="preserve">2170587460 </v>
      </c>
      <c r="G2839" s="10" t="str">
        <f t="shared" si="125"/>
        <v>ON1</v>
      </c>
      <c r="H2839" s="10" t="s">
        <v>21</v>
      </c>
      <c r="I2839" s="10" t="s">
        <v>132</v>
      </c>
      <c r="J2839" s="10" t="str">
        <f>""</f>
        <v/>
      </c>
      <c r="K2839" s="10" t="str">
        <f>"PFES1162564266_0001"</f>
        <v>PFES1162564266_0001</v>
      </c>
      <c r="L2839" s="10">
        <v>1</v>
      </c>
      <c r="M2839" s="10">
        <v>1</v>
      </c>
    </row>
    <row r="2840" spans="1:13">
      <c r="A2840" s="8">
        <v>42940</v>
      </c>
      <c r="B2840" s="9">
        <v>0.52986111111111112</v>
      </c>
      <c r="C2840" s="10" t="str">
        <f>"FES1162564336"</f>
        <v>FES1162564336</v>
      </c>
      <c r="D2840" s="10" t="s">
        <v>19</v>
      </c>
      <c r="E2840" s="10" t="s">
        <v>1072</v>
      </c>
      <c r="F2840" s="10" t="str">
        <f>"2170580826 "</f>
        <v xml:space="preserve">2170580826 </v>
      </c>
      <c r="G2840" s="10" t="str">
        <f t="shared" si="125"/>
        <v>ON1</v>
      </c>
      <c r="H2840" s="10" t="s">
        <v>21</v>
      </c>
      <c r="I2840" s="10" t="s">
        <v>1073</v>
      </c>
      <c r="J2840" s="10" t="str">
        <f>""</f>
        <v/>
      </c>
      <c r="K2840" s="10" t="str">
        <f>"PFES1162564336_0001"</f>
        <v>PFES1162564336_0001</v>
      </c>
      <c r="L2840" s="10">
        <v>1</v>
      </c>
      <c r="M2840" s="10">
        <v>5</v>
      </c>
    </row>
    <row r="2841" spans="1:13">
      <c r="A2841" s="8">
        <v>42940</v>
      </c>
      <c r="B2841" s="9">
        <v>0.52916666666666667</v>
      </c>
      <c r="C2841" s="10" t="str">
        <f>"FES1162564286"</f>
        <v>FES1162564286</v>
      </c>
      <c r="D2841" s="10" t="s">
        <v>19</v>
      </c>
      <c r="E2841" s="10" t="s">
        <v>1074</v>
      </c>
      <c r="F2841" s="10" t="str">
        <f>"2170580763 "</f>
        <v xml:space="preserve">2170580763 </v>
      </c>
      <c r="G2841" s="10" t="str">
        <f t="shared" si="125"/>
        <v>ON1</v>
      </c>
      <c r="H2841" s="10" t="s">
        <v>21</v>
      </c>
      <c r="I2841" s="10" t="s">
        <v>874</v>
      </c>
      <c r="J2841" s="10" t="str">
        <f>""</f>
        <v/>
      </c>
      <c r="K2841" s="10" t="str">
        <f>"PFES1162564286_0001"</f>
        <v>PFES1162564286_0001</v>
      </c>
      <c r="L2841" s="10">
        <v>1</v>
      </c>
      <c r="M2841" s="10">
        <v>1</v>
      </c>
    </row>
    <row r="2842" spans="1:13">
      <c r="A2842" s="8">
        <v>42940</v>
      </c>
      <c r="B2842" s="9">
        <v>0.52847222222222223</v>
      </c>
      <c r="C2842" s="10" t="str">
        <f>"FES1162564268"</f>
        <v>FES1162564268</v>
      </c>
      <c r="D2842" s="10" t="s">
        <v>19</v>
      </c>
      <c r="E2842" s="10" t="s">
        <v>131</v>
      </c>
      <c r="F2842" s="10" t="str">
        <f>"2170580740 "</f>
        <v xml:space="preserve">2170580740 </v>
      </c>
      <c r="G2842" s="10" t="str">
        <f t="shared" si="125"/>
        <v>ON1</v>
      </c>
      <c r="H2842" s="10" t="s">
        <v>21</v>
      </c>
      <c r="I2842" s="10" t="s">
        <v>132</v>
      </c>
      <c r="J2842" s="10" t="str">
        <f>""</f>
        <v/>
      </c>
      <c r="K2842" s="10" t="str">
        <f>"PFES1162564268_0001"</f>
        <v>PFES1162564268_0001</v>
      </c>
      <c r="L2842" s="10">
        <v>1</v>
      </c>
      <c r="M2842" s="10">
        <v>1</v>
      </c>
    </row>
    <row r="2843" spans="1:13">
      <c r="A2843" s="8">
        <v>42940</v>
      </c>
      <c r="B2843" s="9">
        <v>0.52847222222222223</v>
      </c>
      <c r="C2843" s="10" t="str">
        <f>"FES1162564173"</f>
        <v>FES1162564173</v>
      </c>
      <c r="D2843" s="10" t="s">
        <v>19</v>
      </c>
      <c r="E2843" s="10" t="s">
        <v>108</v>
      </c>
      <c r="F2843" s="10" t="str">
        <f>"2170576281 "</f>
        <v xml:space="preserve">2170576281 </v>
      </c>
      <c r="G2843" s="10" t="str">
        <f t="shared" si="125"/>
        <v>ON1</v>
      </c>
      <c r="H2843" s="10" t="s">
        <v>21</v>
      </c>
      <c r="I2843" s="10" t="s">
        <v>109</v>
      </c>
      <c r="J2843" s="10" t="str">
        <f>""</f>
        <v/>
      </c>
      <c r="K2843" s="10" t="str">
        <f>"PFES1162564173_0001"</f>
        <v>PFES1162564173_0001</v>
      </c>
      <c r="L2843" s="10">
        <v>1</v>
      </c>
      <c r="M2843" s="10">
        <v>1</v>
      </c>
    </row>
    <row r="2844" spans="1:13">
      <c r="A2844" s="8">
        <v>42940</v>
      </c>
      <c r="B2844" s="9">
        <v>0.52777777777777779</v>
      </c>
      <c r="C2844" s="10" t="str">
        <f>"FES1162564189"</f>
        <v>FES1162564189</v>
      </c>
      <c r="D2844" s="10" t="s">
        <v>19</v>
      </c>
      <c r="E2844" s="10" t="s">
        <v>140</v>
      </c>
      <c r="F2844" s="10" t="str">
        <f>"217058253 "</f>
        <v xml:space="preserve">217058253 </v>
      </c>
      <c r="G2844" s="10" t="str">
        <f t="shared" si="125"/>
        <v>ON1</v>
      </c>
      <c r="H2844" s="10" t="s">
        <v>21</v>
      </c>
      <c r="I2844" s="10" t="s">
        <v>109</v>
      </c>
      <c r="J2844" s="10" t="str">
        <f>""</f>
        <v/>
      </c>
      <c r="K2844" s="10" t="str">
        <f>"PFES1162564189_0001"</f>
        <v>PFES1162564189_0001</v>
      </c>
      <c r="L2844" s="10">
        <v>1</v>
      </c>
      <c r="M2844" s="10">
        <v>1</v>
      </c>
    </row>
    <row r="2845" spans="1:13">
      <c r="A2845" s="8">
        <v>42940</v>
      </c>
      <c r="B2845" s="9">
        <v>0.52777777777777779</v>
      </c>
      <c r="C2845" s="10" t="str">
        <f>"FES1162564254"</f>
        <v>FES1162564254</v>
      </c>
      <c r="D2845" s="10" t="s">
        <v>19</v>
      </c>
      <c r="E2845" s="10" t="s">
        <v>768</v>
      </c>
      <c r="F2845" s="10" t="str">
        <f>"2170580723 "</f>
        <v xml:space="preserve">2170580723 </v>
      </c>
      <c r="G2845" s="10" t="str">
        <f t="shared" si="125"/>
        <v>ON1</v>
      </c>
      <c r="H2845" s="10" t="s">
        <v>21</v>
      </c>
      <c r="I2845" s="10" t="s">
        <v>601</v>
      </c>
      <c r="J2845" s="10" t="str">
        <f>""</f>
        <v/>
      </c>
      <c r="K2845" s="10" t="str">
        <f>"PFES1162564254_0001"</f>
        <v>PFES1162564254_0001</v>
      </c>
      <c r="L2845" s="10">
        <v>1</v>
      </c>
      <c r="M2845" s="10">
        <v>1</v>
      </c>
    </row>
    <row r="2846" spans="1:13">
      <c r="A2846" s="8">
        <v>42940</v>
      </c>
      <c r="B2846" s="9">
        <v>0.52708333333333335</v>
      </c>
      <c r="C2846" s="10" t="str">
        <f>"FES1162564226"</f>
        <v>FES1162564226</v>
      </c>
      <c r="D2846" s="10" t="s">
        <v>19</v>
      </c>
      <c r="E2846" s="10" t="s">
        <v>825</v>
      </c>
      <c r="F2846" s="10" t="str">
        <f>"217059907 "</f>
        <v xml:space="preserve">217059907 </v>
      </c>
      <c r="G2846" s="10" t="str">
        <f t="shared" si="125"/>
        <v>ON1</v>
      </c>
      <c r="H2846" s="10" t="s">
        <v>21</v>
      </c>
      <c r="I2846" s="10" t="s">
        <v>724</v>
      </c>
      <c r="J2846" s="10" t="str">
        <f>""</f>
        <v/>
      </c>
      <c r="K2846" s="10" t="str">
        <f>"PFES1162564226_0001"</f>
        <v>PFES1162564226_0001</v>
      </c>
      <c r="L2846" s="10">
        <v>1</v>
      </c>
      <c r="M2846" s="10">
        <v>1</v>
      </c>
    </row>
    <row r="2847" spans="1:13">
      <c r="A2847" s="8">
        <v>42940</v>
      </c>
      <c r="B2847" s="9">
        <v>0.52708333333333335</v>
      </c>
      <c r="C2847" s="10" t="str">
        <f>"FES1162564304"</f>
        <v>FES1162564304</v>
      </c>
      <c r="D2847" s="10" t="s">
        <v>19</v>
      </c>
      <c r="E2847" s="10" t="s">
        <v>509</v>
      </c>
      <c r="F2847" s="10" t="str">
        <f>"217058084 "</f>
        <v xml:space="preserve">217058084 </v>
      </c>
      <c r="G2847" s="10" t="str">
        <f t="shared" si="125"/>
        <v>ON1</v>
      </c>
      <c r="H2847" s="10" t="s">
        <v>21</v>
      </c>
      <c r="I2847" s="10" t="s">
        <v>510</v>
      </c>
      <c r="J2847" s="10" t="str">
        <f>""</f>
        <v/>
      </c>
      <c r="K2847" s="10" t="str">
        <f>"PFES1162564304_0001"</f>
        <v>PFES1162564304_0001</v>
      </c>
      <c r="L2847" s="10">
        <v>1</v>
      </c>
      <c r="M2847" s="10">
        <v>1</v>
      </c>
    </row>
    <row r="2848" spans="1:13">
      <c r="A2848" s="8">
        <v>42940</v>
      </c>
      <c r="B2848" s="9">
        <v>0.52708333333333335</v>
      </c>
      <c r="C2848" s="10" t="str">
        <f>"FES1162564298"</f>
        <v>FES1162564298</v>
      </c>
      <c r="D2848" s="10" t="s">
        <v>19</v>
      </c>
      <c r="E2848" s="10" t="s">
        <v>512</v>
      </c>
      <c r="F2848" s="10" t="str">
        <f>"2170580779 "</f>
        <v xml:space="preserve">2170580779 </v>
      </c>
      <c r="G2848" s="10" t="str">
        <f t="shared" si="125"/>
        <v>ON1</v>
      </c>
      <c r="H2848" s="10" t="s">
        <v>21</v>
      </c>
      <c r="I2848" s="10" t="s">
        <v>157</v>
      </c>
      <c r="J2848" s="10" t="str">
        <f>""</f>
        <v/>
      </c>
      <c r="K2848" s="10" t="str">
        <f>"PFES1162564298_0001"</f>
        <v>PFES1162564298_0001</v>
      </c>
      <c r="L2848" s="10">
        <v>1</v>
      </c>
      <c r="M2848" s="10">
        <v>1</v>
      </c>
    </row>
    <row r="2849" spans="1:13">
      <c r="A2849" s="8">
        <v>42940</v>
      </c>
      <c r="B2849" s="9">
        <v>0.52638888888888891</v>
      </c>
      <c r="C2849" s="10" t="str">
        <f>"FES1162564233"</f>
        <v>FES1162564233</v>
      </c>
      <c r="D2849" s="10" t="s">
        <v>19</v>
      </c>
      <c r="E2849" s="10" t="s">
        <v>1075</v>
      </c>
      <c r="F2849" s="10" t="str">
        <f>"2170580079 "</f>
        <v xml:space="preserve">2170580079 </v>
      </c>
      <c r="G2849" s="10" t="str">
        <f t="shared" si="125"/>
        <v>ON1</v>
      </c>
      <c r="H2849" s="10" t="s">
        <v>21</v>
      </c>
      <c r="I2849" s="10" t="s">
        <v>455</v>
      </c>
      <c r="J2849" s="10" t="str">
        <f>""</f>
        <v/>
      </c>
      <c r="K2849" s="10" t="str">
        <f>"PFES1162564233_0001"</f>
        <v>PFES1162564233_0001</v>
      </c>
      <c r="L2849" s="10">
        <v>1</v>
      </c>
      <c r="M2849" s="10">
        <v>1</v>
      </c>
    </row>
    <row r="2850" spans="1:13">
      <c r="A2850" s="8">
        <v>42940</v>
      </c>
      <c r="B2850" s="9">
        <v>0.52638888888888891</v>
      </c>
      <c r="C2850" s="10" t="str">
        <f>"FES1162564243"</f>
        <v>FES1162564243</v>
      </c>
      <c r="D2850" s="10" t="s">
        <v>19</v>
      </c>
      <c r="E2850" s="10" t="s">
        <v>329</v>
      </c>
      <c r="F2850" s="10" t="str">
        <f>"2170580592 "</f>
        <v xml:space="preserve">2170580592 </v>
      </c>
      <c r="G2850" s="10" t="str">
        <f t="shared" si="125"/>
        <v>ON1</v>
      </c>
      <c r="H2850" s="10" t="s">
        <v>21</v>
      </c>
      <c r="I2850" s="10" t="s">
        <v>330</v>
      </c>
      <c r="J2850" s="10" t="str">
        <f>""</f>
        <v/>
      </c>
      <c r="K2850" s="10" t="str">
        <f>"PFES1162564243_0001"</f>
        <v>PFES1162564243_0001</v>
      </c>
      <c r="L2850" s="10">
        <v>1</v>
      </c>
      <c r="M2850" s="10">
        <v>1</v>
      </c>
    </row>
    <row r="2851" spans="1:13">
      <c r="A2851" s="8">
        <v>42940</v>
      </c>
      <c r="B2851" s="9">
        <v>0.52638888888888891</v>
      </c>
      <c r="C2851" s="10" t="str">
        <f>"FES1162564296"</f>
        <v>FES1162564296</v>
      </c>
      <c r="D2851" s="10" t="s">
        <v>19</v>
      </c>
      <c r="E2851" s="10" t="s">
        <v>512</v>
      </c>
      <c r="F2851" s="10" t="str">
        <f>"2170580777 "</f>
        <v xml:space="preserve">2170580777 </v>
      </c>
      <c r="G2851" s="10" t="str">
        <f t="shared" si="125"/>
        <v>ON1</v>
      </c>
      <c r="H2851" s="10" t="s">
        <v>21</v>
      </c>
      <c r="I2851" s="10" t="s">
        <v>157</v>
      </c>
      <c r="J2851" s="10" t="str">
        <f>""</f>
        <v/>
      </c>
      <c r="K2851" s="10" t="str">
        <f>"PFES1162564296_0001"</f>
        <v>PFES1162564296_0001</v>
      </c>
      <c r="L2851" s="10">
        <v>1</v>
      </c>
      <c r="M2851" s="10">
        <v>1</v>
      </c>
    </row>
    <row r="2852" spans="1:13">
      <c r="A2852" s="8">
        <v>42940</v>
      </c>
      <c r="B2852" s="9">
        <v>0.52638888888888891</v>
      </c>
      <c r="C2852" s="10" t="str">
        <f>"FES1162564280"</f>
        <v>FES1162564280</v>
      </c>
      <c r="D2852" s="10" t="s">
        <v>19</v>
      </c>
      <c r="E2852" s="10" t="s">
        <v>481</v>
      </c>
      <c r="F2852" s="10" t="str">
        <f>"210580755 "</f>
        <v xml:space="preserve">210580755 </v>
      </c>
      <c r="G2852" s="10" t="str">
        <f t="shared" si="125"/>
        <v>ON1</v>
      </c>
      <c r="H2852" s="10" t="s">
        <v>21</v>
      </c>
      <c r="I2852" s="10" t="s">
        <v>24</v>
      </c>
      <c r="J2852" s="10" t="str">
        <f>""</f>
        <v/>
      </c>
      <c r="K2852" s="10" t="str">
        <f>"PFES1162564280_0001"</f>
        <v>PFES1162564280_0001</v>
      </c>
      <c r="L2852" s="10">
        <v>1</v>
      </c>
      <c r="M2852" s="10">
        <v>1</v>
      </c>
    </row>
    <row r="2853" spans="1:13">
      <c r="A2853" s="8">
        <v>42940</v>
      </c>
      <c r="B2853" s="9">
        <v>0.52569444444444446</v>
      </c>
      <c r="C2853" s="10" t="str">
        <f>"FES1162564149"</f>
        <v>FES1162564149</v>
      </c>
      <c r="D2853" s="10" t="s">
        <v>19</v>
      </c>
      <c r="E2853" s="10" t="s">
        <v>1076</v>
      </c>
      <c r="F2853" s="10" t="str">
        <f>"2170580696 "</f>
        <v xml:space="preserve">2170580696 </v>
      </c>
      <c r="G2853" s="10" t="str">
        <f t="shared" ref="G2853:G2893" si="126">"ON1"</f>
        <v>ON1</v>
      </c>
      <c r="H2853" s="10" t="s">
        <v>21</v>
      </c>
      <c r="I2853" s="10" t="s">
        <v>1077</v>
      </c>
      <c r="J2853" s="10" t="str">
        <f>""</f>
        <v/>
      </c>
      <c r="K2853" s="10" t="str">
        <f>"PFES1162564149_0001"</f>
        <v>PFES1162564149_0001</v>
      </c>
      <c r="L2853" s="10">
        <v>1</v>
      </c>
      <c r="M2853" s="10">
        <v>1</v>
      </c>
    </row>
    <row r="2854" spans="1:13">
      <c r="A2854" s="8">
        <v>42940</v>
      </c>
      <c r="B2854" s="9">
        <v>0.52430555555555558</v>
      </c>
      <c r="C2854" s="10" t="str">
        <f>"FES1162564238"</f>
        <v>FES1162564238</v>
      </c>
      <c r="D2854" s="10" t="s">
        <v>19</v>
      </c>
      <c r="E2854" s="10" t="s">
        <v>140</v>
      </c>
      <c r="F2854" s="10" t="str">
        <f>"2170580475 "</f>
        <v xml:space="preserve">2170580475 </v>
      </c>
      <c r="G2854" s="10" t="str">
        <f t="shared" si="126"/>
        <v>ON1</v>
      </c>
      <c r="H2854" s="10" t="s">
        <v>21</v>
      </c>
      <c r="I2854" s="10" t="s">
        <v>109</v>
      </c>
      <c r="J2854" s="10" t="str">
        <f>""</f>
        <v/>
      </c>
      <c r="K2854" s="10" t="str">
        <f>"PFES1162564238_0001"</f>
        <v>PFES1162564238_0001</v>
      </c>
      <c r="L2854" s="10">
        <v>1</v>
      </c>
      <c r="M2854" s="10">
        <v>6</v>
      </c>
    </row>
    <row r="2855" spans="1:13">
      <c r="A2855" s="8">
        <v>42940</v>
      </c>
      <c r="B2855" s="9">
        <v>0.52430555555555558</v>
      </c>
      <c r="C2855" s="10" t="str">
        <f>"FES1162564155"</f>
        <v>FES1162564155</v>
      </c>
      <c r="D2855" s="10" t="s">
        <v>19</v>
      </c>
      <c r="E2855" s="10" t="s">
        <v>33</v>
      </c>
      <c r="F2855" s="10" t="str">
        <f>"2170580705 "</f>
        <v xml:space="preserve">2170580705 </v>
      </c>
      <c r="G2855" s="10" t="str">
        <f t="shared" si="126"/>
        <v>ON1</v>
      </c>
      <c r="H2855" s="10" t="s">
        <v>21</v>
      </c>
      <c r="I2855" s="10" t="s">
        <v>34</v>
      </c>
      <c r="J2855" s="10" t="str">
        <f>""</f>
        <v/>
      </c>
      <c r="K2855" s="10" t="str">
        <f>"PFES1162564155_0001"</f>
        <v>PFES1162564155_0001</v>
      </c>
      <c r="L2855" s="10">
        <v>1</v>
      </c>
      <c r="M2855" s="10">
        <v>1</v>
      </c>
    </row>
    <row r="2856" spans="1:13">
      <c r="A2856" s="8">
        <v>42940</v>
      </c>
      <c r="B2856" s="9">
        <v>0.52361111111111114</v>
      </c>
      <c r="C2856" s="10" t="str">
        <f>"FES1162564218"</f>
        <v>FES1162564218</v>
      </c>
      <c r="D2856" s="10" t="s">
        <v>19</v>
      </c>
      <c r="E2856" s="10" t="s">
        <v>33</v>
      </c>
      <c r="F2856" s="10" t="str">
        <f>"2170579309 "</f>
        <v xml:space="preserve">2170579309 </v>
      </c>
      <c r="G2856" s="10" t="str">
        <f t="shared" si="126"/>
        <v>ON1</v>
      </c>
      <c r="H2856" s="10" t="s">
        <v>21</v>
      </c>
      <c r="I2856" s="10" t="s">
        <v>34</v>
      </c>
      <c r="J2856" s="10" t="str">
        <f>""</f>
        <v/>
      </c>
      <c r="K2856" s="10" t="str">
        <f>"PFES1162564218_0001"</f>
        <v>PFES1162564218_0001</v>
      </c>
      <c r="L2856" s="10">
        <v>1</v>
      </c>
      <c r="M2856" s="10">
        <v>1</v>
      </c>
    </row>
    <row r="2857" spans="1:13">
      <c r="A2857" s="8">
        <v>42940</v>
      </c>
      <c r="B2857" s="9">
        <v>0.52361111111111114</v>
      </c>
      <c r="C2857" s="10" t="str">
        <f>"FES1162564210"</f>
        <v>FES1162564210</v>
      </c>
      <c r="D2857" s="10" t="s">
        <v>19</v>
      </c>
      <c r="E2857" s="10" t="s">
        <v>651</v>
      </c>
      <c r="F2857" s="10" t="str">
        <f>"217058671 "</f>
        <v xml:space="preserve">217058671 </v>
      </c>
      <c r="G2857" s="10" t="str">
        <f t="shared" si="126"/>
        <v>ON1</v>
      </c>
      <c r="H2857" s="10" t="s">
        <v>21</v>
      </c>
      <c r="I2857" s="10" t="s">
        <v>652</v>
      </c>
      <c r="J2857" s="10" t="str">
        <f>""</f>
        <v/>
      </c>
      <c r="K2857" s="10" t="str">
        <f>"PFES1162564210_0001"</f>
        <v>PFES1162564210_0001</v>
      </c>
      <c r="L2857" s="10">
        <v>1</v>
      </c>
      <c r="M2857" s="10">
        <v>1</v>
      </c>
    </row>
    <row r="2858" spans="1:13">
      <c r="A2858" s="8">
        <v>42940</v>
      </c>
      <c r="B2858" s="9">
        <v>0.52361111111111114</v>
      </c>
      <c r="C2858" s="10" t="str">
        <f>"FES1162564234"</f>
        <v>FES1162564234</v>
      </c>
      <c r="D2858" s="10" t="s">
        <v>19</v>
      </c>
      <c r="E2858" s="10" t="s">
        <v>33</v>
      </c>
      <c r="F2858" s="10" t="str">
        <f>"2170578014 "</f>
        <v xml:space="preserve">2170578014 </v>
      </c>
      <c r="G2858" s="10" t="str">
        <f t="shared" si="126"/>
        <v>ON1</v>
      </c>
      <c r="H2858" s="10" t="s">
        <v>21</v>
      </c>
      <c r="I2858" s="10" t="s">
        <v>34</v>
      </c>
      <c r="J2858" s="10" t="str">
        <f>""</f>
        <v/>
      </c>
      <c r="K2858" s="10" t="str">
        <f>"PFES1162564234_0001"</f>
        <v>PFES1162564234_0001</v>
      </c>
      <c r="L2858" s="10">
        <v>1</v>
      </c>
      <c r="M2858" s="10">
        <v>1</v>
      </c>
    </row>
    <row r="2859" spans="1:13">
      <c r="A2859" s="8">
        <v>42940</v>
      </c>
      <c r="B2859" s="9">
        <v>0.5229166666666667</v>
      </c>
      <c r="C2859" s="10" t="str">
        <f>"FES1162564150"</f>
        <v>FES1162564150</v>
      </c>
      <c r="D2859" s="10" t="s">
        <v>19</v>
      </c>
      <c r="E2859" s="10" t="s">
        <v>288</v>
      </c>
      <c r="F2859" s="10" t="str">
        <f>"2170580697 "</f>
        <v xml:space="preserve">2170580697 </v>
      </c>
      <c r="G2859" s="10" t="str">
        <f t="shared" si="126"/>
        <v>ON1</v>
      </c>
      <c r="H2859" s="10" t="s">
        <v>21</v>
      </c>
      <c r="I2859" s="10" t="s">
        <v>412</v>
      </c>
      <c r="J2859" s="10" t="str">
        <f>""</f>
        <v/>
      </c>
      <c r="K2859" s="10" t="str">
        <f>"PFES1162564150_0001"</f>
        <v>PFES1162564150_0001</v>
      </c>
      <c r="L2859" s="10">
        <v>1</v>
      </c>
      <c r="M2859" s="10">
        <v>1</v>
      </c>
    </row>
    <row r="2860" spans="1:13">
      <c r="A2860" s="8">
        <v>42940</v>
      </c>
      <c r="B2860" s="9">
        <v>0.52222222222222225</v>
      </c>
      <c r="C2860" s="10" t="str">
        <f>"FES1162564263"</f>
        <v>FES1162564263</v>
      </c>
      <c r="D2860" s="10" t="s">
        <v>19</v>
      </c>
      <c r="E2860" s="10" t="s">
        <v>846</v>
      </c>
      <c r="F2860" s="10" t="str">
        <f>"2170580740 "</f>
        <v xml:space="preserve">2170580740 </v>
      </c>
      <c r="G2860" s="10" t="str">
        <f t="shared" si="126"/>
        <v>ON1</v>
      </c>
      <c r="H2860" s="10" t="s">
        <v>21</v>
      </c>
      <c r="I2860" s="10" t="s">
        <v>847</v>
      </c>
      <c r="J2860" s="10" t="str">
        <f>""</f>
        <v/>
      </c>
      <c r="K2860" s="10" t="str">
        <f>"PFES1162564263_0001"</f>
        <v>PFES1162564263_0001</v>
      </c>
      <c r="L2860" s="10">
        <v>1</v>
      </c>
      <c r="M2860" s="10">
        <v>1</v>
      </c>
    </row>
    <row r="2861" spans="1:13">
      <c r="A2861" s="8">
        <v>42940</v>
      </c>
      <c r="B2861" s="9">
        <v>0.52222222222222225</v>
      </c>
      <c r="C2861" s="10" t="str">
        <f>"FES1162564186"</f>
        <v>FES1162564186</v>
      </c>
      <c r="D2861" s="10" t="s">
        <v>19</v>
      </c>
      <c r="E2861" s="10" t="s">
        <v>693</v>
      </c>
      <c r="F2861" s="10" t="str">
        <f>"2170578220 "</f>
        <v xml:space="preserve">2170578220 </v>
      </c>
      <c r="G2861" s="10" t="str">
        <f t="shared" si="126"/>
        <v>ON1</v>
      </c>
      <c r="H2861" s="10" t="s">
        <v>21</v>
      </c>
      <c r="I2861" s="10" t="s">
        <v>161</v>
      </c>
      <c r="J2861" s="10" t="str">
        <f>""</f>
        <v/>
      </c>
      <c r="K2861" s="10" t="str">
        <f>"PFES1162564186_0001"</f>
        <v>PFES1162564186_0001</v>
      </c>
      <c r="L2861" s="10">
        <v>1</v>
      </c>
      <c r="M2861" s="10">
        <v>1</v>
      </c>
    </row>
    <row r="2862" spans="1:13">
      <c r="A2862" s="8">
        <v>42940</v>
      </c>
      <c r="B2862" s="9">
        <v>0.52083333333333337</v>
      </c>
      <c r="C2862" s="10" t="str">
        <f>"FES1162564313"</f>
        <v>FES1162564313</v>
      </c>
      <c r="D2862" s="10" t="s">
        <v>19</v>
      </c>
      <c r="E2862" s="10" t="s">
        <v>1078</v>
      </c>
      <c r="F2862" s="10" t="str">
        <f>"2170580083 "</f>
        <v xml:space="preserve">2170580083 </v>
      </c>
      <c r="G2862" s="10" t="str">
        <f t="shared" si="126"/>
        <v>ON1</v>
      </c>
      <c r="H2862" s="10" t="s">
        <v>21</v>
      </c>
      <c r="I2862" s="10" t="s">
        <v>213</v>
      </c>
      <c r="J2862" s="10" t="str">
        <f>""</f>
        <v/>
      </c>
      <c r="K2862" s="10" t="str">
        <f>"PFES1162564313_0001"</f>
        <v>PFES1162564313_0001</v>
      </c>
      <c r="L2862" s="10">
        <v>1</v>
      </c>
      <c r="M2862" s="10">
        <v>1</v>
      </c>
    </row>
    <row r="2863" spans="1:13">
      <c r="A2863" s="8">
        <v>42940</v>
      </c>
      <c r="B2863" s="9">
        <v>0.52013888888888882</v>
      </c>
      <c r="C2863" s="10" t="str">
        <f>"FES1162564300"</f>
        <v>FES1162564300</v>
      </c>
      <c r="D2863" s="10" t="s">
        <v>19</v>
      </c>
      <c r="E2863" s="10" t="s">
        <v>1079</v>
      </c>
      <c r="F2863" s="10" t="str">
        <f>"2170580781 "</f>
        <v xml:space="preserve">2170580781 </v>
      </c>
      <c r="G2863" s="10" t="str">
        <f t="shared" si="126"/>
        <v>ON1</v>
      </c>
      <c r="H2863" s="10" t="s">
        <v>21</v>
      </c>
      <c r="I2863" s="10" t="s">
        <v>1080</v>
      </c>
      <c r="J2863" s="10" t="str">
        <f>""</f>
        <v/>
      </c>
      <c r="K2863" s="10" t="str">
        <f>"PFES1162564300_0001"</f>
        <v>PFES1162564300_0001</v>
      </c>
      <c r="L2863" s="10">
        <v>1</v>
      </c>
      <c r="M2863" s="10">
        <v>1</v>
      </c>
    </row>
    <row r="2864" spans="1:13">
      <c r="A2864" s="8">
        <v>42940</v>
      </c>
      <c r="B2864" s="9">
        <v>0.52013888888888882</v>
      </c>
      <c r="C2864" s="10" t="str">
        <f>"FES1162564203"</f>
        <v>FES1162564203</v>
      </c>
      <c r="D2864" s="10" t="s">
        <v>19</v>
      </c>
      <c r="E2864" s="10" t="s">
        <v>779</v>
      </c>
      <c r="F2864" s="10" t="str">
        <f>"2170578520 "</f>
        <v xml:space="preserve">2170578520 </v>
      </c>
      <c r="G2864" s="10" t="str">
        <f t="shared" si="126"/>
        <v>ON1</v>
      </c>
      <c r="H2864" s="10" t="s">
        <v>21</v>
      </c>
      <c r="I2864" s="10" t="s">
        <v>780</v>
      </c>
      <c r="J2864" s="10" t="str">
        <f>""</f>
        <v/>
      </c>
      <c r="K2864" s="10" t="str">
        <f>"PFES1162564203_0001"</f>
        <v>PFES1162564203_0001</v>
      </c>
      <c r="L2864" s="10">
        <v>1</v>
      </c>
      <c r="M2864" s="10">
        <v>2</v>
      </c>
    </row>
    <row r="2865" spans="1:13">
      <c r="A2865" s="8">
        <v>42940</v>
      </c>
      <c r="B2865" s="9">
        <v>0.52013888888888882</v>
      </c>
      <c r="C2865" s="10" t="str">
        <f>"FES1162564156"</f>
        <v>FES1162564156</v>
      </c>
      <c r="D2865" s="10" t="s">
        <v>19</v>
      </c>
      <c r="E2865" s="10" t="s">
        <v>385</v>
      </c>
      <c r="F2865" s="10" t="str">
        <f>"2170580706 "</f>
        <v xml:space="preserve">2170580706 </v>
      </c>
      <c r="G2865" s="10" t="str">
        <f t="shared" si="126"/>
        <v>ON1</v>
      </c>
      <c r="H2865" s="10" t="s">
        <v>21</v>
      </c>
      <c r="I2865" s="10" t="s">
        <v>119</v>
      </c>
      <c r="J2865" s="10" t="str">
        <f>""</f>
        <v/>
      </c>
      <c r="K2865" s="10" t="str">
        <f>"PFES1162564156_0001"</f>
        <v>PFES1162564156_0001</v>
      </c>
      <c r="L2865" s="10">
        <v>1</v>
      </c>
      <c r="M2865" s="10">
        <v>1</v>
      </c>
    </row>
    <row r="2866" spans="1:13">
      <c r="A2866" s="8">
        <v>42940</v>
      </c>
      <c r="B2866" s="9">
        <v>0.51944444444444449</v>
      </c>
      <c r="C2866" s="10" t="str">
        <f>"FES1162564235"</f>
        <v>FES1162564235</v>
      </c>
      <c r="D2866" s="10" t="s">
        <v>19</v>
      </c>
      <c r="E2866" s="10" t="s">
        <v>451</v>
      </c>
      <c r="F2866" s="10" t="str">
        <f>"21705802222 "</f>
        <v xml:space="preserve">21705802222 </v>
      </c>
      <c r="G2866" s="10" t="str">
        <f t="shared" si="126"/>
        <v>ON1</v>
      </c>
      <c r="H2866" s="10" t="s">
        <v>21</v>
      </c>
      <c r="I2866" s="10" t="s">
        <v>66</v>
      </c>
      <c r="J2866" s="10" t="str">
        <f>""</f>
        <v/>
      </c>
      <c r="K2866" s="10" t="str">
        <f>"PFES1162564235_0001"</f>
        <v>PFES1162564235_0001</v>
      </c>
      <c r="L2866" s="10">
        <v>1</v>
      </c>
      <c r="M2866" s="10">
        <v>1</v>
      </c>
    </row>
    <row r="2867" spans="1:13">
      <c r="A2867" s="8">
        <v>42940</v>
      </c>
      <c r="B2867" s="9">
        <v>0.51874999999999993</v>
      </c>
      <c r="C2867" s="10" t="str">
        <f>"FES1162564278"</f>
        <v>FES1162564278</v>
      </c>
      <c r="D2867" s="10" t="s">
        <v>19</v>
      </c>
      <c r="E2867" s="10" t="s">
        <v>129</v>
      </c>
      <c r="F2867" s="10" t="str">
        <f>"2170576462 "</f>
        <v xml:space="preserve">2170576462 </v>
      </c>
      <c r="G2867" s="10" t="str">
        <f t="shared" si="126"/>
        <v>ON1</v>
      </c>
      <c r="H2867" s="10" t="s">
        <v>21</v>
      </c>
      <c r="I2867" s="10" t="s">
        <v>130</v>
      </c>
      <c r="J2867" s="10" t="str">
        <f>""</f>
        <v/>
      </c>
      <c r="K2867" s="10" t="str">
        <f>"PFES1162564278_0001"</f>
        <v>PFES1162564278_0001</v>
      </c>
      <c r="L2867" s="10">
        <v>1</v>
      </c>
      <c r="M2867" s="10">
        <v>7</v>
      </c>
    </row>
    <row r="2868" spans="1:13">
      <c r="A2868" s="8">
        <v>42940</v>
      </c>
      <c r="B2868" s="9">
        <v>0.51874999999999993</v>
      </c>
      <c r="C2868" s="10" t="str">
        <f>"FES1162564288"</f>
        <v>FES1162564288</v>
      </c>
      <c r="D2868" s="10" t="s">
        <v>19</v>
      </c>
      <c r="E2868" s="10" t="s">
        <v>454</v>
      </c>
      <c r="F2868" s="10" t="str">
        <f>"2170580766 "</f>
        <v xml:space="preserve">2170580766 </v>
      </c>
      <c r="G2868" s="10" t="str">
        <f t="shared" si="126"/>
        <v>ON1</v>
      </c>
      <c r="H2868" s="10" t="s">
        <v>21</v>
      </c>
      <c r="I2868" s="10" t="s">
        <v>455</v>
      </c>
      <c r="J2868" s="10" t="str">
        <f>""</f>
        <v/>
      </c>
      <c r="K2868" s="10" t="str">
        <f>"PFES1162564288_0001"</f>
        <v>PFES1162564288_0001</v>
      </c>
      <c r="L2868" s="10">
        <v>1</v>
      </c>
      <c r="M2868" s="10">
        <v>1</v>
      </c>
    </row>
    <row r="2869" spans="1:13">
      <c r="A2869" s="8">
        <v>42940</v>
      </c>
      <c r="B2869" s="9">
        <v>0.5180555555555556</v>
      </c>
      <c r="C2869" s="10" t="str">
        <f>"FES1162564195"</f>
        <v>FES1162564195</v>
      </c>
      <c r="D2869" s="10" t="s">
        <v>19</v>
      </c>
      <c r="E2869" s="10" t="s">
        <v>129</v>
      </c>
      <c r="F2869" s="10" t="str">
        <f>"2170578316 "</f>
        <v xml:space="preserve">2170578316 </v>
      </c>
      <c r="G2869" s="10" t="str">
        <f t="shared" si="126"/>
        <v>ON1</v>
      </c>
      <c r="H2869" s="10" t="s">
        <v>21</v>
      </c>
      <c r="I2869" s="10" t="s">
        <v>130</v>
      </c>
      <c r="J2869" s="10" t="str">
        <f>""</f>
        <v/>
      </c>
      <c r="K2869" s="10" t="str">
        <f>"PFES1162564195_0001"</f>
        <v>PFES1162564195_0001</v>
      </c>
      <c r="L2869" s="10">
        <v>1</v>
      </c>
      <c r="M2869" s="10">
        <v>2</v>
      </c>
    </row>
    <row r="2870" spans="1:13">
      <c r="A2870" s="8">
        <v>42940</v>
      </c>
      <c r="B2870" s="9">
        <v>0.5180555555555556</v>
      </c>
      <c r="C2870" s="10" t="str">
        <f>"FES1162564285"</f>
        <v>FES1162564285</v>
      </c>
      <c r="D2870" s="10" t="s">
        <v>19</v>
      </c>
      <c r="E2870" s="10" t="s">
        <v>454</v>
      </c>
      <c r="F2870" s="10" t="str">
        <f>"2170580762 "</f>
        <v xml:space="preserve">2170580762 </v>
      </c>
      <c r="G2870" s="10" t="str">
        <f t="shared" si="126"/>
        <v>ON1</v>
      </c>
      <c r="H2870" s="10" t="s">
        <v>21</v>
      </c>
      <c r="I2870" s="10" t="s">
        <v>455</v>
      </c>
      <c r="J2870" s="10" t="str">
        <f>""</f>
        <v/>
      </c>
      <c r="K2870" s="10" t="str">
        <f>"PFES1162564285_0001"</f>
        <v>PFES1162564285_0001</v>
      </c>
      <c r="L2870" s="10">
        <v>1</v>
      </c>
      <c r="M2870" s="10">
        <v>1</v>
      </c>
    </row>
    <row r="2871" spans="1:13">
      <c r="A2871" s="8">
        <v>42940</v>
      </c>
      <c r="B2871" s="9">
        <v>0.5180555555555556</v>
      </c>
      <c r="C2871" s="10" t="str">
        <f>"FES1162564205"</f>
        <v>FES1162564205</v>
      </c>
      <c r="D2871" s="10" t="s">
        <v>19</v>
      </c>
      <c r="E2871" s="10" t="s">
        <v>732</v>
      </c>
      <c r="F2871" s="10" t="str">
        <f>"2170578526 "</f>
        <v xml:space="preserve">2170578526 </v>
      </c>
      <c r="G2871" s="10" t="str">
        <f t="shared" si="126"/>
        <v>ON1</v>
      </c>
      <c r="H2871" s="10" t="s">
        <v>21</v>
      </c>
      <c r="I2871" s="10" t="s">
        <v>656</v>
      </c>
      <c r="J2871" s="10" t="str">
        <f>""</f>
        <v/>
      </c>
      <c r="K2871" s="10" t="str">
        <f>"PFES1162564205_0001"</f>
        <v>PFES1162564205_0001</v>
      </c>
      <c r="L2871" s="10">
        <v>1</v>
      </c>
      <c r="M2871" s="10">
        <v>1</v>
      </c>
    </row>
    <row r="2872" spans="1:13">
      <c r="A2872" s="8">
        <v>42940</v>
      </c>
      <c r="B2872" s="9">
        <v>0.51736111111111105</v>
      </c>
      <c r="C2872" s="10" t="str">
        <f>"FES1162564192"</f>
        <v>FES1162564192</v>
      </c>
      <c r="D2872" s="10" t="s">
        <v>19</v>
      </c>
      <c r="E2872" s="10" t="s">
        <v>849</v>
      </c>
      <c r="F2872" s="10" t="str">
        <f>"2170578271 "</f>
        <v xml:space="preserve">2170578271 </v>
      </c>
      <c r="G2872" s="10" t="str">
        <f t="shared" si="126"/>
        <v>ON1</v>
      </c>
      <c r="H2872" s="10" t="s">
        <v>21</v>
      </c>
      <c r="I2872" s="10" t="s">
        <v>179</v>
      </c>
      <c r="J2872" s="10" t="str">
        <f>""</f>
        <v/>
      </c>
      <c r="K2872" s="10" t="str">
        <f>"PFES1162564192_0001"</f>
        <v>PFES1162564192_0001</v>
      </c>
      <c r="L2872" s="10">
        <v>1</v>
      </c>
      <c r="M2872" s="10">
        <v>1</v>
      </c>
    </row>
    <row r="2873" spans="1:13">
      <c r="A2873" s="8">
        <v>42940</v>
      </c>
      <c r="B2873" s="9">
        <v>0.51736111111111105</v>
      </c>
      <c r="C2873" s="10" t="str">
        <f>"FES1162564214"</f>
        <v>FES1162564214</v>
      </c>
      <c r="D2873" s="10" t="s">
        <v>19</v>
      </c>
      <c r="E2873" s="10" t="s">
        <v>160</v>
      </c>
      <c r="F2873" s="10" t="str">
        <f>"2170579052 "</f>
        <v xml:space="preserve">2170579052 </v>
      </c>
      <c r="G2873" s="10" t="str">
        <f t="shared" si="126"/>
        <v>ON1</v>
      </c>
      <c r="H2873" s="10" t="s">
        <v>21</v>
      </c>
      <c r="I2873" s="10" t="s">
        <v>161</v>
      </c>
      <c r="J2873" s="10" t="str">
        <f>""</f>
        <v/>
      </c>
      <c r="K2873" s="10" t="str">
        <f>"PFES1162564214_0001"</f>
        <v>PFES1162564214_0001</v>
      </c>
      <c r="L2873" s="10">
        <v>1</v>
      </c>
      <c r="M2873" s="10">
        <v>3</v>
      </c>
    </row>
    <row r="2874" spans="1:13">
      <c r="A2874" s="8">
        <v>42940</v>
      </c>
      <c r="B2874" s="9">
        <v>0.51736111111111105</v>
      </c>
      <c r="C2874" s="10" t="str">
        <f>"FES1162564202"</f>
        <v>FES1162564202</v>
      </c>
      <c r="D2874" s="10" t="s">
        <v>19</v>
      </c>
      <c r="E2874" s="10" t="s">
        <v>921</v>
      </c>
      <c r="F2874" s="10" t="str">
        <f>"217058484 "</f>
        <v xml:space="preserve">217058484 </v>
      </c>
      <c r="G2874" s="10" t="str">
        <f t="shared" si="126"/>
        <v>ON1</v>
      </c>
      <c r="H2874" s="10" t="s">
        <v>21</v>
      </c>
      <c r="I2874" s="10" t="s">
        <v>327</v>
      </c>
      <c r="J2874" s="10" t="str">
        <f>""</f>
        <v/>
      </c>
      <c r="K2874" s="10" t="str">
        <f>"PFES1162564202_0001"</f>
        <v>PFES1162564202_0001</v>
      </c>
      <c r="L2874" s="10">
        <v>1</v>
      </c>
      <c r="M2874" s="10">
        <v>1</v>
      </c>
    </row>
    <row r="2875" spans="1:13">
      <c r="A2875" s="8">
        <v>42940</v>
      </c>
      <c r="B2875" s="9">
        <v>0.51666666666666672</v>
      </c>
      <c r="C2875" s="10" t="str">
        <f>"FES1162564194"</f>
        <v>FES1162564194</v>
      </c>
      <c r="D2875" s="10" t="s">
        <v>19</v>
      </c>
      <c r="E2875" s="10" t="s">
        <v>1081</v>
      </c>
      <c r="F2875" s="10" t="str">
        <f>"217058288 "</f>
        <v xml:space="preserve">217058288 </v>
      </c>
      <c r="G2875" s="10" t="str">
        <f t="shared" si="126"/>
        <v>ON1</v>
      </c>
      <c r="H2875" s="10" t="s">
        <v>21</v>
      </c>
      <c r="I2875" s="10" t="s">
        <v>56</v>
      </c>
      <c r="J2875" s="10" t="str">
        <f>""</f>
        <v/>
      </c>
      <c r="K2875" s="10" t="str">
        <f>"PFES1162564194_0001"</f>
        <v>PFES1162564194_0001</v>
      </c>
      <c r="L2875" s="10">
        <v>1</v>
      </c>
      <c r="M2875" s="10">
        <v>1</v>
      </c>
    </row>
    <row r="2876" spans="1:13">
      <c r="A2876" s="8">
        <v>42940</v>
      </c>
      <c r="B2876" s="9">
        <v>0.51597222222222217</v>
      </c>
      <c r="C2876" s="10" t="str">
        <f>"FES1162564275"</f>
        <v>FES1162564275</v>
      </c>
      <c r="D2876" s="10" t="s">
        <v>19</v>
      </c>
      <c r="E2876" s="10" t="s">
        <v>154</v>
      </c>
      <c r="F2876" s="10" t="str">
        <f>"2170575674 "</f>
        <v xml:space="preserve">2170575674 </v>
      </c>
      <c r="G2876" s="10" t="str">
        <f t="shared" si="126"/>
        <v>ON1</v>
      </c>
      <c r="H2876" s="10" t="s">
        <v>21</v>
      </c>
      <c r="I2876" s="10" t="s">
        <v>130</v>
      </c>
      <c r="J2876" s="10" t="str">
        <f>""</f>
        <v/>
      </c>
      <c r="K2876" s="10" t="str">
        <f>"PFES1162564275_0001"</f>
        <v>PFES1162564275_0001</v>
      </c>
      <c r="L2876" s="10">
        <v>1</v>
      </c>
      <c r="M2876" s="10">
        <v>1</v>
      </c>
    </row>
    <row r="2877" spans="1:13">
      <c r="A2877" s="8">
        <v>42940</v>
      </c>
      <c r="B2877" s="9">
        <v>0.51527777777777783</v>
      </c>
      <c r="C2877" s="10" t="str">
        <f>"FES1162564253"</f>
        <v>FES1162564253</v>
      </c>
      <c r="D2877" s="10" t="s">
        <v>19</v>
      </c>
      <c r="E2877" s="10" t="s">
        <v>288</v>
      </c>
      <c r="F2877" s="10" t="str">
        <f>"2170580702 "</f>
        <v xml:space="preserve">2170580702 </v>
      </c>
      <c r="G2877" s="10" t="str">
        <f t="shared" si="126"/>
        <v>ON1</v>
      </c>
      <c r="H2877" s="10" t="s">
        <v>21</v>
      </c>
      <c r="I2877" s="10" t="s">
        <v>412</v>
      </c>
      <c r="J2877" s="10" t="str">
        <f>""</f>
        <v/>
      </c>
      <c r="K2877" s="10" t="str">
        <f>"PFES1162564253_0001"</f>
        <v>PFES1162564253_0001</v>
      </c>
      <c r="L2877" s="10">
        <v>1</v>
      </c>
      <c r="M2877" s="10">
        <v>2</v>
      </c>
    </row>
    <row r="2878" spans="1:13">
      <c r="A2878" s="8">
        <v>42940</v>
      </c>
      <c r="B2878" s="9">
        <v>0.51527777777777783</v>
      </c>
      <c r="C2878" s="10" t="str">
        <f>"FES1162564306"</f>
        <v>FES1162564306</v>
      </c>
      <c r="D2878" s="10" t="s">
        <v>19</v>
      </c>
      <c r="E2878" s="10" t="s">
        <v>1082</v>
      </c>
      <c r="F2878" s="10" t="str">
        <f>"2170580787 "</f>
        <v xml:space="preserve">2170580787 </v>
      </c>
      <c r="G2878" s="10" t="str">
        <f t="shared" si="126"/>
        <v>ON1</v>
      </c>
      <c r="H2878" s="10" t="s">
        <v>21</v>
      </c>
      <c r="I2878" s="10" t="s">
        <v>1083</v>
      </c>
      <c r="J2878" s="10" t="str">
        <f>""</f>
        <v/>
      </c>
      <c r="K2878" s="10" t="str">
        <f>"PFES1162564306_0001"</f>
        <v>PFES1162564306_0001</v>
      </c>
      <c r="L2878" s="10">
        <v>1</v>
      </c>
      <c r="M2878" s="10">
        <v>1</v>
      </c>
    </row>
    <row r="2879" spans="1:13">
      <c r="A2879" s="8">
        <v>42940</v>
      </c>
      <c r="B2879" s="9">
        <v>0.51527777777777783</v>
      </c>
      <c r="C2879" s="10" t="str">
        <f>"FES1162564223"</f>
        <v>FES1162564223</v>
      </c>
      <c r="D2879" s="10" t="s">
        <v>19</v>
      </c>
      <c r="E2879" s="10" t="s">
        <v>971</v>
      </c>
      <c r="F2879" s="10" t="str">
        <f>"2170579976 "</f>
        <v xml:space="preserve">2170579976 </v>
      </c>
      <c r="G2879" s="10" t="str">
        <f t="shared" si="126"/>
        <v>ON1</v>
      </c>
      <c r="H2879" s="10" t="s">
        <v>21</v>
      </c>
      <c r="I2879" s="10" t="s">
        <v>972</v>
      </c>
      <c r="J2879" s="10" t="str">
        <f>""</f>
        <v/>
      </c>
      <c r="K2879" s="10" t="str">
        <f>"PFES1162564223_0001"</f>
        <v>PFES1162564223_0001</v>
      </c>
      <c r="L2879" s="10">
        <v>1</v>
      </c>
      <c r="M2879" s="10">
        <v>2</v>
      </c>
    </row>
    <row r="2880" spans="1:13">
      <c r="A2880" s="8">
        <v>42940</v>
      </c>
      <c r="B2880" s="9">
        <v>0.51458333333333328</v>
      </c>
      <c r="C2880" s="10" t="str">
        <f>"FES1162564250"</f>
        <v>FES1162564250</v>
      </c>
      <c r="D2880" s="10" t="s">
        <v>19</v>
      </c>
      <c r="E2880" s="10" t="s">
        <v>33</v>
      </c>
      <c r="F2880" s="10" t="str">
        <f>"217059309 "</f>
        <v xml:space="preserve">217059309 </v>
      </c>
      <c r="G2880" s="10" t="str">
        <f t="shared" si="126"/>
        <v>ON1</v>
      </c>
      <c r="H2880" s="10" t="s">
        <v>21</v>
      </c>
      <c r="I2880" s="10" t="s">
        <v>34</v>
      </c>
      <c r="J2880" s="10" t="str">
        <f>""</f>
        <v/>
      </c>
      <c r="K2880" s="10" t="str">
        <f>"PFES1162564250_0001"</f>
        <v>PFES1162564250_0001</v>
      </c>
      <c r="L2880" s="10">
        <v>1</v>
      </c>
      <c r="M2880" s="10">
        <v>1</v>
      </c>
    </row>
    <row r="2881" spans="1:13">
      <c r="A2881" s="8">
        <v>42940</v>
      </c>
      <c r="B2881" s="9">
        <v>0.51388888888888895</v>
      </c>
      <c r="C2881" s="10" t="str">
        <f>"FES1162564277"</f>
        <v>FES1162564277</v>
      </c>
      <c r="D2881" s="10" t="s">
        <v>19</v>
      </c>
      <c r="E2881" s="10" t="s">
        <v>49</v>
      </c>
      <c r="F2881" s="10" t="str">
        <f>"2170569938 "</f>
        <v xml:space="preserve">2170569938 </v>
      </c>
      <c r="G2881" s="10" t="str">
        <f t="shared" si="126"/>
        <v>ON1</v>
      </c>
      <c r="H2881" s="10" t="s">
        <v>21</v>
      </c>
      <c r="I2881" s="10" t="s">
        <v>50</v>
      </c>
      <c r="J2881" s="10" t="str">
        <f>""</f>
        <v/>
      </c>
      <c r="K2881" s="10" t="str">
        <f>"PFES1162564277_0001"</f>
        <v>PFES1162564277_0001</v>
      </c>
      <c r="L2881" s="10">
        <v>1</v>
      </c>
      <c r="M2881" s="10">
        <v>5</v>
      </c>
    </row>
    <row r="2882" spans="1:13">
      <c r="A2882" s="8">
        <v>42940</v>
      </c>
      <c r="B2882" s="9">
        <v>0.51388888888888895</v>
      </c>
      <c r="C2882" s="10" t="str">
        <f>"FES1162564193"</f>
        <v>FES1162564193</v>
      </c>
      <c r="D2882" s="10" t="s">
        <v>19</v>
      </c>
      <c r="E2882" s="10" t="s">
        <v>333</v>
      </c>
      <c r="F2882" s="10" t="str">
        <f>"2170578285 "</f>
        <v xml:space="preserve">2170578285 </v>
      </c>
      <c r="G2882" s="10" t="str">
        <f t="shared" si="126"/>
        <v>ON1</v>
      </c>
      <c r="H2882" s="10" t="s">
        <v>21</v>
      </c>
      <c r="I2882" s="10" t="s">
        <v>334</v>
      </c>
      <c r="J2882" s="10" t="str">
        <f>""</f>
        <v/>
      </c>
      <c r="K2882" s="10" t="str">
        <f>"PFES1162564193_0001"</f>
        <v>PFES1162564193_0001</v>
      </c>
      <c r="L2882" s="10">
        <v>1</v>
      </c>
      <c r="M2882" s="10">
        <v>3</v>
      </c>
    </row>
    <row r="2883" spans="1:13">
      <c r="A2883" s="8">
        <v>42940</v>
      </c>
      <c r="B2883" s="9">
        <v>0.5131944444444444</v>
      </c>
      <c r="C2883" s="10" t="str">
        <f>"FES1162562811"</f>
        <v>FES1162562811</v>
      </c>
      <c r="D2883" s="10" t="s">
        <v>19</v>
      </c>
      <c r="E2883" s="10" t="s">
        <v>288</v>
      </c>
      <c r="F2883" s="10" t="str">
        <f>"2170574916 "</f>
        <v xml:space="preserve">2170574916 </v>
      </c>
      <c r="G2883" s="10" t="str">
        <f t="shared" si="126"/>
        <v>ON1</v>
      </c>
      <c r="H2883" s="10" t="s">
        <v>21</v>
      </c>
      <c r="I2883" s="10" t="s">
        <v>84</v>
      </c>
      <c r="J2883" s="10" t="str">
        <f>""</f>
        <v/>
      </c>
      <c r="K2883" s="10" t="str">
        <f>"PFES1162562811_0001"</f>
        <v>PFES1162562811_0001</v>
      </c>
      <c r="L2883" s="10">
        <v>1</v>
      </c>
      <c r="M2883" s="10">
        <v>2</v>
      </c>
    </row>
    <row r="2884" spans="1:13">
      <c r="A2884" s="8">
        <v>42940</v>
      </c>
      <c r="B2884" s="9">
        <v>0.51250000000000007</v>
      </c>
      <c r="C2884" s="10" t="str">
        <f>"FES1162564273"</f>
        <v>FES1162564273</v>
      </c>
      <c r="D2884" s="10" t="s">
        <v>19</v>
      </c>
      <c r="E2884" s="10" t="s">
        <v>403</v>
      </c>
      <c r="F2884" s="10" t="str">
        <f>"2170580754 "</f>
        <v xml:space="preserve">2170580754 </v>
      </c>
      <c r="G2884" s="10" t="str">
        <f t="shared" si="126"/>
        <v>ON1</v>
      </c>
      <c r="H2884" s="10" t="s">
        <v>21</v>
      </c>
      <c r="I2884" s="10" t="s">
        <v>222</v>
      </c>
      <c r="J2884" s="10" t="str">
        <f>""</f>
        <v/>
      </c>
      <c r="K2884" s="10" t="str">
        <f>"PFES1162564273_0001"</f>
        <v>PFES1162564273_0001</v>
      </c>
      <c r="L2884" s="10">
        <v>1</v>
      </c>
      <c r="M2884" s="10">
        <v>1</v>
      </c>
    </row>
    <row r="2885" spans="1:13">
      <c r="A2885" s="8">
        <v>42940</v>
      </c>
      <c r="B2885" s="9">
        <v>0.51250000000000007</v>
      </c>
      <c r="C2885" s="10" t="str">
        <f>"FES1162564249"</f>
        <v>FES1162564249</v>
      </c>
      <c r="D2885" s="10" t="s">
        <v>19</v>
      </c>
      <c r="E2885" s="10" t="s">
        <v>782</v>
      </c>
      <c r="F2885" s="10" t="str">
        <f>"217058527 "</f>
        <v xml:space="preserve">217058527 </v>
      </c>
      <c r="G2885" s="10" t="str">
        <f t="shared" si="126"/>
        <v>ON1</v>
      </c>
      <c r="H2885" s="10" t="s">
        <v>21</v>
      </c>
      <c r="I2885" s="10" t="s">
        <v>1049</v>
      </c>
      <c r="J2885" s="10" t="str">
        <f>""</f>
        <v/>
      </c>
      <c r="K2885" s="10" t="str">
        <f>"PFES1162564249_0001"</f>
        <v>PFES1162564249_0001</v>
      </c>
      <c r="L2885" s="10">
        <v>1</v>
      </c>
      <c r="M2885" s="10">
        <v>10</v>
      </c>
    </row>
    <row r="2886" spans="1:13">
      <c r="A2886" s="8">
        <v>42940</v>
      </c>
      <c r="B2886" s="9">
        <v>0.51180555555555551</v>
      </c>
      <c r="C2886" s="10" t="str">
        <f>"FES1162564231"</f>
        <v>FES1162564231</v>
      </c>
      <c r="D2886" s="10" t="s">
        <v>19</v>
      </c>
      <c r="E2886" s="10" t="s">
        <v>39</v>
      </c>
      <c r="F2886" s="10" t="str">
        <f>"2170580010 "</f>
        <v xml:space="preserve">2170580010 </v>
      </c>
      <c r="G2886" s="10" t="str">
        <f t="shared" si="126"/>
        <v>ON1</v>
      </c>
      <c r="H2886" s="10" t="s">
        <v>21</v>
      </c>
      <c r="I2886" s="10" t="s">
        <v>40</v>
      </c>
      <c r="J2886" s="10" t="str">
        <f>""</f>
        <v/>
      </c>
      <c r="K2886" s="10" t="str">
        <f>"PFES1162564231_0001"</f>
        <v>PFES1162564231_0001</v>
      </c>
      <c r="L2886" s="10">
        <v>1</v>
      </c>
      <c r="M2886" s="10">
        <v>1</v>
      </c>
    </row>
    <row r="2887" spans="1:13">
      <c r="A2887" s="8">
        <v>42940</v>
      </c>
      <c r="B2887" s="9">
        <v>0.51111111111111118</v>
      </c>
      <c r="C2887" s="10" t="str">
        <f>"FES1162564206"</f>
        <v>FES1162564206</v>
      </c>
      <c r="D2887" s="10" t="s">
        <v>19</v>
      </c>
      <c r="E2887" s="10" t="s">
        <v>781</v>
      </c>
      <c r="F2887" s="10" t="str">
        <f>"2170578530 "</f>
        <v xml:space="preserve">2170578530 </v>
      </c>
      <c r="G2887" s="10" t="str">
        <f t="shared" si="126"/>
        <v>ON1</v>
      </c>
      <c r="H2887" s="10" t="s">
        <v>21</v>
      </c>
      <c r="I2887" s="10" t="s">
        <v>405</v>
      </c>
      <c r="J2887" s="10" t="str">
        <f>""</f>
        <v/>
      </c>
      <c r="K2887" s="10" t="str">
        <f>"PFES1162564206_0001"</f>
        <v>PFES1162564206_0001</v>
      </c>
      <c r="L2887" s="10">
        <v>1</v>
      </c>
      <c r="M2887" s="10">
        <v>1</v>
      </c>
    </row>
    <row r="2888" spans="1:13">
      <c r="A2888" s="8">
        <v>42940</v>
      </c>
      <c r="B2888" s="9">
        <v>0.51041666666666663</v>
      </c>
      <c r="C2888" s="10" t="str">
        <f>"FES1162564151"</f>
        <v>FES1162564151</v>
      </c>
      <c r="D2888" s="10" t="s">
        <v>19</v>
      </c>
      <c r="E2888" s="10" t="s">
        <v>62</v>
      </c>
      <c r="F2888" s="10" t="str">
        <f>"2170580698 "</f>
        <v xml:space="preserve">2170580698 </v>
      </c>
      <c r="G2888" s="10" t="str">
        <f t="shared" si="126"/>
        <v>ON1</v>
      </c>
      <c r="H2888" s="10" t="s">
        <v>21</v>
      </c>
      <c r="I2888" s="10" t="s">
        <v>402</v>
      </c>
      <c r="J2888" s="10" t="str">
        <f>""</f>
        <v/>
      </c>
      <c r="K2888" s="10" t="str">
        <f>"PFES1162564151_0001"</f>
        <v>PFES1162564151_0001</v>
      </c>
      <c r="L2888" s="10">
        <v>1</v>
      </c>
      <c r="M2888" s="10">
        <v>1</v>
      </c>
    </row>
    <row r="2889" spans="1:13">
      <c r="A2889" s="8">
        <v>42940</v>
      </c>
      <c r="B2889" s="9">
        <v>0.50972222222222219</v>
      </c>
      <c r="C2889" s="10" t="str">
        <f>"FES1162564262"</f>
        <v>FES1162564262</v>
      </c>
      <c r="D2889" s="10" t="s">
        <v>19</v>
      </c>
      <c r="E2889" s="10" t="s">
        <v>39</v>
      </c>
      <c r="F2889" s="10" t="str">
        <f>"2170580739 "</f>
        <v xml:space="preserve">2170580739 </v>
      </c>
      <c r="G2889" s="10" t="str">
        <f t="shared" si="126"/>
        <v>ON1</v>
      </c>
      <c r="H2889" s="10" t="s">
        <v>21</v>
      </c>
      <c r="I2889" s="10" t="s">
        <v>40</v>
      </c>
      <c r="J2889" s="10" t="str">
        <f>""</f>
        <v/>
      </c>
      <c r="K2889" s="10" t="str">
        <f>"PFES1162564262_0001"</f>
        <v>PFES1162564262_0001</v>
      </c>
      <c r="L2889" s="10">
        <v>1</v>
      </c>
      <c r="M2889" s="10">
        <v>1</v>
      </c>
    </row>
    <row r="2890" spans="1:13">
      <c r="A2890" s="8">
        <v>42940</v>
      </c>
      <c r="B2890" s="9">
        <v>0.5083333333333333</v>
      </c>
      <c r="C2890" s="10" t="str">
        <f>"FES1162564152"</f>
        <v>FES1162564152</v>
      </c>
      <c r="D2890" s="10" t="s">
        <v>19</v>
      </c>
      <c r="E2890" s="10" t="s">
        <v>62</v>
      </c>
      <c r="F2890" s="10" t="str">
        <f>"2170580700 "</f>
        <v xml:space="preserve">2170580700 </v>
      </c>
      <c r="G2890" s="10" t="str">
        <f t="shared" si="126"/>
        <v>ON1</v>
      </c>
      <c r="H2890" s="10" t="s">
        <v>21</v>
      </c>
      <c r="I2890" s="10" t="s">
        <v>402</v>
      </c>
      <c r="J2890" s="10" t="str">
        <f>""</f>
        <v/>
      </c>
      <c r="K2890" s="10" t="str">
        <f>"PFES1162564152_0001"</f>
        <v>PFES1162564152_0001</v>
      </c>
      <c r="L2890" s="10">
        <v>1</v>
      </c>
      <c r="M2890" s="10">
        <v>1</v>
      </c>
    </row>
    <row r="2891" spans="1:13">
      <c r="A2891" s="8">
        <v>42940</v>
      </c>
      <c r="B2891" s="9">
        <v>0.50763888888888886</v>
      </c>
      <c r="C2891" s="10" t="str">
        <f>"FES1162564215"</f>
        <v>FES1162564215</v>
      </c>
      <c r="D2891" s="10" t="s">
        <v>19</v>
      </c>
      <c r="E2891" s="10" t="s">
        <v>129</v>
      </c>
      <c r="F2891" s="10" t="str">
        <f>"2170579101 "</f>
        <v xml:space="preserve">2170579101 </v>
      </c>
      <c r="G2891" s="10" t="str">
        <f t="shared" si="126"/>
        <v>ON1</v>
      </c>
      <c r="H2891" s="10" t="s">
        <v>21</v>
      </c>
      <c r="I2891" s="10" t="s">
        <v>130</v>
      </c>
      <c r="J2891" s="10" t="str">
        <f>""</f>
        <v/>
      </c>
      <c r="K2891" s="10" t="str">
        <f>"PFES1162564215_0001"</f>
        <v>PFES1162564215_0001</v>
      </c>
      <c r="L2891" s="10">
        <v>1</v>
      </c>
      <c r="M2891" s="10">
        <v>1</v>
      </c>
    </row>
    <row r="2892" spans="1:13">
      <c r="A2892" s="8">
        <v>42940</v>
      </c>
      <c r="B2892" s="9">
        <v>0.50624999999999998</v>
      </c>
      <c r="C2892" s="10" t="str">
        <f>"FES1162564200"</f>
        <v>FES1162564200</v>
      </c>
      <c r="D2892" s="10" t="s">
        <v>19</v>
      </c>
      <c r="E2892" s="10" t="s">
        <v>549</v>
      </c>
      <c r="F2892" s="10" t="str">
        <f>"2170578435 "</f>
        <v xml:space="preserve">2170578435 </v>
      </c>
      <c r="G2892" s="10" t="str">
        <f t="shared" si="126"/>
        <v>ON1</v>
      </c>
      <c r="H2892" s="10" t="s">
        <v>21</v>
      </c>
      <c r="I2892" s="10" t="s">
        <v>224</v>
      </c>
      <c r="J2892" s="10" t="str">
        <f>""</f>
        <v/>
      </c>
      <c r="K2892" s="10" t="str">
        <f>"PFES1162564200_0001"</f>
        <v>PFES1162564200_0001</v>
      </c>
      <c r="L2892" s="10">
        <v>1</v>
      </c>
      <c r="M2892" s="10">
        <v>1</v>
      </c>
    </row>
    <row r="2893" spans="1:13">
      <c r="A2893" s="8">
        <v>42940</v>
      </c>
      <c r="B2893" s="9">
        <v>0.50555555555555554</v>
      </c>
      <c r="C2893" s="10" t="str">
        <f>"FES1162564157"</f>
        <v>FES1162564157</v>
      </c>
      <c r="D2893" s="10" t="s">
        <v>19</v>
      </c>
      <c r="E2893" s="10" t="s">
        <v>39</v>
      </c>
      <c r="F2893" s="10" t="str">
        <f>"2170580707 "</f>
        <v xml:space="preserve">2170580707 </v>
      </c>
      <c r="G2893" s="10" t="str">
        <f t="shared" si="126"/>
        <v>ON1</v>
      </c>
      <c r="H2893" s="10" t="s">
        <v>21</v>
      </c>
      <c r="I2893" s="10" t="s">
        <v>40</v>
      </c>
      <c r="J2893" s="10" t="str">
        <f>""</f>
        <v/>
      </c>
      <c r="K2893" s="10" t="str">
        <f>"PFES1162564157_0001"</f>
        <v>PFES1162564157_0001</v>
      </c>
      <c r="L2893" s="10">
        <v>1</v>
      </c>
      <c r="M2893" s="10">
        <v>1</v>
      </c>
    </row>
    <row r="2894" spans="1:13">
      <c r="A2894" s="8">
        <v>42940</v>
      </c>
      <c r="B2894" s="9">
        <v>0.49513888888888885</v>
      </c>
      <c r="C2894" s="10" t="str">
        <f>"FES1162564196"</f>
        <v>FES1162564196</v>
      </c>
      <c r="D2894" s="10" t="s">
        <v>19</v>
      </c>
      <c r="E2894" s="10" t="s">
        <v>403</v>
      </c>
      <c r="F2894" s="10" t="str">
        <f>"2170578351 "</f>
        <v xml:space="preserve">2170578351 </v>
      </c>
      <c r="G2894" s="10" t="str">
        <f>"ON2"</f>
        <v>ON2</v>
      </c>
      <c r="H2894" s="10" t="s">
        <v>21</v>
      </c>
      <c r="I2894" s="10" t="s">
        <v>222</v>
      </c>
      <c r="J2894" s="10" t="str">
        <f>""</f>
        <v/>
      </c>
      <c r="K2894" s="10" t="str">
        <f>"PFES1162564196_0001"</f>
        <v>PFES1162564196_0001</v>
      </c>
      <c r="L2894" s="10">
        <v>1</v>
      </c>
      <c r="M2894" s="10">
        <v>14</v>
      </c>
    </row>
    <row r="2895" spans="1:13">
      <c r="A2895" s="8">
        <v>42940</v>
      </c>
      <c r="B2895" s="9">
        <v>0.48958333333333331</v>
      </c>
      <c r="C2895" s="10" t="str">
        <f>"FES1162564267"</f>
        <v>FES1162564267</v>
      </c>
      <c r="D2895" s="10" t="s">
        <v>19</v>
      </c>
      <c r="E2895" s="10" t="s">
        <v>436</v>
      </c>
      <c r="F2895" s="10" t="str">
        <f>"2170580747 "</f>
        <v xml:space="preserve">2170580747 </v>
      </c>
      <c r="G2895" s="10" t="str">
        <f t="shared" ref="G2895:G2907" si="127">"ON1"</f>
        <v>ON1</v>
      </c>
      <c r="H2895" s="10" t="s">
        <v>21</v>
      </c>
      <c r="I2895" s="10" t="s">
        <v>252</v>
      </c>
      <c r="J2895" s="10" t="str">
        <f>""</f>
        <v/>
      </c>
      <c r="K2895" s="10" t="str">
        <f>"PFES1162564267_0001"</f>
        <v>PFES1162564267_0001</v>
      </c>
      <c r="L2895" s="10">
        <v>1</v>
      </c>
      <c r="M2895" s="10">
        <v>3</v>
      </c>
    </row>
    <row r="2896" spans="1:13">
      <c r="A2896" s="8">
        <v>42940</v>
      </c>
      <c r="B2896" s="9">
        <v>0.48819444444444443</v>
      </c>
      <c r="C2896" s="10" t="str">
        <f>"FES1162564212"</f>
        <v>FES1162564212</v>
      </c>
      <c r="D2896" s="10" t="s">
        <v>19</v>
      </c>
      <c r="E2896" s="10" t="s">
        <v>560</v>
      </c>
      <c r="F2896" s="10" t="str">
        <f>"2170578817 "</f>
        <v xml:space="preserve">2170578817 </v>
      </c>
      <c r="G2896" s="10" t="str">
        <f t="shared" si="127"/>
        <v>ON1</v>
      </c>
      <c r="H2896" s="10" t="s">
        <v>21</v>
      </c>
      <c r="I2896" s="10" t="s">
        <v>561</v>
      </c>
      <c r="J2896" s="10" t="str">
        <f>""</f>
        <v/>
      </c>
      <c r="K2896" s="10" t="str">
        <f>"PFES1162564212_0001"</f>
        <v>PFES1162564212_0001</v>
      </c>
      <c r="L2896" s="10">
        <v>1</v>
      </c>
      <c r="M2896" s="10">
        <v>1</v>
      </c>
    </row>
    <row r="2897" spans="1:13">
      <c r="A2897" s="8">
        <v>42940</v>
      </c>
      <c r="B2897" s="9">
        <v>0.48749999999999999</v>
      </c>
      <c r="C2897" s="10" t="str">
        <f>"FES1162564256"</f>
        <v>FES1162564256</v>
      </c>
      <c r="D2897" s="10" t="s">
        <v>19</v>
      </c>
      <c r="E2897" s="10" t="s">
        <v>895</v>
      </c>
      <c r="F2897" s="10" t="str">
        <f>"2170578817 "</f>
        <v xml:space="preserve">2170578817 </v>
      </c>
      <c r="G2897" s="10" t="str">
        <f t="shared" si="127"/>
        <v>ON1</v>
      </c>
      <c r="H2897" s="10" t="s">
        <v>21</v>
      </c>
      <c r="I2897" s="10" t="s">
        <v>896</v>
      </c>
      <c r="J2897" s="10" t="str">
        <f>""</f>
        <v/>
      </c>
      <c r="K2897" s="10" t="str">
        <f>"PFES1162564256_0001"</f>
        <v>PFES1162564256_0001</v>
      </c>
      <c r="L2897" s="10">
        <v>1</v>
      </c>
      <c r="M2897" s="10">
        <v>2</v>
      </c>
    </row>
    <row r="2898" spans="1:13">
      <c r="A2898" s="8">
        <v>42940</v>
      </c>
      <c r="B2898" s="9">
        <v>0.47847222222222219</v>
      </c>
      <c r="C2898" s="10" t="str">
        <f>"FES1162564229"</f>
        <v>FES1162564229</v>
      </c>
      <c r="D2898" s="10" t="s">
        <v>19</v>
      </c>
      <c r="E2898" s="10" t="s">
        <v>268</v>
      </c>
      <c r="F2898" s="10" t="str">
        <f>"2170579975 "</f>
        <v xml:space="preserve">2170579975 </v>
      </c>
      <c r="G2898" s="10" t="str">
        <f t="shared" si="127"/>
        <v>ON1</v>
      </c>
      <c r="H2898" s="10" t="s">
        <v>21</v>
      </c>
      <c r="I2898" s="10" t="s">
        <v>185</v>
      </c>
      <c r="J2898" s="10" t="str">
        <f>""</f>
        <v/>
      </c>
      <c r="K2898" s="10" t="str">
        <f>"PFES1162564229_0001"</f>
        <v>PFES1162564229_0001</v>
      </c>
      <c r="L2898" s="10">
        <v>1</v>
      </c>
      <c r="M2898" s="10">
        <v>1</v>
      </c>
    </row>
    <row r="2899" spans="1:13">
      <c r="A2899" s="8">
        <v>42940</v>
      </c>
      <c r="B2899" s="9">
        <v>0.4777777777777778</v>
      </c>
      <c r="C2899" s="10" t="str">
        <f>"FES1162564228"</f>
        <v>FES1162564228</v>
      </c>
      <c r="D2899" s="10" t="s">
        <v>19</v>
      </c>
      <c r="E2899" s="10" t="s">
        <v>268</v>
      </c>
      <c r="F2899" s="10" t="str">
        <f>"2170579973 "</f>
        <v xml:space="preserve">2170579973 </v>
      </c>
      <c r="G2899" s="10" t="str">
        <f t="shared" si="127"/>
        <v>ON1</v>
      </c>
      <c r="H2899" s="10" t="s">
        <v>21</v>
      </c>
      <c r="I2899" s="10" t="s">
        <v>185</v>
      </c>
      <c r="J2899" s="10" t="str">
        <f>""</f>
        <v/>
      </c>
      <c r="K2899" s="10" t="str">
        <f>"PFES1162564228_0001"</f>
        <v>PFES1162564228_0001</v>
      </c>
      <c r="L2899" s="10">
        <v>1</v>
      </c>
      <c r="M2899" s="10">
        <v>1</v>
      </c>
    </row>
    <row r="2900" spans="1:13">
      <c r="A2900" s="8">
        <v>42940</v>
      </c>
      <c r="B2900" s="9">
        <v>0.4770833333333333</v>
      </c>
      <c r="C2900" s="10" t="str">
        <f>"FES1162564292"</f>
        <v>FES1162564292</v>
      </c>
      <c r="D2900" s="10" t="s">
        <v>19</v>
      </c>
      <c r="E2900" s="10" t="s">
        <v>1084</v>
      </c>
      <c r="F2900" s="10" t="str">
        <f>"2170580772 "</f>
        <v xml:space="preserve">2170580772 </v>
      </c>
      <c r="G2900" s="10" t="str">
        <f t="shared" si="127"/>
        <v>ON1</v>
      </c>
      <c r="H2900" s="10" t="s">
        <v>21</v>
      </c>
      <c r="I2900" s="10" t="s">
        <v>1085</v>
      </c>
      <c r="J2900" s="10" t="str">
        <f>""</f>
        <v/>
      </c>
      <c r="K2900" s="10" t="str">
        <f>"PFES1162564292_0001"</f>
        <v>PFES1162564292_0001</v>
      </c>
      <c r="L2900" s="10">
        <v>1</v>
      </c>
      <c r="M2900" s="10">
        <v>1</v>
      </c>
    </row>
    <row r="2901" spans="1:13">
      <c r="A2901" s="8">
        <v>42940</v>
      </c>
      <c r="B2901" s="9">
        <v>0.47638888888888892</v>
      </c>
      <c r="C2901" s="10" t="str">
        <f>"FES1162564308"</f>
        <v>FES1162564308</v>
      </c>
      <c r="D2901" s="10" t="s">
        <v>19</v>
      </c>
      <c r="E2901" s="10" t="s">
        <v>714</v>
      </c>
      <c r="F2901" s="10" t="str">
        <f>"2170580796 "</f>
        <v xml:space="preserve">2170580796 </v>
      </c>
      <c r="G2901" s="10" t="str">
        <f t="shared" si="127"/>
        <v>ON1</v>
      </c>
      <c r="H2901" s="10" t="s">
        <v>21</v>
      </c>
      <c r="I2901" s="10" t="s">
        <v>261</v>
      </c>
      <c r="J2901" s="10" t="str">
        <f>""</f>
        <v/>
      </c>
      <c r="K2901" s="10" t="str">
        <f>"PFES1162564308_0001"</f>
        <v>PFES1162564308_0001</v>
      </c>
      <c r="L2901" s="10">
        <v>1</v>
      </c>
      <c r="M2901" s="10">
        <v>5</v>
      </c>
    </row>
    <row r="2902" spans="1:13">
      <c r="A2902" s="8">
        <v>42940</v>
      </c>
      <c r="B2902" s="9">
        <v>0.47500000000000003</v>
      </c>
      <c r="C2902" s="10" t="str">
        <f>"FES1162564314"</f>
        <v>FES1162564314</v>
      </c>
      <c r="D2902" s="10" t="s">
        <v>19</v>
      </c>
      <c r="E2902" s="10" t="s">
        <v>260</v>
      </c>
      <c r="F2902" s="10" t="str">
        <f>"2170580799 "</f>
        <v xml:space="preserve">2170580799 </v>
      </c>
      <c r="G2902" s="10" t="str">
        <f t="shared" si="127"/>
        <v>ON1</v>
      </c>
      <c r="H2902" s="10" t="s">
        <v>21</v>
      </c>
      <c r="I2902" s="10" t="s">
        <v>261</v>
      </c>
      <c r="J2902" s="10" t="str">
        <f>""</f>
        <v/>
      </c>
      <c r="K2902" s="10" t="str">
        <f>"PFES1162564314_0001"</f>
        <v>PFES1162564314_0001</v>
      </c>
      <c r="L2902" s="10">
        <v>1</v>
      </c>
      <c r="M2902" s="10">
        <v>2</v>
      </c>
    </row>
    <row r="2903" spans="1:13">
      <c r="A2903" s="8">
        <v>42940</v>
      </c>
      <c r="B2903" s="9">
        <v>0.47430555555555554</v>
      </c>
      <c r="C2903" s="10" t="str">
        <f>"FES1162564248"</f>
        <v>FES1162564248</v>
      </c>
      <c r="D2903" s="10" t="s">
        <v>19</v>
      </c>
      <c r="E2903" s="10" t="s">
        <v>366</v>
      </c>
      <c r="F2903" s="10" t="str">
        <f>"2170580701 "</f>
        <v xml:space="preserve">2170580701 </v>
      </c>
      <c r="G2903" s="10" t="str">
        <f t="shared" si="127"/>
        <v>ON1</v>
      </c>
      <c r="H2903" s="10" t="s">
        <v>21</v>
      </c>
      <c r="I2903" s="10" t="s">
        <v>234</v>
      </c>
      <c r="J2903" s="10" t="str">
        <f>""</f>
        <v/>
      </c>
      <c r="K2903" s="10" t="str">
        <f>"PFES1162564248_0001"</f>
        <v>PFES1162564248_0001</v>
      </c>
      <c r="L2903" s="10">
        <v>1</v>
      </c>
      <c r="M2903" s="10">
        <v>1</v>
      </c>
    </row>
    <row r="2904" spans="1:13">
      <c r="A2904" s="8">
        <v>42940</v>
      </c>
      <c r="B2904" s="9">
        <v>0.47361111111111115</v>
      </c>
      <c r="C2904" s="10" t="str">
        <f>"FES1162564311"</f>
        <v>FES1162564311</v>
      </c>
      <c r="D2904" s="10" t="s">
        <v>19</v>
      </c>
      <c r="E2904" s="10" t="s">
        <v>1086</v>
      </c>
      <c r="F2904" s="10" t="str">
        <f>"2170580798 "</f>
        <v xml:space="preserve">2170580798 </v>
      </c>
      <c r="G2904" s="10" t="str">
        <f t="shared" si="127"/>
        <v>ON1</v>
      </c>
      <c r="H2904" s="10" t="s">
        <v>21</v>
      </c>
      <c r="I2904" s="10" t="s">
        <v>166</v>
      </c>
      <c r="J2904" s="10" t="str">
        <f>""</f>
        <v/>
      </c>
      <c r="K2904" s="10" t="str">
        <f>"PFES1162564311_0001"</f>
        <v>PFES1162564311_0001</v>
      </c>
      <c r="L2904" s="10">
        <v>1</v>
      </c>
      <c r="M2904" s="10">
        <v>1</v>
      </c>
    </row>
    <row r="2905" spans="1:13">
      <c r="A2905" s="8">
        <v>42940</v>
      </c>
      <c r="B2905" s="9">
        <v>0.47291666666666665</v>
      </c>
      <c r="C2905" s="10" t="str">
        <f>"FES1162564295"</f>
        <v>FES1162564295</v>
      </c>
      <c r="D2905" s="10" t="s">
        <v>19</v>
      </c>
      <c r="E2905" s="10" t="s">
        <v>436</v>
      </c>
      <c r="F2905" s="10" t="str">
        <f>"2170580747 "</f>
        <v xml:space="preserve">2170580747 </v>
      </c>
      <c r="G2905" s="10" t="str">
        <f t="shared" si="127"/>
        <v>ON1</v>
      </c>
      <c r="H2905" s="10" t="s">
        <v>21</v>
      </c>
      <c r="I2905" s="10" t="s">
        <v>252</v>
      </c>
      <c r="J2905" s="10" t="str">
        <f>""</f>
        <v/>
      </c>
      <c r="K2905" s="10" t="str">
        <f>"PFES1162564295_0001"</f>
        <v>PFES1162564295_0001</v>
      </c>
      <c r="L2905" s="10">
        <v>1</v>
      </c>
      <c r="M2905" s="10">
        <v>1</v>
      </c>
    </row>
    <row r="2906" spans="1:13">
      <c r="A2906" s="8">
        <v>42940</v>
      </c>
      <c r="B2906" s="9">
        <v>0.47222222222222227</v>
      </c>
      <c r="C2906" s="10" t="str">
        <f>"FES1162564299"</f>
        <v>FES1162564299</v>
      </c>
      <c r="D2906" s="10" t="s">
        <v>19</v>
      </c>
      <c r="E2906" s="10" t="s">
        <v>268</v>
      </c>
      <c r="F2906" s="10" t="str">
        <f>"2170580780 "</f>
        <v xml:space="preserve">2170580780 </v>
      </c>
      <c r="G2906" s="10" t="str">
        <f t="shared" si="127"/>
        <v>ON1</v>
      </c>
      <c r="H2906" s="10" t="s">
        <v>21</v>
      </c>
      <c r="I2906" s="10" t="s">
        <v>185</v>
      </c>
      <c r="J2906" s="10" t="str">
        <f>""</f>
        <v/>
      </c>
      <c r="K2906" s="10" t="str">
        <f>"PFES1162564299_0001"</f>
        <v>PFES1162564299_0001</v>
      </c>
      <c r="L2906" s="10">
        <v>1</v>
      </c>
      <c r="M2906" s="10">
        <v>1</v>
      </c>
    </row>
    <row r="2907" spans="1:13">
      <c r="A2907" s="8">
        <v>42940</v>
      </c>
      <c r="B2907" s="9">
        <v>0.47152777777777777</v>
      </c>
      <c r="C2907" s="10" t="str">
        <f>"FES1162564221"</f>
        <v>FES1162564221</v>
      </c>
      <c r="D2907" s="10" t="s">
        <v>19</v>
      </c>
      <c r="E2907" s="10" t="s">
        <v>436</v>
      </c>
      <c r="F2907" s="10" t="str">
        <f>"2170579686 "</f>
        <v xml:space="preserve">2170579686 </v>
      </c>
      <c r="G2907" s="10" t="str">
        <f t="shared" si="127"/>
        <v>ON1</v>
      </c>
      <c r="H2907" s="10" t="s">
        <v>21</v>
      </c>
      <c r="I2907" s="10" t="s">
        <v>252</v>
      </c>
      <c r="J2907" s="10" t="str">
        <f>""</f>
        <v/>
      </c>
      <c r="K2907" s="10" t="str">
        <f>"PFES1162564221_0001"</f>
        <v>PFES1162564221_0001</v>
      </c>
      <c r="L2907" s="10">
        <v>1</v>
      </c>
      <c r="M2907" s="10">
        <v>2</v>
      </c>
    </row>
    <row r="2908" spans="1:13">
      <c r="A2908" s="8">
        <v>42940</v>
      </c>
      <c r="B2908" s="9">
        <v>0.47013888888888888</v>
      </c>
      <c r="C2908" s="10" t="str">
        <f>"FES1162562619"</f>
        <v>FES1162562619</v>
      </c>
      <c r="D2908" s="10" t="s">
        <v>19</v>
      </c>
      <c r="E2908" s="10" t="s">
        <v>543</v>
      </c>
      <c r="F2908" s="10" t="str">
        <f>"2170569415 "</f>
        <v xml:space="preserve">2170569415 </v>
      </c>
      <c r="G2908" s="10" t="str">
        <f>"DBC"</f>
        <v>DBC</v>
      </c>
      <c r="H2908" s="10" t="s">
        <v>21</v>
      </c>
      <c r="I2908" s="10" t="s">
        <v>300</v>
      </c>
      <c r="J2908" s="10" t="str">
        <f>""</f>
        <v/>
      </c>
      <c r="K2908" s="10" t="str">
        <f>"PFES1162562619_0001"</f>
        <v>PFES1162562619_0001</v>
      </c>
      <c r="L2908" s="10">
        <v>1</v>
      </c>
      <c r="M2908" s="10">
        <v>25</v>
      </c>
    </row>
    <row r="2909" spans="1:13">
      <c r="A2909" s="8">
        <v>42940</v>
      </c>
      <c r="B2909" s="9">
        <v>0.46875</v>
      </c>
      <c r="C2909" s="10" t="str">
        <f>"FES1162564247"</f>
        <v>FES1162564247</v>
      </c>
      <c r="D2909" s="10" t="s">
        <v>19</v>
      </c>
      <c r="E2909" s="10" t="s">
        <v>765</v>
      </c>
      <c r="F2909" s="10" t="str">
        <f>"2170580722 "</f>
        <v xml:space="preserve">2170580722 </v>
      </c>
      <c r="G2909" s="10" t="str">
        <f t="shared" ref="G2909:G2915" si="128">"ON1"</f>
        <v>ON1</v>
      </c>
      <c r="H2909" s="10" t="s">
        <v>21</v>
      </c>
      <c r="I2909" s="10" t="s">
        <v>563</v>
      </c>
      <c r="J2909" s="10" t="str">
        <f>""</f>
        <v/>
      </c>
      <c r="K2909" s="10" t="str">
        <f>"PFES1162564247_0001"</f>
        <v>PFES1162564247_0001</v>
      </c>
      <c r="L2909" s="10">
        <v>1</v>
      </c>
      <c r="M2909" s="10">
        <v>15</v>
      </c>
    </row>
    <row r="2910" spans="1:13">
      <c r="A2910" s="8">
        <v>42940</v>
      </c>
      <c r="B2910" s="9">
        <v>0.4680555555555555</v>
      </c>
      <c r="C2910" s="10" t="str">
        <f>"FES1162564171"</f>
        <v>FES1162564171</v>
      </c>
      <c r="D2910" s="10" t="s">
        <v>19</v>
      </c>
      <c r="E2910" s="10" t="s">
        <v>1087</v>
      </c>
      <c r="F2910" s="10" t="str">
        <f>"2170575598 "</f>
        <v xml:space="preserve">2170575598 </v>
      </c>
      <c r="G2910" s="10" t="str">
        <f t="shared" si="128"/>
        <v>ON1</v>
      </c>
      <c r="H2910" s="10" t="s">
        <v>21</v>
      </c>
      <c r="I2910" s="10" t="s">
        <v>185</v>
      </c>
      <c r="J2910" s="10" t="str">
        <f>""</f>
        <v/>
      </c>
      <c r="K2910" s="10" t="str">
        <f>"PFES1162564171_0001"</f>
        <v>PFES1162564171_0001</v>
      </c>
      <c r="L2910" s="10">
        <v>1</v>
      </c>
      <c r="M2910" s="10">
        <v>2</v>
      </c>
    </row>
    <row r="2911" spans="1:13">
      <c r="A2911" s="8">
        <v>42940</v>
      </c>
      <c r="B2911" s="9">
        <v>0.46666666666666662</v>
      </c>
      <c r="C2911" s="10" t="str">
        <f>"FES1162564160"</f>
        <v>FES1162564160</v>
      </c>
      <c r="D2911" s="10" t="s">
        <v>19</v>
      </c>
      <c r="E2911" s="10" t="s">
        <v>190</v>
      </c>
      <c r="F2911" s="10" t="str">
        <f>"2170580711 "</f>
        <v xml:space="preserve">2170580711 </v>
      </c>
      <c r="G2911" s="10" t="str">
        <f t="shared" si="128"/>
        <v>ON1</v>
      </c>
      <c r="H2911" s="10" t="s">
        <v>21</v>
      </c>
      <c r="I2911" s="10" t="s">
        <v>52</v>
      </c>
      <c r="J2911" s="10" t="str">
        <f>""</f>
        <v/>
      </c>
      <c r="K2911" s="10" t="str">
        <f>"PFES1162564160_0001"</f>
        <v>PFES1162564160_0001</v>
      </c>
      <c r="L2911" s="10">
        <v>1</v>
      </c>
      <c r="M2911" s="10">
        <v>1</v>
      </c>
    </row>
    <row r="2912" spans="1:13">
      <c r="A2912" s="8">
        <v>42940</v>
      </c>
      <c r="B2912" s="9">
        <v>0.46527777777777773</v>
      </c>
      <c r="C2912" s="10" t="str">
        <f>"FES1162564188"</f>
        <v>FES1162564188</v>
      </c>
      <c r="D2912" s="10" t="s">
        <v>19</v>
      </c>
      <c r="E2912" s="10" t="s">
        <v>190</v>
      </c>
      <c r="F2912" s="10" t="str">
        <f>"2170578246 "</f>
        <v xml:space="preserve">2170578246 </v>
      </c>
      <c r="G2912" s="10" t="str">
        <f t="shared" si="128"/>
        <v>ON1</v>
      </c>
      <c r="H2912" s="10" t="s">
        <v>21</v>
      </c>
      <c r="I2912" s="10" t="s">
        <v>52</v>
      </c>
      <c r="J2912" s="10" t="str">
        <f>""</f>
        <v/>
      </c>
      <c r="K2912" s="10" t="str">
        <f>"PFES1162564188_0001"</f>
        <v>PFES1162564188_0001</v>
      </c>
      <c r="L2912" s="10">
        <v>1</v>
      </c>
      <c r="M2912" s="10">
        <v>1</v>
      </c>
    </row>
    <row r="2913" spans="1:13">
      <c r="A2913" s="8">
        <v>42940</v>
      </c>
      <c r="B2913" s="9">
        <v>0.46458333333333335</v>
      </c>
      <c r="C2913" s="10" t="str">
        <f>"FES1162564154"</f>
        <v>FES1162564154</v>
      </c>
      <c r="D2913" s="10" t="s">
        <v>19</v>
      </c>
      <c r="E2913" s="10" t="s">
        <v>1088</v>
      </c>
      <c r="F2913" s="10" t="str">
        <f>"2170580704 "</f>
        <v xml:space="preserve">2170580704 </v>
      </c>
      <c r="G2913" s="10" t="str">
        <f t="shared" si="128"/>
        <v>ON1</v>
      </c>
      <c r="H2913" s="10" t="s">
        <v>21</v>
      </c>
      <c r="I2913" s="10" t="s">
        <v>234</v>
      </c>
      <c r="J2913" s="10" t="str">
        <f>""</f>
        <v/>
      </c>
      <c r="K2913" s="10" t="str">
        <f>"PFES1162564154_0001"</f>
        <v>PFES1162564154_0001</v>
      </c>
      <c r="L2913" s="10">
        <v>1</v>
      </c>
      <c r="M2913" s="10">
        <v>1</v>
      </c>
    </row>
    <row r="2914" spans="1:13">
      <c r="A2914" s="8">
        <v>42940</v>
      </c>
      <c r="B2914" s="9">
        <v>0.46388888888888885</v>
      </c>
      <c r="C2914" s="10" t="str">
        <f>"FES1162564179"</f>
        <v>FES1162564179</v>
      </c>
      <c r="D2914" s="10" t="s">
        <v>19</v>
      </c>
      <c r="E2914" s="10" t="s">
        <v>268</v>
      </c>
      <c r="F2914" s="10" t="str">
        <f>"2170578034 "</f>
        <v xml:space="preserve">2170578034 </v>
      </c>
      <c r="G2914" s="10" t="str">
        <f t="shared" si="128"/>
        <v>ON1</v>
      </c>
      <c r="H2914" s="10" t="s">
        <v>21</v>
      </c>
      <c r="I2914" s="10" t="s">
        <v>185</v>
      </c>
      <c r="J2914" s="10" t="str">
        <f>""</f>
        <v/>
      </c>
      <c r="K2914" s="10" t="str">
        <f>"PFES1162564179_0001"</f>
        <v>PFES1162564179_0001</v>
      </c>
      <c r="L2914" s="10">
        <v>1</v>
      </c>
      <c r="M2914" s="10">
        <v>1</v>
      </c>
    </row>
    <row r="2915" spans="1:13">
      <c r="A2915" s="8">
        <v>42940</v>
      </c>
      <c r="B2915" s="9">
        <v>0.46319444444444446</v>
      </c>
      <c r="C2915" s="10" t="str">
        <f>"FES1162564237"</f>
        <v>FES1162564237</v>
      </c>
      <c r="D2915" s="10" t="s">
        <v>19</v>
      </c>
      <c r="E2915" s="10" t="s">
        <v>239</v>
      </c>
      <c r="F2915" s="10" t="str">
        <f>"2170580422 "</f>
        <v xml:space="preserve">2170580422 </v>
      </c>
      <c r="G2915" s="10" t="str">
        <f t="shared" si="128"/>
        <v>ON1</v>
      </c>
      <c r="H2915" s="10" t="s">
        <v>21</v>
      </c>
      <c r="I2915" s="10" t="s">
        <v>240</v>
      </c>
      <c r="J2915" s="10" t="str">
        <f>""</f>
        <v/>
      </c>
      <c r="K2915" s="10" t="str">
        <f>"PFES1162564237_0001"</f>
        <v>PFES1162564237_0001</v>
      </c>
      <c r="L2915" s="10">
        <v>1</v>
      </c>
      <c r="M2915" s="10">
        <v>1</v>
      </c>
    </row>
    <row r="2916" spans="1:13">
      <c r="A2916" s="8">
        <v>42940</v>
      </c>
      <c r="B2916" s="9">
        <v>0.45902777777777781</v>
      </c>
      <c r="C2916" s="10" t="str">
        <f>"FES1162564270"</f>
        <v>FES1162564270</v>
      </c>
      <c r="D2916" s="10" t="s">
        <v>19</v>
      </c>
      <c r="E2916" s="10" t="s">
        <v>659</v>
      </c>
      <c r="F2916" s="10" t="str">
        <f>"2170577994 "</f>
        <v xml:space="preserve">2170577994 </v>
      </c>
      <c r="G2916" s="10" t="str">
        <f>"DBC"</f>
        <v>DBC</v>
      </c>
      <c r="H2916" s="10" t="s">
        <v>21</v>
      </c>
      <c r="I2916" s="10" t="s">
        <v>183</v>
      </c>
      <c r="J2916" s="10" t="s">
        <v>1089</v>
      </c>
      <c r="K2916" s="10" t="str">
        <f>"PFES1162564270_0001"</f>
        <v>PFES1162564270_0001</v>
      </c>
      <c r="L2916" s="10">
        <v>1</v>
      </c>
      <c r="M2916" s="15">
        <v>1</v>
      </c>
    </row>
    <row r="2917" spans="1:13">
      <c r="A2917" s="8">
        <v>42940</v>
      </c>
      <c r="B2917" s="9">
        <v>0.69374999999999998</v>
      </c>
      <c r="C2917" s="10" t="str">
        <f>"FES1162564445"</f>
        <v>FES1162564445</v>
      </c>
      <c r="D2917" s="10" t="s">
        <v>19</v>
      </c>
      <c r="E2917" s="10" t="s">
        <v>1090</v>
      </c>
      <c r="F2917" s="10" t="str">
        <f>"2170580982 "</f>
        <v xml:space="preserve">2170580982 </v>
      </c>
      <c r="G2917" s="10" t="str">
        <f>"DBC"</f>
        <v>DBC</v>
      </c>
      <c r="H2917" s="10" t="s">
        <v>21</v>
      </c>
      <c r="I2917" s="10" t="s">
        <v>775</v>
      </c>
      <c r="J2917" s="10" t="str">
        <f>""</f>
        <v/>
      </c>
      <c r="K2917" s="10" t="str">
        <f>"PFES1162564445_0001"</f>
        <v>PFES1162564445_0001</v>
      </c>
      <c r="L2917" s="10">
        <v>2</v>
      </c>
      <c r="M2917" s="10">
        <v>38</v>
      </c>
    </row>
    <row r="2918" spans="1:13">
      <c r="A2918" s="8">
        <v>42940</v>
      </c>
      <c r="B2918" s="9">
        <v>0.69374999999999998</v>
      </c>
      <c r="C2918" s="10" t="str">
        <f>"FES1162564445"</f>
        <v>FES1162564445</v>
      </c>
      <c r="D2918" s="10" t="s">
        <v>19</v>
      </c>
      <c r="E2918" s="10" t="s">
        <v>1090</v>
      </c>
      <c r="F2918" s="10" t="str">
        <f>"2170580982 "</f>
        <v xml:space="preserve">2170580982 </v>
      </c>
      <c r="G2918" s="10" t="str">
        <f>"DBC"</f>
        <v>DBC</v>
      </c>
      <c r="H2918" s="10" t="s">
        <v>21</v>
      </c>
      <c r="I2918" s="10" t="s">
        <v>775</v>
      </c>
      <c r="J2918" s="10"/>
      <c r="K2918" s="10" t="str">
        <f>"PFES1162564445_0002"</f>
        <v>PFES1162564445_0002</v>
      </c>
      <c r="L2918" s="10">
        <v>2</v>
      </c>
      <c r="M2918" s="10">
        <v>38</v>
      </c>
    </row>
    <row r="2919" spans="1:13">
      <c r="A2919" s="8">
        <v>42940</v>
      </c>
      <c r="B2919" s="9">
        <v>0.69374999999999998</v>
      </c>
      <c r="C2919" s="10" t="str">
        <f>"FES1162564465"</f>
        <v>FES1162564465</v>
      </c>
      <c r="D2919" s="10" t="s">
        <v>19</v>
      </c>
      <c r="E2919" s="10" t="s">
        <v>1082</v>
      </c>
      <c r="F2919" s="10" t="str">
        <f>"21705/80787 "</f>
        <v xml:space="preserve">21705/80787 </v>
      </c>
      <c r="G2919" s="10" t="str">
        <f t="shared" ref="G2919:G2982" si="129">"ON1"</f>
        <v>ON1</v>
      </c>
      <c r="H2919" s="10" t="s">
        <v>21</v>
      </c>
      <c r="I2919" s="10" t="s">
        <v>1083</v>
      </c>
      <c r="J2919" s="10" t="str">
        <f>""</f>
        <v/>
      </c>
      <c r="K2919" s="10" t="str">
        <f>"PFES1162564465_0001"</f>
        <v>PFES1162564465_0001</v>
      </c>
      <c r="L2919" s="10">
        <v>1</v>
      </c>
      <c r="M2919" s="10">
        <v>6</v>
      </c>
    </row>
    <row r="2920" spans="1:13">
      <c r="A2920" s="8">
        <v>42940</v>
      </c>
      <c r="B2920" s="9">
        <v>0.69305555555555554</v>
      </c>
      <c r="C2920" s="10" t="str">
        <f>"FES1162564371"</f>
        <v>FES1162564371</v>
      </c>
      <c r="D2920" s="10" t="s">
        <v>19</v>
      </c>
      <c r="E2920" s="10" t="s">
        <v>511</v>
      </c>
      <c r="F2920" s="10" t="str">
        <f>" "</f>
        <v xml:space="preserve"> </v>
      </c>
      <c r="G2920" s="10" t="str">
        <f t="shared" si="129"/>
        <v>ON1</v>
      </c>
      <c r="H2920" s="10" t="s">
        <v>21</v>
      </c>
      <c r="I2920" s="10" t="s">
        <v>138</v>
      </c>
      <c r="J2920" s="10" t="str">
        <f>"2170579563"</f>
        <v>2170579563</v>
      </c>
      <c r="K2920" s="10" t="str">
        <f>"PFES1162564371_0001"</f>
        <v>PFES1162564371_0001</v>
      </c>
      <c r="L2920" s="10">
        <v>1</v>
      </c>
      <c r="M2920" s="10">
        <v>1</v>
      </c>
    </row>
    <row r="2921" spans="1:13">
      <c r="A2921" s="8">
        <v>42940</v>
      </c>
      <c r="B2921" s="9">
        <v>0.69305555555555554</v>
      </c>
      <c r="C2921" s="10" t="str">
        <f>"FES1162564383"</f>
        <v>FES1162564383</v>
      </c>
      <c r="D2921" s="10" t="s">
        <v>19</v>
      </c>
      <c r="E2921" s="10" t="s">
        <v>1091</v>
      </c>
      <c r="F2921" s="10" t="str">
        <f>"2170580906 "</f>
        <v xml:space="preserve">2170580906 </v>
      </c>
      <c r="G2921" s="10" t="str">
        <f t="shared" si="129"/>
        <v>ON1</v>
      </c>
      <c r="H2921" s="10" t="s">
        <v>21</v>
      </c>
      <c r="I2921" s="10" t="s">
        <v>1092</v>
      </c>
      <c r="J2921" s="10" t="str">
        <f>""</f>
        <v/>
      </c>
      <c r="K2921" s="10" t="str">
        <f>"PFES1162564383_0001"</f>
        <v>PFES1162564383_0001</v>
      </c>
      <c r="L2921" s="10">
        <v>1</v>
      </c>
      <c r="M2921" s="10">
        <v>1</v>
      </c>
    </row>
    <row r="2922" spans="1:13">
      <c r="A2922" s="8">
        <v>42940</v>
      </c>
      <c r="B2922" s="9">
        <v>0.69305555555555554</v>
      </c>
      <c r="C2922" s="10" t="str">
        <f>"FES1162564242"</f>
        <v>FES1162564242</v>
      </c>
      <c r="D2922" s="10" t="s">
        <v>19</v>
      </c>
      <c r="E2922" s="10" t="s">
        <v>341</v>
      </c>
      <c r="F2922" s="10" t="str">
        <f>"2170580572 "</f>
        <v xml:space="preserve">2170580572 </v>
      </c>
      <c r="G2922" s="10" t="str">
        <f t="shared" si="129"/>
        <v>ON1</v>
      </c>
      <c r="H2922" s="10" t="s">
        <v>21</v>
      </c>
      <c r="I2922" s="10" t="s">
        <v>342</v>
      </c>
      <c r="J2922" s="10" t="str">
        <f>""</f>
        <v/>
      </c>
      <c r="K2922" s="10" t="str">
        <f>"PFES1162564242_0001"</f>
        <v>PFES1162564242_0001</v>
      </c>
      <c r="L2922" s="10">
        <v>1</v>
      </c>
      <c r="M2922" s="10">
        <v>1</v>
      </c>
    </row>
    <row r="2923" spans="1:13">
      <c r="A2923" s="8">
        <v>42940</v>
      </c>
      <c r="B2923" s="9">
        <v>0.69236111111111109</v>
      </c>
      <c r="C2923" s="10" t="str">
        <f>"FES1162564354"</f>
        <v>FES1162564354</v>
      </c>
      <c r="D2923" s="10" t="s">
        <v>19</v>
      </c>
      <c r="E2923" s="10" t="s">
        <v>900</v>
      </c>
      <c r="F2923" s="10" t="str">
        <f>"2170580859 "</f>
        <v xml:space="preserve">2170580859 </v>
      </c>
      <c r="G2923" s="10" t="str">
        <f t="shared" si="129"/>
        <v>ON1</v>
      </c>
      <c r="H2923" s="10" t="s">
        <v>21</v>
      </c>
      <c r="I2923" s="10" t="s">
        <v>1093</v>
      </c>
      <c r="J2923" s="10" t="str">
        <f>""</f>
        <v/>
      </c>
      <c r="K2923" s="10" t="str">
        <f>"PFES1162564354_0001"</f>
        <v>PFES1162564354_0001</v>
      </c>
      <c r="L2923" s="10">
        <v>1</v>
      </c>
      <c r="M2923" s="10">
        <v>7</v>
      </c>
    </row>
    <row r="2924" spans="1:13">
      <c r="A2924" s="8">
        <v>42940</v>
      </c>
      <c r="B2924" s="9">
        <v>0.69097222222222221</v>
      </c>
      <c r="C2924" s="10" t="str">
        <f>"FES1162564366"</f>
        <v>FES1162564366</v>
      </c>
      <c r="D2924" s="10" t="s">
        <v>19</v>
      </c>
      <c r="E2924" s="10" t="s">
        <v>361</v>
      </c>
      <c r="F2924" s="10" t="str">
        <f>"2170580883 "</f>
        <v xml:space="preserve">2170580883 </v>
      </c>
      <c r="G2924" s="10" t="str">
        <f t="shared" si="129"/>
        <v>ON1</v>
      </c>
      <c r="H2924" s="10" t="s">
        <v>21</v>
      </c>
      <c r="I2924" s="10" t="s">
        <v>106</v>
      </c>
      <c r="J2924" s="10" t="str">
        <f>""</f>
        <v/>
      </c>
      <c r="K2924" s="10" t="str">
        <f>"PFES1162564366_0001"</f>
        <v>PFES1162564366_0001</v>
      </c>
      <c r="L2924" s="10">
        <v>1</v>
      </c>
      <c r="M2924" s="10">
        <v>4</v>
      </c>
    </row>
    <row r="2925" spans="1:13">
      <c r="A2925" s="8">
        <v>42940</v>
      </c>
      <c r="B2925" s="9">
        <v>0.69027777777777777</v>
      </c>
      <c r="C2925" s="10" t="str">
        <f>"FES1162564350"</f>
        <v>FES1162564350</v>
      </c>
      <c r="D2925" s="10" t="s">
        <v>19</v>
      </c>
      <c r="E2925" s="10" t="s">
        <v>827</v>
      </c>
      <c r="F2925" s="10" t="str">
        <f>"2170580850 "</f>
        <v xml:space="preserve">2170580850 </v>
      </c>
      <c r="G2925" s="10" t="str">
        <f t="shared" si="129"/>
        <v>ON1</v>
      </c>
      <c r="H2925" s="10" t="s">
        <v>21</v>
      </c>
      <c r="I2925" s="10" t="s">
        <v>828</v>
      </c>
      <c r="J2925" s="10" t="str">
        <f>""</f>
        <v/>
      </c>
      <c r="K2925" s="10" t="str">
        <f>"PFES1162564350_0001"</f>
        <v>PFES1162564350_0001</v>
      </c>
      <c r="L2925" s="10">
        <v>1</v>
      </c>
      <c r="M2925" s="10">
        <v>10</v>
      </c>
    </row>
    <row r="2926" spans="1:13">
      <c r="A2926" s="8">
        <v>42940</v>
      </c>
      <c r="B2926" s="9">
        <v>0.68958333333333333</v>
      </c>
      <c r="C2926" s="10" t="str">
        <f>"FES1162564460"</f>
        <v>FES1162564460</v>
      </c>
      <c r="D2926" s="10" t="s">
        <v>19</v>
      </c>
      <c r="E2926" s="10" t="s">
        <v>1055</v>
      </c>
      <c r="F2926" s="10" t="str">
        <f>"2170581019 "</f>
        <v xml:space="preserve">2170581019 </v>
      </c>
      <c r="G2926" s="10" t="str">
        <f t="shared" si="129"/>
        <v>ON1</v>
      </c>
      <c r="H2926" s="10" t="s">
        <v>21</v>
      </c>
      <c r="I2926" s="10" t="s">
        <v>28</v>
      </c>
      <c r="J2926" s="10" t="str">
        <f>""</f>
        <v/>
      </c>
      <c r="K2926" s="10" t="str">
        <f>"PFES1162564460_0001"</f>
        <v>PFES1162564460_0001</v>
      </c>
      <c r="L2926" s="10">
        <v>1</v>
      </c>
      <c r="M2926" s="10">
        <v>2</v>
      </c>
    </row>
    <row r="2927" spans="1:13">
      <c r="A2927" s="8">
        <v>42940</v>
      </c>
      <c r="B2927" s="9">
        <v>0.68958333333333333</v>
      </c>
      <c r="C2927" s="10" t="str">
        <f>"FES1162564410"</f>
        <v>FES1162564410</v>
      </c>
      <c r="D2927" s="10" t="s">
        <v>19</v>
      </c>
      <c r="E2927" s="10" t="s">
        <v>666</v>
      </c>
      <c r="F2927" s="10" t="str">
        <f>"2170580949 "</f>
        <v xml:space="preserve">2170580949 </v>
      </c>
      <c r="G2927" s="10" t="str">
        <f t="shared" si="129"/>
        <v>ON1</v>
      </c>
      <c r="H2927" s="10" t="s">
        <v>21</v>
      </c>
      <c r="I2927" s="10" t="s">
        <v>628</v>
      </c>
      <c r="J2927" s="10" t="str">
        <f>""</f>
        <v/>
      </c>
      <c r="K2927" s="10" t="str">
        <f>"PFES1162564410_0001"</f>
        <v>PFES1162564410_0001</v>
      </c>
      <c r="L2927" s="10">
        <v>1</v>
      </c>
      <c r="M2927" s="10">
        <v>3</v>
      </c>
    </row>
    <row r="2928" spans="1:13">
      <c r="A2928" s="8">
        <v>42940</v>
      </c>
      <c r="B2928" s="9">
        <v>0.68888888888888899</v>
      </c>
      <c r="C2928" s="10" t="str">
        <f>"FES1162564419"</f>
        <v>FES1162564419</v>
      </c>
      <c r="D2928" s="10" t="s">
        <v>19</v>
      </c>
      <c r="E2928" s="10" t="s">
        <v>958</v>
      </c>
      <c r="F2928" s="10" t="str">
        <f>"2170580957 "</f>
        <v xml:space="preserve">2170580957 </v>
      </c>
      <c r="G2928" s="10" t="str">
        <f t="shared" si="129"/>
        <v>ON1</v>
      </c>
      <c r="H2928" s="10" t="s">
        <v>21</v>
      </c>
      <c r="I2928" s="10" t="s">
        <v>443</v>
      </c>
      <c r="J2928" s="10" t="str">
        <f>""</f>
        <v/>
      </c>
      <c r="K2928" s="10" t="str">
        <f>"PFES1162564419_0001"</f>
        <v>PFES1162564419_0001</v>
      </c>
      <c r="L2928" s="10">
        <v>1</v>
      </c>
      <c r="M2928" s="10">
        <v>3</v>
      </c>
    </row>
    <row r="2929" spans="1:13">
      <c r="A2929" s="8">
        <v>42940</v>
      </c>
      <c r="B2929" s="9">
        <v>0.68888888888888899</v>
      </c>
      <c r="C2929" s="10" t="str">
        <f>"FES1162564444"</f>
        <v>FES1162564444</v>
      </c>
      <c r="D2929" s="10" t="s">
        <v>19</v>
      </c>
      <c r="E2929" s="10" t="s">
        <v>33</v>
      </c>
      <c r="F2929" s="10" t="str">
        <f>"2170580978 "</f>
        <v xml:space="preserve">2170580978 </v>
      </c>
      <c r="G2929" s="10" t="str">
        <f t="shared" si="129"/>
        <v>ON1</v>
      </c>
      <c r="H2929" s="10" t="s">
        <v>21</v>
      </c>
      <c r="I2929" s="10" t="s">
        <v>34</v>
      </c>
      <c r="J2929" s="10" t="str">
        <f>""</f>
        <v/>
      </c>
      <c r="K2929" s="10" t="str">
        <f>"PFES1162564444_0001"</f>
        <v>PFES1162564444_0001</v>
      </c>
      <c r="L2929" s="10">
        <v>1</v>
      </c>
      <c r="M2929" s="10">
        <v>3</v>
      </c>
    </row>
    <row r="2930" spans="1:13">
      <c r="A2930" s="8">
        <v>42940</v>
      </c>
      <c r="B2930" s="9">
        <v>0.68819444444444444</v>
      </c>
      <c r="C2930" s="10" t="str">
        <f>"FES1162564453"</f>
        <v>FES1162564453</v>
      </c>
      <c r="D2930" s="10" t="s">
        <v>19</v>
      </c>
      <c r="E2930" s="10" t="s">
        <v>1021</v>
      </c>
      <c r="F2930" s="10" t="str">
        <f>"2170580828 "</f>
        <v xml:space="preserve">2170580828 </v>
      </c>
      <c r="G2930" s="10" t="str">
        <f t="shared" si="129"/>
        <v>ON1</v>
      </c>
      <c r="H2930" s="10" t="s">
        <v>21</v>
      </c>
      <c r="I2930" s="10" t="s">
        <v>410</v>
      </c>
      <c r="J2930" s="10" t="str">
        <f>""</f>
        <v/>
      </c>
      <c r="K2930" s="10" t="str">
        <f>"PFES1162564453_0001"</f>
        <v>PFES1162564453_0001</v>
      </c>
      <c r="L2930" s="10">
        <v>1</v>
      </c>
      <c r="M2930" s="10">
        <v>1</v>
      </c>
    </row>
    <row r="2931" spans="1:13">
      <c r="A2931" s="8">
        <v>42940</v>
      </c>
      <c r="B2931" s="9">
        <v>0.68472222222222223</v>
      </c>
      <c r="C2931" s="10" t="str">
        <f>"009935791610"</f>
        <v>009935791610</v>
      </c>
      <c r="D2931" s="10" t="s">
        <v>19</v>
      </c>
      <c r="E2931" s="10" t="s">
        <v>39</v>
      </c>
      <c r="F2931" s="10" t="str">
        <f>"EMMANUEL "</f>
        <v xml:space="preserve">EMMANUEL </v>
      </c>
      <c r="G2931" s="10" t="str">
        <f t="shared" si="129"/>
        <v>ON1</v>
      </c>
      <c r="H2931" s="10" t="s">
        <v>21</v>
      </c>
      <c r="I2931" s="10" t="s">
        <v>40</v>
      </c>
      <c r="J2931" s="10" t="str">
        <f>""</f>
        <v/>
      </c>
      <c r="K2931" s="10" t="str">
        <f>"P009935791610_0001"</f>
        <v>P009935791610_0001</v>
      </c>
      <c r="L2931" s="10">
        <v>1</v>
      </c>
      <c r="M2931" s="10">
        <v>2</v>
      </c>
    </row>
    <row r="2932" spans="1:13">
      <c r="A2932" s="8">
        <v>42940</v>
      </c>
      <c r="B2932" s="9">
        <v>0.68125000000000002</v>
      </c>
      <c r="C2932" s="10" t="str">
        <f>"FES1162564443"</f>
        <v>FES1162564443</v>
      </c>
      <c r="D2932" s="10" t="s">
        <v>19</v>
      </c>
      <c r="E2932" s="10" t="s">
        <v>164</v>
      </c>
      <c r="F2932" s="10" t="str">
        <f>"2170580925 "</f>
        <v xml:space="preserve">2170580925 </v>
      </c>
      <c r="G2932" s="10" t="str">
        <f t="shared" si="129"/>
        <v>ON1</v>
      </c>
      <c r="H2932" s="10" t="s">
        <v>21</v>
      </c>
      <c r="I2932" s="10" t="s">
        <v>147</v>
      </c>
      <c r="J2932" s="10" t="str">
        <f>""</f>
        <v/>
      </c>
      <c r="K2932" s="10" t="str">
        <f>"PFES1162564443_0001"</f>
        <v>PFES1162564443_0001</v>
      </c>
      <c r="L2932" s="10">
        <v>2</v>
      </c>
      <c r="M2932" s="10">
        <v>10</v>
      </c>
    </row>
    <row r="2933" spans="1:13">
      <c r="A2933" s="8">
        <v>42940</v>
      </c>
      <c r="B2933" s="9">
        <v>0.68125000000000002</v>
      </c>
      <c r="C2933" s="10" t="str">
        <f>"FES1162564443"</f>
        <v>FES1162564443</v>
      </c>
      <c r="D2933" s="10" t="s">
        <v>19</v>
      </c>
      <c r="E2933" s="10" t="s">
        <v>164</v>
      </c>
      <c r="F2933" s="10" t="str">
        <f>"2170580925 "</f>
        <v xml:space="preserve">2170580925 </v>
      </c>
      <c r="G2933" s="10" t="str">
        <f t="shared" si="129"/>
        <v>ON1</v>
      </c>
      <c r="H2933" s="10" t="s">
        <v>21</v>
      </c>
      <c r="I2933" s="10" t="s">
        <v>147</v>
      </c>
      <c r="J2933" s="10"/>
      <c r="K2933" s="10" t="str">
        <f>"PFES1162564443_0002"</f>
        <v>PFES1162564443_0002</v>
      </c>
      <c r="L2933" s="10">
        <v>2</v>
      </c>
      <c r="M2933" s="10">
        <v>10</v>
      </c>
    </row>
    <row r="2934" spans="1:13">
      <c r="A2934" s="8">
        <v>42940</v>
      </c>
      <c r="B2934" s="9">
        <v>0.67986111111111114</v>
      </c>
      <c r="C2934" s="10" t="str">
        <f>"FES1162564348"</f>
        <v>FES1162564348</v>
      </c>
      <c r="D2934" s="10" t="s">
        <v>19</v>
      </c>
      <c r="E2934" s="10" t="s">
        <v>822</v>
      </c>
      <c r="F2934" s="10" t="str">
        <f>"2170580847 "</f>
        <v xml:space="preserve">2170580847 </v>
      </c>
      <c r="G2934" s="10" t="str">
        <f t="shared" si="129"/>
        <v>ON1</v>
      </c>
      <c r="H2934" s="10" t="s">
        <v>21</v>
      </c>
      <c r="I2934" s="10" t="s">
        <v>38</v>
      </c>
      <c r="J2934" s="10" t="str">
        <f>""</f>
        <v/>
      </c>
      <c r="K2934" s="10" t="str">
        <f>"PFES1162564348_0001"</f>
        <v>PFES1162564348_0001</v>
      </c>
      <c r="L2934" s="10">
        <v>1</v>
      </c>
      <c r="M2934" s="10">
        <v>5</v>
      </c>
    </row>
    <row r="2935" spans="1:13">
      <c r="A2935" s="8">
        <v>42940</v>
      </c>
      <c r="B2935" s="9">
        <v>0.67847222222222225</v>
      </c>
      <c r="C2935" s="10" t="str">
        <f>"FES1162564421"</f>
        <v>FES1162564421</v>
      </c>
      <c r="D2935" s="10" t="s">
        <v>19</v>
      </c>
      <c r="E2935" s="10" t="s">
        <v>1094</v>
      </c>
      <c r="F2935" s="10" t="str">
        <f>"2170580960 "</f>
        <v xml:space="preserve">2170580960 </v>
      </c>
      <c r="G2935" s="10" t="str">
        <f t="shared" si="129"/>
        <v>ON1</v>
      </c>
      <c r="H2935" s="10" t="s">
        <v>21</v>
      </c>
      <c r="I2935" s="10" t="s">
        <v>161</v>
      </c>
      <c r="J2935" s="10" t="str">
        <f>""</f>
        <v/>
      </c>
      <c r="K2935" s="10" t="str">
        <f>"PFES1162564421_0001"</f>
        <v>PFES1162564421_0001</v>
      </c>
      <c r="L2935" s="10">
        <v>1</v>
      </c>
      <c r="M2935" s="10">
        <v>1</v>
      </c>
    </row>
    <row r="2936" spans="1:13">
      <c r="A2936" s="8">
        <v>42940</v>
      </c>
      <c r="B2936" s="9">
        <v>0.67708333333333337</v>
      </c>
      <c r="C2936" s="10" t="str">
        <f>"FES1162564396"</f>
        <v>FES1162564396</v>
      </c>
      <c r="D2936" s="10" t="s">
        <v>19</v>
      </c>
      <c r="E2936" s="10" t="s">
        <v>220</v>
      </c>
      <c r="F2936" s="10" t="str">
        <f>"2170580771 "</f>
        <v xml:space="preserve">2170580771 </v>
      </c>
      <c r="G2936" s="10" t="str">
        <f t="shared" si="129"/>
        <v>ON1</v>
      </c>
      <c r="H2936" s="10" t="s">
        <v>21</v>
      </c>
      <c r="I2936" s="10" t="s">
        <v>24</v>
      </c>
      <c r="J2936" s="10" t="str">
        <f>""</f>
        <v/>
      </c>
      <c r="K2936" s="10" t="str">
        <f>"PFES1162564396_0001"</f>
        <v>PFES1162564396_0001</v>
      </c>
      <c r="L2936" s="10">
        <v>1</v>
      </c>
      <c r="M2936" s="10">
        <v>2</v>
      </c>
    </row>
    <row r="2937" spans="1:13">
      <c r="A2937" s="8">
        <v>42940</v>
      </c>
      <c r="B2937" s="9">
        <v>0.67638888888888893</v>
      </c>
      <c r="C2937" s="10" t="str">
        <f>"FES1162564425"</f>
        <v>FES1162564425</v>
      </c>
      <c r="D2937" s="10" t="s">
        <v>19</v>
      </c>
      <c r="E2937" s="10" t="s">
        <v>323</v>
      </c>
      <c r="F2937" s="10" t="str">
        <f>"2170580676 "</f>
        <v xml:space="preserve">2170580676 </v>
      </c>
      <c r="G2937" s="10" t="str">
        <f t="shared" si="129"/>
        <v>ON1</v>
      </c>
      <c r="H2937" s="10" t="s">
        <v>21</v>
      </c>
      <c r="I2937" s="10" t="s">
        <v>75</v>
      </c>
      <c r="J2937" s="10" t="str">
        <f>""</f>
        <v/>
      </c>
      <c r="K2937" s="10" t="str">
        <f>"PFES1162564425_0001"</f>
        <v>PFES1162564425_0001</v>
      </c>
      <c r="L2937" s="10">
        <v>1</v>
      </c>
      <c r="M2937" s="10">
        <v>2</v>
      </c>
    </row>
    <row r="2938" spans="1:13">
      <c r="A2938" s="8">
        <v>42940</v>
      </c>
      <c r="B2938" s="9">
        <v>0.67638888888888893</v>
      </c>
      <c r="C2938" s="10" t="str">
        <f>"FES1162564409"</f>
        <v>FES1162564409</v>
      </c>
      <c r="D2938" s="10" t="s">
        <v>19</v>
      </c>
      <c r="E2938" s="10" t="s">
        <v>65</v>
      </c>
      <c r="F2938" s="10" t="str">
        <f>"2170580948 "</f>
        <v xml:space="preserve">2170580948 </v>
      </c>
      <c r="G2938" s="10" t="str">
        <f t="shared" si="129"/>
        <v>ON1</v>
      </c>
      <c r="H2938" s="10" t="s">
        <v>21</v>
      </c>
      <c r="I2938" s="10" t="s">
        <v>66</v>
      </c>
      <c r="J2938" s="10" t="str">
        <f>""</f>
        <v/>
      </c>
      <c r="K2938" s="10" t="str">
        <f>"PFES1162564409_0001"</f>
        <v>PFES1162564409_0001</v>
      </c>
      <c r="L2938" s="10">
        <v>1</v>
      </c>
      <c r="M2938" s="10">
        <v>1</v>
      </c>
    </row>
    <row r="2939" spans="1:13">
      <c r="A2939" s="8">
        <v>42940</v>
      </c>
      <c r="B2939" s="9">
        <v>0.67638888888888893</v>
      </c>
      <c r="C2939" s="10" t="str">
        <f>"FES1162564279"</f>
        <v>FES1162564279</v>
      </c>
      <c r="D2939" s="10" t="s">
        <v>19</v>
      </c>
      <c r="E2939" s="10" t="s">
        <v>1095</v>
      </c>
      <c r="F2939" s="10" t="str">
        <f>"2170580479 "</f>
        <v xml:space="preserve">2170580479 </v>
      </c>
      <c r="G2939" s="10" t="str">
        <f t="shared" si="129"/>
        <v>ON1</v>
      </c>
      <c r="H2939" s="10" t="s">
        <v>21</v>
      </c>
      <c r="I2939" s="10" t="s">
        <v>1096</v>
      </c>
      <c r="J2939" s="10" t="str">
        <f>""</f>
        <v/>
      </c>
      <c r="K2939" s="10" t="str">
        <f>"PFES1162564279_0001"</f>
        <v>PFES1162564279_0001</v>
      </c>
      <c r="L2939" s="10">
        <v>1</v>
      </c>
      <c r="M2939" s="10">
        <v>2</v>
      </c>
    </row>
    <row r="2940" spans="1:13">
      <c r="A2940" s="8">
        <v>42940</v>
      </c>
      <c r="B2940" s="9">
        <v>0.67569444444444438</v>
      </c>
      <c r="C2940" s="10" t="str">
        <f>"FES1162564417"</f>
        <v>FES1162564417</v>
      </c>
      <c r="D2940" s="10" t="s">
        <v>19</v>
      </c>
      <c r="E2940" s="10" t="s">
        <v>880</v>
      </c>
      <c r="F2940" s="10" t="str">
        <f>"2170580955 "</f>
        <v xml:space="preserve">2170580955 </v>
      </c>
      <c r="G2940" s="10" t="str">
        <f t="shared" si="129"/>
        <v>ON1</v>
      </c>
      <c r="H2940" s="10" t="s">
        <v>21</v>
      </c>
      <c r="I2940" s="10" t="s">
        <v>32</v>
      </c>
      <c r="J2940" s="10" t="str">
        <f>""</f>
        <v/>
      </c>
      <c r="K2940" s="10" t="str">
        <f>"PFES1162564417_0001"</f>
        <v>PFES1162564417_0001</v>
      </c>
      <c r="L2940" s="10">
        <v>1</v>
      </c>
      <c r="M2940" s="10">
        <v>1</v>
      </c>
    </row>
    <row r="2941" spans="1:13">
      <c r="A2941" s="8">
        <v>42940</v>
      </c>
      <c r="B2941" s="9">
        <v>0.67499999999999993</v>
      </c>
      <c r="C2941" s="10" t="str">
        <f>"FES1162564201"</f>
        <v>FES1162564201</v>
      </c>
      <c r="D2941" s="10" t="s">
        <v>19</v>
      </c>
      <c r="E2941" s="10" t="s">
        <v>1097</v>
      </c>
      <c r="F2941" s="10" t="str">
        <f>"2170578477 "</f>
        <v xml:space="preserve">2170578477 </v>
      </c>
      <c r="G2941" s="10" t="str">
        <f t="shared" si="129"/>
        <v>ON1</v>
      </c>
      <c r="H2941" s="10" t="s">
        <v>21</v>
      </c>
      <c r="I2941" s="10" t="s">
        <v>86</v>
      </c>
      <c r="J2941" s="10" t="str">
        <f>""</f>
        <v/>
      </c>
      <c r="K2941" s="10" t="str">
        <f>"PFES1162564201_0001"</f>
        <v>PFES1162564201_0001</v>
      </c>
      <c r="L2941" s="10">
        <v>1</v>
      </c>
      <c r="M2941" s="10">
        <v>1</v>
      </c>
    </row>
    <row r="2942" spans="1:13">
      <c r="A2942" s="8">
        <v>42940</v>
      </c>
      <c r="B2942" s="9">
        <v>0.6743055555555556</v>
      </c>
      <c r="C2942" s="10" t="str">
        <f>"FES1162564082"</f>
        <v>FES1162564082</v>
      </c>
      <c r="D2942" s="10" t="s">
        <v>19</v>
      </c>
      <c r="E2942" s="10" t="s">
        <v>1098</v>
      </c>
      <c r="F2942" s="10" t="str">
        <f>"2170569522 "</f>
        <v xml:space="preserve">2170569522 </v>
      </c>
      <c r="G2942" s="10" t="str">
        <f t="shared" si="129"/>
        <v>ON1</v>
      </c>
      <c r="H2942" s="10" t="s">
        <v>21</v>
      </c>
      <c r="I2942" s="10" t="s">
        <v>213</v>
      </c>
      <c r="J2942" s="10" t="str">
        <f>""</f>
        <v/>
      </c>
      <c r="K2942" s="10" t="str">
        <f>"PFES1162564082_0001"</f>
        <v>PFES1162564082_0001</v>
      </c>
      <c r="L2942" s="10">
        <v>1</v>
      </c>
      <c r="M2942" s="10">
        <v>16</v>
      </c>
    </row>
    <row r="2943" spans="1:13">
      <c r="A2943" s="8">
        <v>42940</v>
      </c>
      <c r="B2943" s="9">
        <v>0.6743055555555556</v>
      </c>
      <c r="C2943" s="10" t="str">
        <f>"FES1162564448"</f>
        <v>FES1162564448</v>
      </c>
      <c r="D2943" s="10" t="s">
        <v>19</v>
      </c>
      <c r="E2943" s="10" t="s">
        <v>1099</v>
      </c>
      <c r="F2943" s="10" t="str">
        <f>"217058099 "</f>
        <v xml:space="preserve">217058099 </v>
      </c>
      <c r="G2943" s="10" t="str">
        <f t="shared" si="129"/>
        <v>ON1</v>
      </c>
      <c r="H2943" s="10" t="s">
        <v>21</v>
      </c>
      <c r="I2943" s="10" t="s">
        <v>117</v>
      </c>
      <c r="J2943" s="10" t="str">
        <f>""</f>
        <v/>
      </c>
      <c r="K2943" s="10" t="str">
        <f>"PFES1162564448_0001"</f>
        <v>PFES1162564448_0001</v>
      </c>
      <c r="L2943" s="10">
        <v>1</v>
      </c>
      <c r="M2943" s="10">
        <v>7</v>
      </c>
    </row>
    <row r="2944" spans="1:13">
      <c r="A2944" s="8">
        <v>42940</v>
      </c>
      <c r="B2944" s="9">
        <v>0.67222222222222217</v>
      </c>
      <c r="C2944" s="10" t="str">
        <f>"FES1162564404"</f>
        <v>FES1162564404</v>
      </c>
      <c r="D2944" s="10" t="s">
        <v>19</v>
      </c>
      <c r="E2944" s="10" t="s">
        <v>1090</v>
      </c>
      <c r="F2944" s="10" t="str">
        <f>"2170580940 "</f>
        <v xml:space="preserve">2170580940 </v>
      </c>
      <c r="G2944" s="10" t="str">
        <f t="shared" si="129"/>
        <v>ON1</v>
      </c>
      <c r="H2944" s="10" t="s">
        <v>21</v>
      </c>
      <c r="I2944" s="10" t="s">
        <v>775</v>
      </c>
      <c r="J2944" s="10" t="str">
        <f>""</f>
        <v/>
      </c>
      <c r="K2944" s="10" t="str">
        <f>"PFES1162564404_0001"</f>
        <v>PFES1162564404_0001</v>
      </c>
      <c r="L2944" s="10">
        <v>1</v>
      </c>
      <c r="M2944" s="10">
        <v>3</v>
      </c>
    </row>
    <row r="2945" spans="1:13">
      <c r="A2945" s="8">
        <v>42940</v>
      </c>
      <c r="B2945" s="9">
        <v>0.66736111111111107</v>
      </c>
      <c r="C2945" s="10" t="str">
        <f>"FES1162564182"</f>
        <v>FES1162564182</v>
      </c>
      <c r="D2945" s="10" t="s">
        <v>19</v>
      </c>
      <c r="E2945" s="10" t="s">
        <v>485</v>
      </c>
      <c r="F2945" s="10" t="str">
        <f>"2170578151 "</f>
        <v xml:space="preserve">2170578151 </v>
      </c>
      <c r="G2945" s="10" t="str">
        <f t="shared" si="129"/>
        <v>ON1</v>
      </c>
      <c r="H2945" s="10" t="s">
        <v>21</v>
      </c>
      <c r="I2945" s="10" t="s">
        <v>90</v>
      </c>
      <c r="J2945" s="10" t="str">
        <f>""</f>
        <v/>
      </c>
      <c r="K2945" s="10" t="str">
        <f>"PFES1162564182_0001"</f>
        <v>PFES1162564182_0001</v>
      </c>
      <c r="L2945" s="10">
        <v>1</v>
      </c>
      <c r="M2945" s="10">
        <v>1</v>
      </c>
    </row>
    <row r="2946" spans="1:13">
      <c r="A2946" s="8">
        <v>42940</v>
      </c>
      <c r="B2946" s="9">
        <v>0.66249999999999998</v>
      </c>
      <c r="C2946" s="10" t="str">
        <f>"FES1162564428"</f>
        <v>FES1162564428</v>
      </c>
      <c r="D2946" s="10" t="s">
        <v>19</v>
      </c>
      <c r="E2946" s="10" t="s">
        <v>181</v>
      </c>
      <c r="F2946" s="10" t="str">
        <f>"2170580963 "</f>
        <v xml:space="preserve">2170580963 </v>
      </c>
      <c r="G2946" s="10" t="str">
        <f t="shared" si="129"/>
        <v>ON1</v>
      </c>
      <c r="H2946" s="10" t="s">
        <v>21</v>
      </c>
      <c r="I2946" s="10" t="s">
        <v>179</v>
      </c>
      <c r="J2946" s="10" t="str">
        <f>""</f>
        <v/>
      </c>
      <c r="K2946" s="10" t="str">
        <f>"PFES1162564428_0001"</f>
        <v>PFES1162564428_0001</v>
      </c>
      <c r="L2946" s="10">
        <v>1</v>
      </c>
      <c r="M2946" s="10">
        <v>1</v>
      </c>
    </row>
    <row r="2947" spans="1:13">
      <c r="A2947" s="8">
        <v>42940</v>
      </c>
      <c r="B2947" s="9">
        <v>0.66249999999999998</v>
      </c>
      <c r="C2947" s="10" t="str">
        <f>"FES1162564416"</f>
        <v>FES1162564416</v>
      </c>
      <c r="D2947" s="10" t="s">
        <v>19</v>
      </c>
      <c r="E2947" s="10" t="s">
        <v>301</v>
      </c>
      <c r="F2947" s="10" t="str">
        <f>"2170580907 "</f>
        <v xml:space="preserve">2170580907 </v>
      </c>
      <c r="G2947" s="10" t="str">
        <f t="shared" si="129"/>
        <v>ON1</v>
      </c>
      <c r="H2947" s="10" t="s">
        <v>21</v>
      </c>
      <c r="I2947" s="10" t="s">
        <v>302</v>
      </c>
      <c r="J2947" s="10" t="str">
        <f>""</f>
        <v/>
      </c>
      <c r="K2947" s="10" t="str">
        <f>"PFES1162564416_0001"</f>
        <v>PFES1162564416_0001</v>
      </c>
      <c r="L2947" s="10">
        <v>1</v>
      </c>
      <c r="M2947" s="10">
        <v>1</v>
      </c>
    </row>
    <row r="2948" spans="1:13">
      <c r="A2948" s="8">
        <v>42940</v>
      </c>
      <c r="B2948" s="9">
        <v>0.66180555555555554</v>
      </c>
      <c r="C2948" s="10" t="str">
        <f>"FES1162564430"</f>
        <v>FES1162564430</v>
      </c>
      <c r="D2948" s="10" t="s">
        <v>19</v>
      </c>
      <c r="E2948" s="10" t="s">
        <v>355</v>
      </c>
      <c r="F2948" s="10" t="str">
        <f>"2170580965 "</f>
        <v xml:space="preserve">2170580965 </v>
      </c>
      <c r="G2948" s="10" t="str">
        <f t="shared" si="129"/>
        <v>ON1</v>
      </c>
      <c r="H2948" s="10" t="s">
        <v>21</v>
      </c>
      <c r="I2948" s="10" t="s">
        <v>330</v>
      </c>
      <c r="J2948" s="10" t="str">
        <f>""</f>
        <v/>
      </c>
      <c r="K2948" s="10" t="str">
        <f>"PFES1162564430_0001"</f>
        <v>PFES1162564430_0001</v>
      </c>
      <c r="L2948" s="10">
        <v>1</v>
      </c>
      <c r="M2948" s="10">
        <v>1</v>
      </c>
    </row>
    <row r="2949" spans="1:13">
      <c r="A2949" s="8">
        <v>42940</v>
      </c>
      <c r="B2949" s="9">
        <v>0.66180555555555554</v>
      </c>
      <c r="C2949" s="10" t="str">
        <f>"FES1162564439"</f>
        <v>FES1162564439</v>
      </c>
      <c r="D2949" s="10" t="s">
        <v>19</v>
      </c>
      <c r="E2949" s="10" t="s">
        <v>1048</v>
      </c>
      <c r="F2949" s="10" t="str">
        <f>"2170580975 "</f>
        <v xml:space="preserve">2170580975 </v>
      </c>
      <c r="G2949" s="10" t="str">
        <f t="shared" si="129"/>
        <v>ON1</v>
      </c>
      <c r="H2949" s="10" t="s">
        <v>21</v>
      </c>
      <c r="I2949" s="10" t="s">
        <v>1049</v>
      </c>
      <c r="J2949" s="10" t="str">
        <f>""</f>
        <v/>
      </c>
      <c r="K2949" s="10" t="str">
        <f>"PFES1162564439_0001"</f>
        <v>PFES1162564439_0001</v>
      </c>
      <c r="L2949" s="10">
        <v>1</v>
      </c>
      <c r="M2949" s="10">
        <v>1</v>
      </c>
    </row>
    <row r="2950" spans="1:13">
      <c r="A2950" s="8">
        <v>42940</v>
      </c>
      <c r="B2950" s="9">
        <v>0.66111111111111109</v>
      </c>
      <c r="C2950" s="10" t="str">
        <f>"FES1162564423"</f>
        <v>FES1162564423</v>
      </c>
      <c r="D2950" s="10" t="s">
        <v>19</v>
      </c>
      <c r="E2950" s="10" t="s">
        <v>158</v>
      </c>
      <c r="F2950" s="10" t="str">
        <f>"2170580962 "</f>
        <v xml:space="preserve">2170580962 </v>
      </c>
      <c r="G2950" s="10" t="str">
        <f t="shared" si="129"/>
        <v>ON1</v>
      </c>
      <c r="H2950" s="10" t="s">
        <v>21</v>
      </c>
      <c r="I2950" s="10" t="s">
        <v>159</v>
      </c>
      <c r="J2950" s="10" t="str">
        <f>""</f>
        <v/>
      </c>
      <c r="K2950" s="10" t="str">
        <f>"PFES1162564423_0001"</f>
        <v>PFES1162564423_0001</v>
      </c>
      <c r="L2950" s="10">
        <v>1</v>
      </c>
      <c r="M2950" s="10">
        <v>1</v>
      </c>
    </row>
    <row r="2951" spans="1:13">
      <c r="A2951" s="8">
        <v>42940</v>
      </c>
      <c r="B2951" s="9">
        <v>0.66111111111111109</v>
      </c>
      <c r="C2951" s="10" t="str">
        <f>"FES1162564436"</f>
        <v>FES1162564436</v>
      </c>
      <c r="D2951" s="10" t="s">
        <v>19</v>
      </c>
      <c r="E2951" s="10" t="s">
        <v>1048</v>
      </c>
      <c r="F2951" s="10" t="str">
        <f>"2170580972 "</f>
        <v xml:space="preserve">2170580972 </v>
      </c>
      <c r="G2951" s="10" t="str">
        <f t="shared" si="129"/>
        <v>ON1</v>
      </c>
      <c r="H2951" s="10" t="s">
        <v>21</v>
      </c>
      <c r="I2951" s="10" t="s">
        <v>1049</v>
      </c>
      <c r="J2951" s="10" t="str">
        <f>""</f>
        <v/>
      </c>
      <c r="K2951" s="10" t="str">
        <f>"PFES1162564436_0001"</f>
        <v>PFES1162564436_0001</v>
      </c>
      <c r="L2951" s="10">
        <v>1</v>
      </c>
      <c r="M2951" s="10">
        <v>10</v>
      </c>
    </row>
    <row r="2952" spans="1:13">
      <c r="A2952" s="8">
        <v>42940</v>
      </c>
      <c r="B2952" s="9">
        <v>0.66041666666666665</v>
      </c>
      <c r="C2952" s="10" t="str">
        <f>"FES1162564440"</f>
        <v>FES1162564440</v>
      </c>
      <c r="D2952" s="10" t="s">
        <v>19</v>
      </c>
      <c r="E2952" s="10" t="s">
        <v>1048</v>
      </c>
      <c r="F2952" s="10" t="str">
        <f>"217058076 "</f>
        <v xml:space="preserve">217058076 </v>
      </c>
      <c r="G2952" s="10" t="str">
        <f t="shared" si="129"/>
        <v>ON1</v>
      </c>
      <c r="H2952" s="10" t="s">
        <v>21</v>
      </c>
      <c r="I2952" s="10" t="s">
        <v>1049</v>
      </c>
      <c r="J2952" s="10" t="str">
        <f>""</f>
        <v/>
      </c>
      <c r="K2952" s="10" t="str">
        <f>"PFES1162564440_0001"</f>
        <v>PFES1162564440_0001</v>
      </c>
      <c r="L2952" s="10">
        <v>1</v>
      </c>
      <c r="M2952" s="10">
        <v>1</v>
      </c>
    </row>
    <row r="2953" spans="1:13">
      <c r="A2953" s="8">
        <v>42940</v>
      </c>
      <c r="B2953" s="9">
        <v>0.65763888888888888</v>
      </c>
      <c r="C2953" s="10" t="str">
        <f>"FES1162564435"</f>
        <v>FES1162564435</v>
      </c>
      <c r="D2953" s="10" t="s">
        <v>19</v>
      </c>
      <c r="E2953" s="10" t="s">
        <v>39</v>
      </c>
      <c r="F2953" s="10" t="str">
        <f>"2170580971 "</f>
        <v xml:space="preserve">2170580971 </v>
      </c>
      <c r="G2953" s="10" t="str">
        <f t="shared" si="129"/>
        <v>ON1</v>
      </c>
      <c r="H2953" s="10" t="s">
        <v>21</v>
      </c>
      <c r="I2953" s="10" t="s">
        <v>40</v>
      </c>
      <c r="J2953" s="10" t="str">
        <f>""</f>
        <v/>
      </c>
      <c r="K2953" s="10" t="str">
        <f>"PFES1162564435_0001"</f>
        <v>PFES1162564435_0001</v>
      </c>
      <c r="L2953" s="10">
        <v>1</v>
      </c>
      <c r="M2953" s="10">
        <v>1</v>
      </c>
    </row>
    <row r="2954" spans="1:13">
      <c r="A2954" s="8">
        <v>42940</v>
      </c>
      <c r="B2954" s="9">
        <v>0.65763888888888888</v>
      </c>
      <c r="C2954" s="10" t="str">
        <f>"FES1162564438"</f>
        <v>FES1162564438</v>
      </c>
      <c r="D2954" s="10" t="s">
        <v>19</v>
      </c>
      <c r="E2954" s="10" t="s">
        <v>1048</v>
      </c>
      <c r="F2954" s="10" t="str">
        <f>"21708094 "</f>
        <v xml:space="preserve">21708094 </v>
      </c>
      <c r="G2954" s="10" t="str">
        <f t="shared" si="129"/>
        <v>ON1</v>
      </c>
      <c r="H2954" s="10" t="s">
        <v>21</v>
      </c>
      <c r="I2954" s="10" t="s">
        <v>1049</v>
      </c>
      <c r="J2954" s="10" t="str">
        <f>""</f>
        <v/>
      </c>
      <c r="K2954" s="10" t="str">
        <f>"PFES1162564438_0001"</f>
        <v>PFES1162564438_0001</v>
      </c>
      <c r="L2954" s="10">
        <v>1</v>
      </c>
      <c r="M2954" s="10">
        <v>1</v>
      </c>
    </row>
    <row r="2955" spans="1:13">
      <c r="A2955" s="8">
        <v>42940</v>
      </c>
      <c r="B2955" s="9">
        <v>0.65625</v>
      </c>
      <c r="C2955" s="10" t="str">
        <f>"FES1162564411"</f>
        <v>FES1162564411</v>
      </c>
      <c r="D2955" s="10" t="s">
        <v>19</v>
      </c>
      <c r="E2955" s="10" t="s">
        <v>110</v>
      </c>
      <c r="F2955" s="10" t="str">
        <f>"2170580950 "</f>
        <v xml:space="preserve">2170580950 </v>
      </c>
      <c r="G2955" s="10" t="str">
        <f t="shared" si="129"/>
        <v>ON1</v>
      </c>
      <c r="H2955" s="10" t="s">
        <v>21</v>
      </c>
      <c r="I2955" s="10" t="s">
        <v>111</v>
      </c>
      <c r="J2955" s="10" t="str">
        <f>""</f>
        <v/>
      </c>
      <c r="K2955" s="10" t="str">
        <f>"PFES1162564411_0001"</f>
        <v>PFES1162564411_0001</v>
      </c>
      <c r="L2955" s="10">
        <v>1</v>
      </c>
      <c r="M2955" s="10">
        <v>1</v>
      </c>
    </row>
    <row r="2956" spans="1:13">
      <c r="A2956" s="8">
        <v>42940</v>
      </c>
      <c r="B2956" s="9">
        <v>0.65625</v>
      </c>
      <c r="C2956" s="10" t="str">
        <f>"FES1162563883"</f>
        <v>FES1162563883</v>
      </c>
      <c r="D2956" s="10" t="s">
        <v>19</v>
      </c>
      <c r="E2956" s="10" t="s">
        <v>619</v>
      </c>
      <c r="F2956" s="10" t="str">
        <f>"2170575050 "</f>
        <v xml:space="preserve">2170575050 </v>
      </c>
      <c r="G2956" s="10" t="str">
        <f t="shared" si="129"/>
        <v>ON1</v>
      </c>
      <c r="H2956" s="10" t="s">
        <v>21</v>
      </c>
      <c r="I2956" s="10" t="s">
        <v>620</v>
      </c>
      <c r="J2956" s="10" t="str">
        <f>""</f>
        <v/>
      </c>
      <c r="K2956" s="10" t="str">
        <f>"PFES1162563883_0001"</f>
        <v>PFES1162563883_0001</v>
      </c>
      <c r="L2956" s="10">
        <v>1</v>
      </c>
      <c r="M2956" s="10">
        <v>1</v>
      </c>
    </row>
    <row r="2957" spans="1:13">
      <c r="A2957" s="8">
        <v>42940</v>
      </c>
      <c r="B2957" s="9">
        <v>0.65486111111111112</v>
      </c>
      <c r="C2957" s="10" t="str">
        <f>"FES1162564433"</f>
        <v>FES1162564433</v>
      </c>
      <c r="D2957" s="10" t="s">
        <v>19</v>
      </c>
      <c r="E2957" s="10" t="s">
        <v>329</v>
      </c>
      <c r="F2957" s="10" t="str">
        <f>"2170580969 "</f>
        <v xml:space="preserve">2170580969 </v>
      </c>
      <c r="G2957" s="10" t="str">
        <f t="shared" si="129"/>
        <v>ON1</v>
      </c>
      <c r="H2957" s="10" t="s">
        <v>21</v>
      </c>
      <c r="I2957" s="10" t="s">
        <v>330</v>
      </c>
      <c r="J2957" s="10" t="str">
        <f>""</f>
        <v/>
      </c>
      <c r="K2957" s="10" t="str">
        <f>"PFES1162564433_0001"</f>
        <v>PFES1162564433_0001</v>
      </c>
      <c r="L2957" s="10">
        <v>1</v>
      </c>
      <c r="M2957" s="10">
        <v>1</v>
      </c>
    </row>
    <row r="2958" spans="1:13">
      <c r="A2958" s="8">
        <v>42940</v>
      </c>
      <c r="B2958" s="9">
        <v>0.65486111111111112</v>
      </c>
      <c r="C2958" s="10" t="str">
        <f>"FES1162564207"</f>
        <v>FES1162564207</v>
      </c>
      <c r="D2958" s="10" t="s">
        <v>19</v>
      </c>
      <c r="E2958" s="10" t="s">
        <v>1100</v>
      </c>
      <c r="F2958" s="10" t="str">
        <f>"217058542 "</f>
        <v xml:space="preserve">217058542 </v>
      </c>
      <c r="G2958" s="10" t="str">
        <f t="shared" si="129"/>
        <v>ON1</v>
      </c>
      <c r="H2958" s="10" t="s">
        <v>21</v>
      </c>
      <c r="I2958" s="10" t="s">
        <v>1101</v>
      </c>
      <c r="J2958" s="10" t="str">
        <f>""</f>
        <v/>
      </c>
      <c r="K2958" s="10" t="str">
        <f>"PFES1162564207_0001"</f>
        <v>PFES1162564207_0001</v>
      </c>
      <c r="L2958" s="10">
        <v>1</v>
      </c>
      <c r="M2958" s="10">
        <v>1</v>
      </c>
    </row>
    <row r="2959" spans="1:13">
      <c r="A2959" s="8">
        <v>42940</v>
      </c>
      <c r="B2959" s="9">
        <v>0.65416666666666667</v>
      </c>
      <c r="C2959" s="10" t="str">
        <f>"FES1162564183"</f>
        <v>FES1162564183</v>
      </c>
      <c r="D2959" s="10" t="s">
        <v>19</v>
      </c>
      <c r="E2959" s="10" t="s">
        <v>866</v>
      </c>
      <c r="F2959" s="10" t="str">
        <f>"217058717 "</f>
        <v xml:space="preserve">217058717 </v>
      </c>
      <c r="G2959" s="10" t="str">
        <f t="shared" si="129"/>
        <v>ON1</v>
      </c>
      <c r="H2959" s="10" t="s">
        <v>21</v>
      </c>
      <c r="I2959" s="10" t="s">
        <v>364</v>
      </c>
      <c r="J2959" s="10" t="str">
        <f>""</f>
        <v/>
      </c>
      <c r="K2959" s="10" t="str">
        <f>"PFES1162564183_0001"</f>
        <v>PFES1162564183_0001</v>
      </c>
      <c r="L2959" s="10">
        <v>1</v>
      </c>
      <c r="M2959" s="10">
        <v>1</v>
      </c>
    </row>
    <row r="2960" spans="1:13">
      <c r="A2960" s="8">
        <v>42940</v>
      </c>
      <c r="B2960" s="9">
        <v>0.65416666666666667</v>
      </c>
      <c r="C2960" s="10" t="str">
        <f>"FES1162564418"</f>
        <v>FES1162564418</v>
      </c>
      <c r="D2960" s="10" t="s">
        <v>19</v>
      </c>
      <c r="E2960" s="10" t="s">
        <v>175</v>
      </c>
      <c r="F2960" s="10" t="str">
        <f>"2170580956 "</f>
        <v xml:space="preserve">2170580956 </v>
      </c>
      <c r="G2960" s="10" t="str">
        <f t="shared" si="129"/>
        <v>ON1</v>
      </c>
      <c r="H2960" s="10" t="s">
        <v>21</v>
      </c>
      <c r="I2960" s="10" t="s">
        <v>168</v>
      </c>
      <c r="J2960" s="10" t="str">
        <f>""</f>
        <v/>
      </c>
      <c r="K2960" s="10" t="str">
        <f>"PFES1162564418_0001"</f>
        <v>PFES1162564418_0001</v>
      </c>
      <c r="L2960" s="10">
        <v>1</v>
      </c>
      <c r="M2960" s="10">
        <v>1</v>
      </c>
    </row>
    <row r="2961" spans="1:13">
      <c r="A2961" s="8">
        <v>42940</v>
      </c>
      <c r="B2961" s="9">
        <v>0.65277777777777779</v>
      </c>
      <c r="C2961" s="10" t="str">
        <f>"FES1162564407"</f>
        <v>FES1162564407</v>
      </c>
      <c r="D2961" s="10" t="s">
        <v>19</v>
      </c>
      <c r="E2961" s="10" t="s">
        <v>371</v>
      </c>
      <c r="F2961" s="10" t="str">
        <f>"2170580946 "</f>
        <v xml:space="preserve">2170580946 </v>
      </c>
      <c r="G2961" s="10" t="str">
        <f t="shared" si="129"/>
        <v>ON1</v>
      </c>
      <c r="H2961" s="10" t="s">
        <v>21</v>
      </c>
      <c r="I2961" s="10" t="s">
        <v>202</v>
      </c>
      <c r="J2961" s="10" t="str">
        <f>""</f>
        <v/>
      </c>
      <c r="K2961" s="10" t="str">
        <f>"PFES1162564407_0001"</f>
        <v>PFES1162564407_0001</v>
      </c>
      <c r="L2961" s="10">
        <v>1</v>
      </c>
      <c r="M2961" s="10">
        <v>1</v>
      </c>
    </row>
    <row r="2962" spans="1:13">
      <c r="A2962" s="8">
        <v>42940</v>
      </c>
      <c r="B2962" s="9">
        <v>0.65208333333333335</v>
      </c>
      <c r="C2962" s="10" t="str">
        <f>"FES1162564408"</f>
        <v>FES1162564408</v>
      </c>
      <c r="D2962" s="10" t="s">
        <v>19</v>
      </c>
      <c r="E2962" s="10" t="s">
        <v>154</v>
      </c>
      <c r="F2962" s="10" t="str">
        <f>"2170580947 "</f>
        <v xml:space="preserve">2170580947 </v>
      </c>
      <c r="G2962" s="10" t="str">
        <f t="shared" si="129"/>
        <v>ON1</v>
      </c>
      <c r="H2962" s="10" t="s">
        <v>21</v>
      </c>
      <c r="I2962" s="10" t="s">
        <v>130</v>
      </c>
      <c r="J2962" s="10" t="str">
        <f>""</f>
        <v/>
      </c>
      <c r="K2962" s="10" t="str">
        <f>"PFES1162564408_0001"</f>
        <v>PFES1162564408_0001</v>
      </c>
      <c r="L2962" s="10">
        <v>1</v>
      </c>
      <c r="M2962" s="10">
        <v>5</v>
      </c>
    </row>
    <row r="2963" spans="1:13">
      <c r="A2963" s="8">
        <v>42940</v>
      </c>
      <c r="B2963" s="9">
        <v>0.65208333333333335</v>
      </c>
      <c r="C2963" s="10" t="str">
        <f>"FES1162564391"</f>
        <v>FES1162564391</v>
      </c>
      <c r="D2963" s="10" t="s">
        <v>19</v>
      </c>
      <c r="E2963" s="10" t="s">
        <v>288</v>
      </c>
      <c r="F2963" s="10" t="str">
        <f>"2170580914 "</f>
        <v xml:space="preserve">2170580914 </v>
      </c>
      <c r="G2963" s="10" t="str">
        <f t="shared" si="129"/>
        <v>ON1</v>
      </c>
      <c r="H2963" s="10" t="s">
        <v>21</v>
      </c>
      <c r="I2963" s="10" t="s">
        <v>412</v>
      </c>
      <c r="J2963" s="10" t="str">
        <f>""</f>
        <v/>
      </c>
      <c r="K2963" s="10" t="str">
        <f>"PFES1162564391_0001"</f>
        <v>PFES1162564391_0001</v>
      </c>
      <c r="L2963" s="10">
        <v>1</v>
      </c>
      <c r="M2963" s="10">
        <v>1</v>
      </c>
    </row>
    <row r="2964" spans="1:13">
      <c r="A2964" s="8">
        <v>42940</v>
      </c>
      <c r="B2964" s="9">
        <v>0.65208333333333335</v>
      </c>
      <c r="C2964" s="10" t="str">
        <f>"FES1162564393"</f>
        <v>FES1162564393</v>
      </c>
      <c r="D2964" s="10" t="s">
        <v>19</v>
      </c>
      <c r="E2964" s="10" t="s">
        <v>33</v>
      </c>
      <c r="F2964" s="10" t="str">
        <f>"2170580919 "</f>
        <v xml:space="preserve">2170580919 </v>
      </c>
      <c r="G2964" s="10" t="str">
        <f t="shared" si="129"/>
        <v>ON1</v>
      </c>
      <c r="H2964" s="10" t="s">
        <v>21</v>
      </c>
      <c r="I2964" s="10" t="s">
        <v>34</v>
      </c>
      <c r="J2964" s="10" t="str">
        <f>""</f>
        <v/>
      </c>
      <c r="K2964" s="10" t="str">
        <f>"PFES1162564393_0001"</f>
        <v>PFES1162564393_0001</v>
      </c>
      <c r="L2964" s="10">
        <v>1</v>
      </c>
      <c r="M2964" s="10">
        <v>1</v>
      </c>
    </row>
    <row r="2965" spans="1:13">
      <c r="A2965" s="8">
        <v>42940</v>
      </c>
      <c r="B2965" s="9">
        <v>0.65138888888888891</v>
      </c>
      <c r="C2965" s="10" t="str">
        <f>"FES1162564191"</f>
        <v>FES1162564191</v>
      </c>
      <c r="D2965" s="10" t="s">
        <v>19</v>
      </c>
      <c r="E2965" s="10" t="s">
        <v>716</v>
      </c>
      <c r="F2965" s="10" t="str">
        <f>"2170578260 "</f>
        <v xml:space="preserve">2170578260 </v>
      </c>
      <c r="G2965" s="10" t="str">
        <f t="shared" si="129"/>
        <v>ON1</v>
      </c>
      <c r="H2965" s="10" t="s">
        <v>21</v>
      </c>
      <c r="I2965" s="10" t="s">
        <v>700</v>
      </c>
      <c r="J2965" s="10" t="str">
        <f>""</f>
        <v/>
      </c>
      <c r="K2965" s="10" t="str">
        <f>"PFES1162564191_0001"</f>
        <v>PFES1162564191_0001</v>
      </c>
      <c r="L2965" s="10">
        <v>1</v>
      </c>
      <c r="M2965" s="10">
        <v>1</v>
      </c>
    </row>
    <row r="2966" spans="1:13">
      <c r="A2966" s="8">
        <v>42940</v>
      </c>
      <c r="B2966" s="9">
        <v>0.65138888888888891</v>
      </c>
      <c r="C2966" s="10" t="str">
        <f>"FES1162564380"</f>
        <v>FES1162564380</v>
      </c>
      <c r="D2966" s="10" t="s">
        <v>19</v>
      </c>
      <c r="E2966" s="10" t="s">
        <v>660</v>
      </c>
      <c r="F2966" s="10" t="str">
        <f>"2170580898 "</f>
        <v xml:space="preserve">2170580898 </v>
      </c>
      <c r="G2966" s="10" t="str">
        <f t="shared" si="129"/>
        <v>ON1</v>
      </c>
      <c r="H2966" s="10" t="s">
        <v>21</v>
      </c>
      <c r="I2966" s="10" t="s">
        <v>84</v>
      </c>
      <c r="J2966" s="10" t="str">
        <f>""</f>
        <v/>
      </c>
      <c r="K2966" s="10" t="str">
        <f>"PFES1162564380_0001"</f>
        <v>PFES1162564380_0001</v>
      </c>
      <c r="L2966" s="10">
        <v>1</v>
      </c>
      <c r="M2966" s="10">
        <v>1</v>
      </c>
    </row>
    <row r="2967" spans="1:13">
      <c r="A2967" s="8">
        <v>42940</v>
      </c>
      <c r="B2967" s="9">
        <v>0.65</v>
      </c>
      <c r="C2967" s="10" t="str">
        <f>"FES1162564198"</f>
        <v>FES1162564198</v>
      </c>
      <c r="D2967" s="10" t="s">
        <v>19</v>
      </c>
      <c r="E2967" s="10" t="s">
        <v>1102</v>
      </c>
      <c r="F2967" s="10" t="str">
        <f>"2170578400 "</f>
        <v xml:space="preserve">2170578400 </v>
      </c>
      <c r="G2967" s="10" t="str">
        <f t="shared" si="129"/>
        <v>ON1</v>
      </c>
      <c r="H2967" s="10" t="s">
        <v>21</v>
      </c>
      <c r="I2967" s="10" t="s">
        <v>32</v>
      </c>
      <c r="J2967" s="10" t="str">
        <f>""</f>
        <v/>
      </c>
      <c r="K2967" s="10" t="str">
        <f>"PFES1162564198_0001"</f>
        <v>PFES1162564198_0001</v>
      </c>
      <c r="L2967" s="10">
        <v>1</v>
      </c>
      <c r="M2967" s="10">
        <v>1</v>
      </c>
    </row>
    <row r="2968" spans="1:13">
      <c r="A2968" s="8">
        <v>42940</v>
      </c>
      <c r="B2968" s="9">
        <v>0.65</v>
      </c>
      <c r="C2968" s="10" t="str">
        <f>"FES1162564272"</f>
        <v>FES1162564272</v>
      </c>
      <c r="D2968" s="10" t="s">
        <v>19</v>
      </c>
      <c r="E2968" s="10" t="s">
        <v>1103</v>
      </c>
      <c r="F2968" s="10" t="str">
        <f>"2170580753 "</f>
        <v xml:space="preserve">2170580753 </v>
      </c>
      <c r="G2968" s="10" t="str">
        <f t="shared" si="129"/>
        <v>ON1</v>
      </c>
      <c r="H2968" s="10" t="s">
        <v>21</v>
      </c>
      <c r="I2968" s="10" t="s">
        <v>876</v>
      </c>
      <c r="J2968" s="10" t="str">
        <f>""</f>
        <v/>
      </c>
      <c r="K2968" s="10" t="str">
        <f>"PFES1162564272_0001"</f>
        <v>PFES1162564272_0001</v>
      </c>
      <c r="L2968" s="10">
        <v>1</v>
      </c>
      <c r="M2968" s="10">
        <v>1</v>
      </c>
    </row>
    <row r="2969" spans="1:13">
      <c r="A2969" s="8">
        <v>42940</v>
      </c>
      <c r="B2969" s="9">
        <v>0.65</v>
      </c>
      <c r="C2969" s="10" t="str">
        <f>"FES1162564328"</f>
        <v>FES1162564328</v>
      </c>
      <c r="D2969" s="10" t="s">
        <v>19</v>
      </c>
      <c r="E2969" s="10" t="s">
        <v>611</v>
      </c>
      <c r="F2969" s="10" t="str">
        <f>"2170580813 "</f>
        <v xml:space="preserve">2170580813 </v>
      </c>
      <c r="G2969" s="10" t="str">
        <f t="shared" si="129"/>
        <v>ON1</v>
      </c>
      <c r="H2969" s="10" t="s">
        <v>21</v>
      </c>
      <c r="I2969" s="10" t="s">
        <v>48</v>
      </c>
      <c r="J2969" s="10" t="str">
        <f>""</f>
        <v/>
      </c>
      <c r="K2969" s="10" t="str">
        <f>"PFES1162564328_0001"</f>
        <v>PFES1162564328_0001</v>
      </c>
      <c r="L2969" s="10">
        <v>1</v>
      </c>
      <c r="M2969" s="10">
        <v>1</v>
      </c>
    </row>
    <row r="2970" spans="1:13">
      <c r="A2970" s="8">
        <v>42940</v>
      </c>
      <c r="B2970" s="9">
        <v>0.64722222222222225</v>
      </c>
      <c r="C2970" s="10" t="str">
        <f>"FES1162564429"</f>
        <v>FES1162564429</v>
      </c>
      <c r="D2970" s="10" t="s">
        <v>19</v>
      </c>
      <c r="E2970" s="10" t="s">
        <v>190</v>
      </c>
      <c r="F2970" s="10" t="str">
        <f>"2170580964 "</f>
        <v xml:space="preserve">2170580964 </v>
      </c>
      <c r="G2970" s="10" t="str">
        <f t="shared" si="129"/>
        <v>ON1</v>
      </c>
      <c r="H2970" s="10" t="s">
        <v>21</v>
      </c>
      <c r="I2970" s="10" t="s">
        <v>52</v>
      </c>
      <c r="J2970" s="10" t="str">
        <f>""</f>
        <v/>
      </c>
      <c r="K2970" s="10" t="str">
        <f>"PFES1162564429_0001"</f>
        <v>PFES1162564429_0001</v>
      </c>
      <c r="L2970" s="10">
        <v>1</v>
      </c>
      <c r="M2970" s="10">
        <v>4</v>
      </c>
    </row>
    <row r="2971" spans="1:13">
      <c r="A2971" s="8">
        <v>42940</v>
      </c>
      <c r="B2971" s="9">
        <v>0.6430555555555556</v>
      </c>
      <c r="C2971" s="10" t="str">
        <f>"FES1162564437"</f>
        <v>FES1162564437</v>
      </c>
      <c r="D2971" s="10" t="s">
        <v>19</v>
      </c>
      <c r="E2971" s="10" t="s">
        <v>190</v>
      </c>
      <c r="F2971" s="10" t="str">
        <f>"2170580973 "</f>
        <v xml:space="preserve">2170580973 </v>
      </c>
      <c r="G2971" s="10" t="str">
        <f t="shared" si="129"/>
        <v>ON1</v>
      </c>
      <c r="H2971" s="10" t="s">
        <v>21</v>
      </c>
      <c r="I2971" s="10" t="s">
        <v>52</v>
      </c>
      <c r="J2971" s="10" t="str">
        <f>""</f>
        <v/>
      </c>
      <c r="K2971" s="10" t="str">
        <f>"PFES1162564437_0001"</f>
        <v>PFES1162564437_0001</v>
      </c>
      <c r="L2971" s="10">
        <v>1</v>
      </c>
      <c r="M2971" s="10">
        <v>5</v>
      </c>
    </row>
    <row r="2972" spans="1:13">
      <c r="A2972" s="8">
        <v>42940</v>
      </c>
      <c r="B2972" s="9">
        <v>0.64236111111111105</v>
      </c>
      <c r="C2972" s="10" t="str">
        <f>"FES1162564424"</f>
        <v>FES1162564424</v>
      </c>
      <c r="D2972" s="10" t="s">
        <v>19</v>
      </c>
      <c r="E2972" s="10" t="s">
        <v>1104</v>
      </c>
      <c r="F2972" s="10" t="str">
        <f>"2170580967 "</f>
        <v xml:space="preserve">2170580967 </v>
      </c>
      <c r="G2972" s="10" t="str">
        <f t="shared" si="129"/>
        <v>ON1</v>
      </c>
      <c r="H2972" s="10" t="s">
        <v>21</v>
      </c>
      <c r="I2972" s="10" t="s">
        <v>240</v>
      </c>
      <c r="J2972" s="10" t="str">
        <f>""</f>
        <v/>
      </c>
      <c r="K2972" s="10" t="str">
        <f>"PFES1162564424_0001"</f>
        <v>PFES1162564424_0001</v>
      </c>
      <c r="L2972" s="10">
        <v>1</v>
      </c>
      <c r="M2972" s="10">
        <v>1</v>
      </c>
    </row>
    <row r="2973" spans="1:13">
      <c r="A2973" s="8">
        <v>42940</v>
      </c>
      <c r="B2973" s="9">
        <v>0.64166666666666672</v>
      </c>
      <c r="C2973" s="10" t="str">
        <f>"FES1162564434"</f>
        <v>FES1162564434</v>
      </c>
      <c r="D2973" s="10" t="s">
        <v>19</v>
      </c>
      <c r="E2973" s="10" t="s">
        <v>950</v>
      </c>
      <c r="F2973" s="10" t="str">
        <f>"2170580970 "</f>
        <v xml:space="preserve">2170580970 </v>
      </c>
      <c r="G2973" s="10" t="str">
        <f t="shared" si="129"/>
        <v>ON1</v>
      </c>
      <c r="H2973" s="10" t="s">
        <v>21</v>
      </c>
      <c r="I2973" s="10" t="s">
        <v>951</v>
      </c>
      <c r="J2973" s="10" t="str">
        <f>""</f>
        <v/>
      </c>
      <c r="K2973" s="10" t="str">
        <f>"PFES1162564434_0001"</f>
        <v>PFES1162564434_0001</v>
      </c>
      <c r="L2973" s="10">
        <v>1</v>
      </c>
      <c r="M2973" s="10">
        <v>1</v>
      </c>
    </row>
    <row r="2974" spans="1:13">
      <c r="A2974" s="8">
        <v>42940</v>
      </c>
      <c r="B2974" s="9">
        <v>0.64097222222222217</v>
      </c>
      <c r="C2974" s="10" t="str">
        <f>"FES1162564406"</f>
        <v>FES1162564406</v>
      </c>
      <c r="D2974" s="10" t="s">
        <v>19</v>
      </c>
      <c r="E2974" s="10" t="s">
        <v>255</v>
      </c>
      <c r="F2974" s="10" t="str">
        <f>"2170580942 "</f>
        <v xml:space="preserve">2170580942 </v>
      </c>
      <c r="G2974" s="10" t="str">
        <f t="shared" si="129"/>
        <v>ON1</v>
      </c>
      <c r="H2974" s="10" t="s">
        <v>21</v>
      </c>
      <c r="I2974" s="10" t="s">
        <v>256</v>
      </c>
      <c r="J2974" s="10" t="str">
        <f>""</f>
        <v/>
      </c>
      <c r="K2974" s="10" t="str">
        <f>"PFES1162564406_0001"</f>
        <v>PFES1162564406_0001</v>
      </c>
      <c r="L2974" s="10">
        <v>1</v>
      </c>
      <c r="M2974" s="10">
        <v>1</v>
      </c>
    </row>
    <row r="2975" spans="1:13">
      <c r="A2975" s="8">
        <v>42940</v>
      </c>
      <c r="B2975" s="9">
        <v>0.63958333333333328</v>
      </c>
      <c r="C2975" s="10" t="str">
        <f>"FES1162564211"</f>
        <v>FES1162564211</v>
      </c>
      <c r="D2975" s="10" t="s">
        <v>19</v>
      </c>
      <c r="E2975" s="10" t="s">
        <v>319</v>
      </c>
      <c r="F2975" s="10" t="str">
        <f>"2170578688 "</f>
        <v xml:space="preserve">2170578688 </v>
      </c>
      <c r="G2975" s="10" t="str">
        <f t="shared" si="129"/>
        <v>ON1</v>
      </c>
      <c r="H2975" s="10" t="s">
        <v>21</v>
      </c>
      <c r="I2975" s="10" t="s">
        <v>177</v>
      </c>
      <c r="J2975" s="10" t="str">
        <f>""</f>
        <v/>
      </c>
      <c r="K2975" s="10" t="str">
        <f>"PFES1162564211_0001"</f>
        <v>PFES1162564211_0001</v>
      </c>
      <c r="L2975" s="10">
        <v>1</v>
      </c>
      <c r="M2975" s="10">
        <v>1</v>
      </c>
    </row>
    <row r="2976" spans="1:13">
      <c r="A2976" s="8">
        <v>42940</v>
      </c>
      <c r="B2976" s="9">
        <v>0.63888888888888895</v>
      </c>
      <c r="C2976" s="10" t="str">
        <f>"FES1162564315"</f>
        <v>FES1162564315</v>
      </c>
      <c r="D2976" s="10" t="s">
        <v>19</v>
      </c>
      <c r="E2976" s="10" t="s">
        <v>680</v>
      </c>
      <c r="F2976" s="10" t="str">
        <f>"2170580801 "</f>
        <v xml:space="preserve">2170580801 </v>
      </c>
      <c r="G2976" s="10" t="str">
        <f t="shared" si="129"/>
        <v>ON1</v>
      </c>
      <c r="H2976" s="10" t="s">
        <v>21</v>
      </c>
      <c r="I2976" s="10" t="s">
        <v>64</v>
      </c>
      <c r="J2976" s="10" t="str">
        <f>""</f>
        <v/>
      </c>
      <c r="K2976" s="10" t="str">
        <f>"PFES1162564315_0001"</f>
        <v>PFES1162564315_0001</v>
      </c>
      <c r="L2976" s="10">
        <v>1</v>
      </c>
      <c r="M2976" s="10">
        <v>1</v>
      </c>
    </row>
    <row r="2977" spans="1:13">
      <c r="A2977" s="8">
        <v>42940</v>
      </c>
      <c r="B2977" s="9">
        <v>0.6381944444444444</v>
      </c>
      <c r="C2977" s="10" t="str">
        <f>"FES1162564387"</f>
        <v>FES1162564387</v>
      </c>
      <c r="D2977" s="10" t="s">
        <v>19</v>
      </c>
      <c r="E2977" s="10" t="s">
        <v>39</v>
      </c>
      <c r="F2977" s="10" t="str">
        <f>"2170580916 "</f>
        <v xml:space="preserve">2170580916 </v>
      </c>
      <c r="G2977" s="10" t="str">
        <f t="shared" si="129"/>
        <v>ON1</v>
      </c>
      <c r="H2977" s="10" t="s">
        <v>21</v>
      </c>
      <c r="I2977" s="10" t="s">
        <v>40</v>
      </c>
      <c r="J2977" s="10" t="str">
        <f>""</f>
        <v/>
      </c>
      <c r="K2977" s="10" t="str">
        <f>"PFES1162564387_0001"</f>
        <v>PFES1162564387_0001</v>
      </c>
      <c r="L2977" s="10">
        <v>1</v>
      </c>
      <c r="M2977" s="10">
        <v>1</v>
      </c>
    </row>
    <row r="2978" spans="1:13">
      <c r="A2978" s="8">
        <v>42940</v>
      </c>
      <c r="B2978" s="9">
        <v>0.63680555555555551</v>
      </c>
      <c r="C2978" s="10" t="str">
        <f>"FES1162563331"</f>
        <v>FES1162563331</v>
      </c>
      <c r="D2978" s="10" t="s">
        <v>19</v>
      </c>
      <c r="E2978" s="10" t="s">
        <v>768</v>
      </c>
      <c r="F2978" s="10" t="str">
        <f>"2170579858 "</f>
        <v xml:space="preserve">2170579858 </v>
      </c>
      <c r="G2978" s="10" t="str">
        <f t="shared" si="129"/>
        <v>ON1</v>
      </c>
      <c r="H2978" s="10" t="s">
        <v>21</v>
      </c>
      <c r="I2978" s="10" t="s">
        <v>601</v>
      </c>
      <c r="J2978" s="10" t="str">
        <f>""</f>
        <v/>
      </c>
      <c r="K2978" s="10" t="str">
        <f>"PFES1162563331_0001"</f>
        <v>PFES1162563331_0001</v>
      </c>
      <c r="L2978" s="10">
        <v>1</v>
      </c>
      <c r="M2978" s="10">
        <v>1</v>
      </c>
    </row>
    <row r="2979" spans="1:13">
      <c r="A2979" s="8">
        <v>42940</v>
      </c>
      <c r="B2979" s="9">
        <v>0.63611111111111118</v>
      </c>
      <c r="C2979" s="10" t="str">
        <f>"FES1162564395"</f>
        <v>FES1162564395</v>
      </c>
      <c r="D2979" s="10" t="s">
        <v>19</v>
      </c>
      <c r="E2979" s="10" t="s">
        <v>39</v>
      </c>
      <c r="F2979" s="10" t="str">
        <f>"2170580030 "</f>
        <v xml:space="preserve">2170580030 </v>
      </c>
      <c r="G2979" s="10" t="str">
        <f t="shared" si="129"/>
        <v>ON1</v>
      </c>
      <c r="H2979" s="10" t="s">
        <v>21</v>
      </c>
      <c r="I2979" s="10" t="s">
        <v>40</v>
      </c>
      <c r="J2979" s="10" t="str">
        <f>""</f>
        <v/>
      </c>
      <c r="K2979" s="10" t="str">
        <f>"PFES1162564395_0001"</f>
        <v>PFES1162564395_0001</v>
      </c>
      <c r="L2979" s="10">
        <v>1</v>
      </c>
      <c r="M2979" s="10">
        <v>1</v>
      </c>
    </row>
    <row r="2980" spans="1:13">
      <c r="A2980" s="8">
        <v>42940</v>
      </c>
      <c r="B2980" s="9">
        <v>0.63472222222222219</v>
      </c>
      <c r="C2980" s="10" t="str">
        <f>"FES1162564398"</f>
        <v>FES1162564398</v>
      </c>
      <c r="D2980" s="10" t="s">
        <v>19</v>
      </c>
      <c r="E2980" s="10" t="s">
        <v>146</v>
      </c>
      <c r="F2980" s="10" t="str">
        <f>"2170580929 "</f>
        <v xml:space="preserve">2170580929 </v>
      </c>
      <c r="G2980" s="10" t="str">
        <f t="shared" si="129"/>
        <v>ON1</v>
      </c>
      <c r="H2980" s="10" t="s">
        <v>21</v>
      </c>
      <c r="I2980" s="10" t="s">
        <v>147</v>
      </c>
      <c r="J2980" s="10" t="str">
        <f>""</f>
        <v/>
      </c>
      <c r="K2980" s="10" t="str">
        <f>"PFES1162564398_0001"</f>
        <v>PFES1162564398_0001</v>
      </c>
      <c r="L2980" s="10">
        <v>1</v>
      </c>
      <c r="M2980" s="10">
        <v>1</v>
      </c>
    </row>
    <row r="2981" spans="1:13">
      <c r="A2981" s="8">
        <v>42940</v>
      </c>
      <c r="B2981" s="9">
        <v>0.63194444444444442</v>
      </c>
      <c r="C2981" s="10" t="str">
        <f>"FES1162564385"</f>
        <v>FES1162564385</v>
      </c>
      <c r="D2981" s="10" t="s">
        <v>19</v>
      </c>
      <c r="E2981" s="10" t="s">
        <v>437</v>
      </c>
      <c r="F2981" s="10" t="str">
        <f>"2170580913 "</f>
        <v xml:space="preserve">2170580913 </v>
      </c>
      <c r="G2981" s="10" t="str">
        <f t="shared" si="129"/>
        <v>ON1</v>
      </c>
      <c r="H2981" s="10" t="s">
        <v>21</v>
      </c>
      <c r="I2981" s="10" t="s">
        <v>159</v>
      </c>
      <c r="J2981" s="10" t="str">
        <f>""</f>
        <v/>
      </c>
      <c r="K2981" s="10" t="str">
        <f>"PFES1162564385_0001"</f>
        <v>PFES1162564385_0001</v>
      </c>
      <c r="L2981" s="10">
        <v>1</v>
      </c>
      <c r="M2981" s="10">
        <v>2</v>
      </c>
    </row>
    <row r="2982" spans="1:13">
      <c r="A2982" s="8">
        <v>42941</v>
      </c>
      <c r="B2982" s="9">
        <v>0.60069444444444442</v>
      </c>
      <c r="C2982" s="10" t="str">
        <f>"FES1162564688"</f>
        <v>FES1162564688</v>
      </c>
      <c r="D2982" s="10" t="s">
        <v>19</v>
      </c>
      <c r="E2982" s="10" t="s">
        <v>245</v>
      </c>
      <c r="F2982" s="10" t="str">
        <f>"2170581203 "</f>
        <v xml:space="preserve">2170581203 </v>
      </c>
      <c r="G2982" s="10" t="str">
        <f t="shared" si="129"/>
        <v>ON1</v>
      </c>
      <c r="H2982" s="10" t="s">
        <v>21</v>
      </c>
      <c r="I2982" s="10" t="s">
        <v>246</v>
      </c>
      <c r="J2982" s="10" t="str">
        <f>""</f>
        <v/>
      </c>
      <c r="K2982" s="16" t="str">
        <f>"PFES1162564688_0001"</f>
        <v>PFES1162564688_0001</v>
      </c>
      <c r="L2982" s="16">
        <v>1</v>
      </c>
      <c r="M2982" s="16">
        <v>1</v>
      </c>
    </row>
    <row r="2983" spans="1:13">
      <c r="A2983" s="8">
        <v>42941</v>
      </c>
      <c r="B2983" s="9">
        <v>0.6</v>
      </c>
      <c r="C2983" s="10" t="str">
        <f>"FES1162564692"</f>
        <v>FES1162564692</v>
      </c>
      <c r="D2983" s="10" t="s">
        <v>19</v>
      </c>
      <c r="E2983" s="10" t="s">
        <v>1105</v>
      </c>
      <c r="F2983" s="10" t="str">
        <f>"2170581206 "</f>
        <v xml:space="preserve">2170581206 </v>
      </c>
      <c r="G2983" s="10" t="str">
        <f t="shared" ref="G2983:G3008" si="130">"ON1"</f>
        <v>ON1</v>
      </c>
      <c r="H2983" s="10" t="s">
        <v>21</v>
      </c>
      <c r="I2983" s="10" t="s">
        <v>224</v>
      </c>
      <c r="J2983" s="10" t="str">
        <f>""</f>
        <v/>
      </c>
      <c r="K2983" s="16" t="str">
        <f>"PFES1162564692_0001"</f>
        <v>PFES1162564692_0001</v>
      </c>
      <c r="L2983" s="16">
        <v>1</v>
      </c>
      <c r="M2983" s="16">
        <v>1</v>
      </c>
    </row>
    <row r="2984" spans="1:13">
      <c r="A2984" s="8">
        <v>42941</v>
      </c>
      <c r="B2984" s="9">
        <v>0.6</v>
      </c>
      <c r="C2984" s="10" t="str">
        <f>"FES1162564678"</f>
        <v>FES1162564678</v>
      </c>
      <c r="D2984" s="10" t="s">
        <v>19</v>
      </c>
      <c r="E2984" s="10" t="s">
        <v>1106</v>
      </c>
      <c r="F2984" s="10" t="str">
        <f>"2170581193 "</f>
        <v xml:space="preserve">2170581193 </v>
      </c>
      <c r="G2984" s="10" t="str">
        <f t="shared" si="130"/>
        <v>ON1</v>
      </c>
      <c r="H2984" s="10" t="s">
        <v>21</v>
      </c>
      <c r="I2984" s="10" t="s">
        <v>351</v>
      </c>
      <c r="J2984" s="10" t="str">
        <f>""</f>
        <v/>
      </c>
      <c r="K2984" s="16" t="str">
        <f>"PFES1162564678_0001"</f>
        <v>PFES1162564678_0001</v>
      </c>
      <c r="L2984" s="16">
        <v>1</v>
      </c>
      <c r="M2984" s="16">
        <v>1</v>
      </c>
    </row>
    <row r="2985" spans="1:13">
      <c r="A2985" s="8">
        <v>42941</v>
      </c>
      <c r="B2985" s="9">
        <v>0.59930555555555554</v>
      </c>
      <c r="C2985" s="10" t="str">
        <f>"FES1162564680"</f>
        <v>FES1162564680</v>
      </c>
      <c r="D2985" s="10" t="s">
        <v>19</v>
      </c>
      <c r="E2985" s="10" t="s">
        <v>140</v>
      </c>
      <c r="F2985" s="10" t="str">
        <f>"2170581195 "</f>
        <v xml:space="preserve">2170581195 </v>
      </c>
      <c r="G2985" s="10" t="str">
        <f t="shared" si="130"/>
        <v>ON1</v>
      </c>
      <c r="H2985" s="10" t="s">
        <v>21</v>
      </c>
      <c r="I2985" s="10" t="s">
        <v>109</v>
      </c>
      <c r="J2985" s="10" t="str">
        <f>""</f>
        <v/>
      </c>
      <c r="K2985" s="16" t="str">
        <f>"PFES1162564680_0001"</f>
        <v>PFES1162564680_0001</v>
      </c>
      <c r="L2985" s="16">
        <v>1</v>
      </c>
      <c r="M2985" s="16">
        <v>1</v>
      </c>
    </row>
    <row r="2986" spans="1:13">
      <c r="A2986" s="8">
        <v>42941</v>
      </c>
      <c r="B2986" s="9">
        <v>0.59930555555555554</v>
      </c>
      <c r="C2986" s="10" t="str">
        <f>"FES1162564691"</f>
        <v>FES1162564691</v>
      </c>
      <c r="D2986" s="10" t="s">
        <v>19</v>
      </c>
      <c r="E2986" s="10" t="s">
        <v>1105</v>
      </c>
      <c r="F2986" s="10" t="str">
        <f>"2170581204 "</f>
        <v xml:space="preserve">2170581204 </v>
      </c>
      <c r="G2986" s="10" t="str">
        <f t="shared" si="130"/>
        <v>ON1</v>
      </c>
      <c r="H2986" s="10" t="s">
        <v>21</v>
      </c>
      <c r="I2986" s="10" t="s">
        <v>224</v>
      </c>
      <c r="J2986" s="10" t="str">
        <f>""</f>
        <v/>
      </c>
      <c r="K2986" s="16" t="str">
        <f>"PFES1162564691_0001"</f>
        <v>PFES1162564691_0001</v>
      </c>
      <c r="L2986" s="16">
        <v>1</v>
      </c>
      <c r="M2986" s="16">
        <v>1</v>
      </c>
    </row>
    <row r="2987" spans="1:13">
      <c r="A2987" s="8">
        <v>42941</v>
      </c>
      <c r="B2987" s="9">
        <v>0.59861111111111109</v>
      </c>
      <c r="C2987" s="10" t="str">
        <f>"FES1162564623"</f>
        <v>FES1162564623</v>
      </c>
      <c r="D2987" s="10" t="s">
        <v>19</v>
      </c>
      <c r="E2987" s="10" t="s">
        <v>378</v>
      </c>
      <c r="F2987" s="10" t="str">
        <f>"217058865 "</f>
        <v xml:space="preserve">217058865 </v>
      </c>
      <c r="G2987" s="10" t="str">
        <f t="shared" si="130"/>
        <v>ON1</v>
      </c>
      <c r="H2987" s="10" t="s">
        <v>21</v>
      </c>
      <c r="I2987" s="10" t="s">
        <v>467</v>
      </c>
      <c r="J2987" s="10" t="str">
        <f>""</f>
        <v/>
      </c>
      <c r="K2987" s="16" t="str">
        <f>"PFES1162564623_0001"</f>
        <v>PFES1162564623_0001</v>
      </c>
      <c r="L2987" s="16">
        <v>1</v>
      </c>
      <c r="M2987" s="16">
        <v>1</v>
      </c>
    </row>
    <row r="2988" spans="1:13">
      <c r="A2988" s="8">
        <v>42941</v>
      </c>
      <c r="B2988" s="9">
        <v>0.59652777777777777</v>
      </c>
      <c r="C2988" s="10" t="str">
        <f>"FES1162564650"</f>
        <v>FES1162564650</v>
      </c>
      <c r="D2988" s="10" t="s">
        <v>19</v>
      </c>
      <c r="E2988" s="10" t="s">
        <v>1107</v>
      </c>
      <c r="F2988" s="10" t="str">
        <f>"2170580027 "</f>
        <v xml:space="preserve">2170580027 </v>
      </c>
      <c r="G2988" s="10" t="str">
        <f t="shared" si="130"/>
        <v>ON1</v>
      </c>
      <c r="H2988" s="10" t="s">
        <v>21</v>
      </c>
      <c r="I2988" s="10" t="s">
        <v>700</v>
      </c>
      <c r="J2988" s="10" t="str">
        <f>""</f>
        <v/>
      </c>
      <c r="K2988" s="16" t="str">
        <f>"PFES1162564650_0001"</f>
        <v>PFES1162564650_0001</v>
      </c>
      <c r="L2988" s="16">
        <v>1</v>
      </c>
      <c r="M2988" s="16">
        <v>1.1499999999999999</v>
      </c>
    </row>
    <row r="2989" spans="1:13">
      <c r="A2989" s="8">
        <v>42941</v>
      </c>
      <c r="B2989" s="9">
        <v>0.59652777777777777</v>
      </c>
      <c r="C2989" s="10" t="str">
        <f>"FES1162564684"</f>
        <v>FES1162564684</v>
      </c>
      <c r="D2989" s="10" t="s">
        <v>19</v>
      </c>
      <c r="E2989" s="10" t="s">
        <v>118</v>
      </c>
      <c r="F2989" s="10" t="str">
        <f>"2170578648 "</f>
        <v xml:space="preserve">2170578648 </v>
      </c>
      <c r="G2989" s="10" t="str">
        <f t="shared" si="130"/>
        <v>ON1</v>
      </c>
      <c r="H2989" s="10" t="s">
        <v>21</v>
      </c>
      <c r="I2989" s="10" t="s">
        <v>119</v>
      </c>
      <c r="J2989" s="10" t="str">
        <f>""</f>
        <v/>
      </c>
      <c r="K2989" s="16" t="str">
        <f>"PFES1162564684_0001"</f>
        <v>PFES1162564684_0001</v>
      </c>
      <c r="L2989" s="16">
        <v>1</v>
      </c>
      <c r="M2989" s="16">
        <v>3</v>
      </c>
    </row>
    <row r="2990" spans="1:13">
      <c r="A2990" s="8">
        <v>42941</v>
      </c>
      <c r="B2990" s="9">
        <v>0.59583333333333333</v>
      </c>
      <c r="C2990" s="10" t="str">
        <f>"FES1162564674"</f>
        <v>FES1162564674</v>
      </c>
      <c r="D2990" s="10" t="s">
        <v>19</v>
      </c>
      <c r="E2990" s="10" t="s">
        <v>1108</v>
      </c>
      <c r="F2990" s="10" t="str">
        <f>"2170581191 "</f>
        <v xml:space="preserve">2170581191 </v>
      </c>
      <c r="G2990" s="10" t="str">
        <f t="shared" si="130"/>
        <v>ON1</v>
      </c>
      <c r="H2990" s="10" t="s">
        <v>21</v>
      </c>
      <c r="I2990" s="10" t="s">
        <v>775</v>
      </c>
      <c r="J2990" s="10" t="str">
        <f>""</f>
        <v/>
      </c>
      <c r="K2990" s="16" t="str">
        <f>"PFES1162564674_0001"</f>
        <v>PFES1162564674_0001</v>
      </c>
      <c r="L2990" s="16">
        <v>1</v>
      </c>
      <c r="M2990" s="16">
        <v>9</v>
      </c>
    </row>
    <row r="2991" spans="1:13">
      <c r="A2991" s="8">
        <v>42941</v>
      </c>
      <c r="B2991" s="9">
        <v>0.59444444444444444</v>
      </c>
      <c r="C2991" s="10" t="str">
        <f>"FES1162564666"</f>
        <v>FES1162564666</v>
      </c>
      <c r="D2991" s="10" t="s">
        <v>19</v>
      </c>
      <c r="E2991" s="10" t="s">
        <v>984</v>
      </c>
      <c r="F2991" s="10" t="str">
        <f>"2170577989 "</f>
        <v xml:space="preserve">2170577989 </v>
      </c>
      <c r="G2991" s="10" t="str">
        <f t="shared" si="130"/>
        <v>ON1</v>
      </c>
      <c r="H2991" s="10" t="s">
        <v>21</v>
      </c>
      <c r="I2991" s="10" t="s">
        <v>565</v>
      </c>
      <c r="J2991" s="10" t="str">
        <f>""</f>
        <v/>
      </c>
      <c r="K2991" s="16" t="str">
        <f>"PFES1162564666_0001"</f>
        <v>PFES1162564666_0001</v>
      </c>
      <c r="L2991" s="16">
        <v>1</v>
      </c>
      <c r="M2991" s="16">
        <v>2</v>
      </c>
    </row>
    <row r="2992" spans="1:13">
      <c r="A2992" s="8">
        <v>42941</v>
      </c>
      <c r="B2992" s="9">
        <v>0.59305555555555556</v>
      </c>
      <c r="C2992" s="10" t="str">
        <f>"FES1162564669"</f>
        <v>FES1162564669</v>
      </c>
      <c r="D2992" s="10" t="s">
        <v>19</v>
      </c>
      <c r="E2992" s="10" t="s">
        <v>396</v>
      </c>
      <c r="F2992" s="10" t="str">
        <f>"2170572034 "</f>
        <v xml:space="preserve">2170572034 </v>
      </c>
      <c r="G2992" s="10" t="str">
        <f t="shared" si="130"/>
        <v>ON1</v>
      </c>
      <c r="H2992" s="10" t="s">
        <v>21</v>
      </c>
      <c r="I2992" s="10" t="s">
        <v>340</v>
      </c>
      <c r="J2992" s="10" t="str">
        <f>""</f>
        <v/>
      </c>
      <c r="K2992" s="16" t="str">
        <f>"PFES1162564669_0001"</f>
        <v>PFES1162564669_0001</v>
      </c>
      <c r="L2992" s="16">
        <v>1</v>
      </c>
      <c r="M2992" s="16">
        <v>6</v>
      </c>
    </row>
    <row r="2993" spans="1:13">
      <c r="A2993" s="8">
        <v>42941</v>
      </c>
      <c r="B2993" s="9">
        <v>0.59305555555555556</v>
      </c>
      <c r="C2993" s="10" t="str">
        <f>"FES1162564686"</f>
        <v>FES1162564686</v>
      </c>
      <c r="D2993" s="10" t="s">
        <v>19</v>
      </c>
      <c r="E2993" s="10" t="s">
        <v>301</v>
      </c>
      <c r="F2993" s="10" t="str">
        <f>"2170581165 "</f>
        <v xml:space="preserve">2170581165 </v>
      </c>
      <c r="G2993" s="10" t="str">
        <f t="shared" si="130"/>
        <v>ON1</v>
      </c>
      <c r="H2993" s="10" t="s">
        <v>21</v>
      </c>
      <c r="I2993" s="10" t="s">
        <v>302</v>
      </c>
      <c r="J2993" s="10" t="str">
        <f>""</f>
        <v/>
      </c>
      <c r="K2993" s="16" t="str">
        <f>"PFES1162564686_0001"</f>
        <v>PFES1162564686_0001</v>
      </c>
      <c r="L2993" s="16">
        <v>1</v>
      </c>
      <c r="M2993" s="16">
        <v>1</v>
      </c>
    </row>
    <row r="2994" spans="1:13">
      <c r="A2994" s="8">
        <v>42941</v>
      </c>
      <c r="B2994" s="9">
        <v>0.59166666666666667</v>
      </c>
      <c r="C2994" s="10" t="str">
        <f>"FES1162564679"</f>
        <v>FES1162564679</v>
      </c>
      <c r="D2994" s="10" t="s">
        <v>19</v>
      </c>
      <c r="E2994" s="10" t="s">
        <v>950</v>
      </c>
      <c r="F2994" s="10" t="str">
        <f>"2170581194 "</f>
        <v xml:space="preserve">2170581194 </v>
      </c>
      <c r="G2994" s="10" t="str">
        <f t="shared" si="130"/>
        <v>ON1</v>
      </c>
      <c r="H2994" s="10" t="s">
        <v>21</v>
      </c>
      <c r="I2994" s="10" t="s">
        <v>951</v>
      </c>
      <c r="J2994" s="10" t="str">
        <f>""</f>
        <v/>
      </c>
      <c r="K2994" s="16" t="str">
        <f>"PFES1162564679_0001"</f>
        <v>PFES1162564679_0001</v>
      </c>
      <c r="L2994" s="16">
        <v>1</v>
      </c>
      <c r="M2994" s="16">
        <v>1</v>
      </c>
    </row>
    <row r="2995" spans="1:13">
      <c r="A2995" s="8">
        <v>42941</v>
      </c>
      <c r="B2995" s="9">
        <v>0.59097222222222223</v>
      </c>
      <c r="C2995" s="10" t="str">
        <f>"FES1162564628"</f>
        <v>FES1162564628</v>
      </c>
      <c r="D2995" s="10" t="s">
        <v>19</v>
      </c>
      <c r="E2995" s="10" t="s">
        <v>245</v>
      </c>
      <c r="F2995" s="10" t="str">
        <f>"2170581150 "</f>
        <v xml:space="preserve">2170581150 </v>
      </c>
      <c r="G2995" s="10" t="str">
        <f t="shared" si="130"/>
        <v>ON1</v>
      </c>
      <c r="H2995" s="10" t="s">
        <v>21</v>
      </c>
      <c r="I2995" s="10" t="s">
        <v>246</v>
      </c>
      <c r="J2995" s="10" t="str">
        <f>""</f>
        <v/>
      </c>
      <c r="K2995" s="16" t="str">
        <f>"PFES1162564628_0001"</f>
        <v>PFES1162564628_0001</v>
      </c>
      <c r="L2995" s="16">
        <v>1</v>
      </c>
      <c r="M2995" s="16">
        <v>1</v>
      </c>
    </row>
    <row r="2996" spans="1:13">
      <c r="A2996" s="8">
        <v>42941</v>
      </c>
      <c r="B2996" s="9">
        <v>0.58958333333333335</v>
      </c>
      <c r="C2996" s="10" t="str">
        <f>"FES1162564606"</f>
        <v>FES1162564606</v>
      </c>
      <c r="D2996" s="10" t="s">
        <v>19</v>
      </c>
      <c r="E2996" s="10" t="s">
        <v>1109</v>
      </c>
      <c r="F2996" s="10" t="str">
        <f>"2170581144 "</f>
        <v xml:space="preserve">2170581144 </v>
      </c>
      <c r="G2996" s="10" t="str">
        <f t="shared" si="130"/>
        <v>ON1</v>
      </c>
      <c r="H2996" s="10" t="s">
        <v>21</v>
      </c>
      <c r="I2996" s="10" t="s">
        <v>90</v>
      </c>
      <c r="J2996" s="10" t="str">
        <f>""</f>
        <v/>
      </c>
      <c r="K2996" s="16" t="str">
        <f>"PFES1162564606_0001"</f>
        <v>PFES1162564606_0001</v>
      </c>
      <c r="L2996" s="16">
        <v>1</v>
      </c>
      <c r="M2996" s="16">
        <v>1</v>
      </c>
    </row>
    <row r="2997" spans="1:13">
      <c r="A2997" s="8">
        <v>42941</v>
      </c>
      <c r="B2997" s="9">
        <v>0.58888888888888891</v>
      </c>
      <c r="C2997" s="10" t="str">
        <f>"FES1162564643"</f>
        <v>FES1162564643</v>
      </c>
      <c r="D2997" s="10" t="s">
        <v>19</v>
      </c>
      <c r="E2997" s="10" t="s">
        <v>175</v>
      </c>
      <c r="F2997" s="10" t="str">
        <f>"2170581166 "</f>
        <v xml:space="preserve">2170581166 </v>
      </c>
      <c r="G2997" s="10" t="str">
        <f t="shared" si="130"/>
        <v>ON1</v>
      </c>
      <c r="H2997" s="10" t="s">
        <v>21</v>
      </c>
      <c r="I2997" s="10" t="s">
        <v>168</v>
      </c>
      <c r="J2997" s="10" t="str">
        <f>""</f>
        <v/>
      </c>
      <c r="K2997" s="16" t="str">
        <f>"PFES1162564643_0001"</f>
        <v>PFES1162564643_0001</v>
      </c>
      <c r="L2997" s="16">
        <v>1</v>
      </c>
      <c r="M2997" s="16">
        <v>1</v>
      </c>
    </row>
    <row r="2998" spans="1:13">
      <c r="A2998" s="8">
        <v>42941</v>
      </c>
      <c r="B2998" s="9">
        <v>0.58819444444444446</v>
      </c>
      <c r="C2998" s="10" t="str">
        <f>"FES1162564605"</f>
        <v>FES1162564605</v>
      </c>
      <c r="D2998" s="10" t="s">
        <v>19</v>
      </c>
      <c r="E2998" s="10" t="s">
        <v>1110</v>
      </c>
      <c r="F2998" s="10" t="str">
        <f>"2170581142 "</f>
        <v xml:space="preserve">2170581142 </v>
      </c>
      <c r="G2998" s="10" t="str">
        <f t="shared" si="130"/>
        <v>ON1</v>
      </c>
      <c r="H2998" s="10" t="s">
        <v>21</v>
      </c>
      <c r="I2998" s="10" t="s">
        <v>90</v>
      </c>
      <c r="J2998" s="10" t="str">
        <f>""</f>
        <v/>
      </c>
      <c r="K2998" s="16" t="str">
        <f>"PFES1162564605_0001"</f>
        <v>PFES1162564605_0001</v>
      </c>
      <c r="L2998" s="16">
        <v>1</v>
      </c>
      <c r="M2998" s="16">
        <v>1</v>
      </c>
    </row>
    <row r="2999" spans="1:13">
      <c r="A2999" s="8">
        <v>42941</v>
      </c>
      <c r="B2999" s="9">
        <v>0.58750000000000002</v>
      </c>
      <c r="C2999" s="10" t="str">
        <f>"FES1162564629"</f>
        <v>FES1162564629</v>
      </c>
      <c r="D2999" s="10" t="s">
        <v>19</v>
      </c>
      <c r="E2999" s="10" t="s">
        <v>45</v>
      </c>
      <c r="F2999" s="10" t="str">
        <f>"2170581152 "</f>
        <v xml:space="preserve">2170581152 </v>
      </c>
      <c r="G2999" s="10" t="str">
        <f t="shared" si="130"/>
        <v>ON1</v>
      </c>
      <c r="H2999" s="10" t="s">
        <v>21</v>
      </c>
      <c r="I2999" s="10" t="s">
        <v>46</v>
      </c>
      <c r="J2999" s="10" t="str">
        <f>""</f>
        <v/>
      </c>
      <c r="K2999" s="16" t="str">
        <f>"PFES1162564629_0001"</f>
        <v>PFES1162564629_0001</v>
      </c>
      <c r="L2999" s="16">
        <v>1</v>
      </c>
      <c r="M2999" s="16">
        <v>1</v>
      </c>
    </row>
    <row r="3000" spans="1:13">
      <c r="A3000" s="8">
        <v>42941</v>
      </c>
      <c r="B3000" s="9">
        <v>0.58680555555555558</v>
      </c>
      <c r="C3000" s="10" t="str">
        <f>"FES1162564639"</f>
        <v>FES1162564639</v>
      </c>
      <c r="D3000" s="10" t="s">
        <v>19</v>
      </c>
      <c r="E3000" s="10" t="s">
        <v>1111</v>
      </c>
      <c r="F3000" s="10" t="str">
        <f>"2170581159 "</f>
        <v xml:space="preserve">2170581159 </v>
      </c>
      <c r="G3000" s="10" t="str">
        <f t="shared" si="130"/>
        <v>ON1</v>
      </c>
      <c r="H3000" s="10" t="s">
        <v>21</v>
      </c>
      <c r="I3000" s="10" t="s">
        <v>330</v>
      </c>
      <c r="J3000" s="10" t="str">
        <f>""</f>
        <v/>
      </c>
      <c r="K3000" s="16" t="str">
        <f>"PFES1162564639_0001"</f>
        <v>PFES1162564639_0001</v>
      </c>
      <c r="L3000" s="16">
        <v>1</v>
      </c>
      <c r="M3000" s="16">
        <v>1</v>
      </c>
    </row>
    <row r="3001" spans="1:13">
      <c r="A3001" s="8">
        <v>42941</v>
      </c>
      <c r="B3001" s="9">
        <v>0.58611111111111114</v>
      </c>
      <c r="C3001" s="10" t="str">
        <f>"FES1162564642"</f>
        <v>FES1162564642</v>
      </c>
      <c r="D3001" s="10" t="s">
        <v>19</v>
      </c>
      <c r="E3001" s="10" t="s">
        <v>288</v>
      </c>
      <c r="F3001" s="10" t="str">
        <f>"2170581164 "</f>
        <v xml:space="preserve">2170581164 </v>
      </c>
      <c r="G3001" s="10" t="str">
        <f t="shared" si="130"/>
        <v>ON1</v>
      </c>
      <c r="H3001" s="10" t="s">
        <v>21</v>
      </c>
      <c r="I3001" s="10" t="s">
        <v>84</v>
      </c>
      <c r="J3001" s="10" t="str">
        <f>""</f>
        <v/>
      </c>
      <c r="K3001" s="16" t="str">
        <f>"PFES1162564642_0001"</f>
        <v>PFES1162564642_0001</v>
      </c>
      <c r="L3001" s="16">
        <v>1</v>
      </c>
      <c r="M3001" s="16">
        <v>1</v>
      </c>
    </row>
    <row r="3002" spans="1:13">
      <c r="A3002" s="8">
        <v>42941</v>
      </c>
      <c r="B3002" s="9">
        <v>0.5854166666666667</v>
      </c>
      <c r="C3002" s="10" t="str">
        <f>"FES1162564641"</f>
        <v>FES1162564641</v>
      </c>
      <c r="D3002" s="10" t="s">
        <v>19</v>
      </c>
      <c r="E3002" s="10" t="s">
        <v>436</v>
      </c>
      <c r="F3002" s="10" t="str">
        <f>"2170581162 "</f>
        <v xml:space="preserve">2170581162 </v>
      </c>
      <c r="G3002" s="10" t="str">
        <f t="shared" si="130"/>
        <v>ON1</v>
      </c>
      <c r="H3002" s="10" t="s">
        <v>21</v>
      </c>
      <c r="I3002" s="10" t="s">
        <v>252</v>
      </c>
      <c r="J3002" s="10" t="str">
        <f>""</f>
        <v/>
      </c>
      <c r="K3002" s="16" t="str">
        <f>"PFES1162564641_0001"</f>
        <v>PFES1162564641_0001</v>
      </c>
      <c r="L3002" s="16">
        <v>1</v>
      </c>
      <c r="M3002" s="16">
        <v>2</v>
      </c>
    </row>
    <row r="3003" spans="1:13">
      <c r="A3003" s="8">
        <v>42941</v>
      </c>
      <c r="B3003" s="9">
        <v>0.58402777777777781</v>
      </c>
      <c r="C3003" s="10" t="str">
        <f>"FES1162564601"</f>
        <v>FES1162564601</v>
      </c>
      <c r="D3003" s="10" t="s">
        <v>19</v>
      </c>
      <c r="E3003" s="10" t="s">
        <v>1112</v>
      </c>
      <c r="F3003" s="10" t="str">
        <f>"2170581139 "</f>
        <v xml:space="preserve">2170581139 </v>
      </c>
      <c r="G3003" s="10" t="str">
        <f t="shared" si="130"/>
        <v>ON1</v>
      </c>
      <c r="H3003" s="10" t="s">
        <v>21</v>
      </c>
      <c r="I3003" s="10" t="s">
        <v>90</v>
      </c>
      <c r="J3003" s="10" t="str">
        <f>""</f>
        <v/>
      </c>
      <c r="K3003" s="16" t="str">
        <f>"PFES1162564601_0001"</f>
        <v>PFES1162564601_0001</v>
      </c>
      <c r="L3003" s="16">
        <v>1</v>
      </c>
      <c r="M3003" s="16">
        <v>1</v>
      </c>
    </row>
    <row r="3004" spans="1:13">
      <c r="A3004" s="8">
        <v>42941</v>
      </c>
      <c r="B3004" s="9">
        <v>0.58402777777777781</v>
      </c>
      <c r="C3004" s="10" t="str">
        <f>"FES1162564673"</f>
        <v>FES1162564673</v>
      </c>
      <c r="D3004" s="10" t="s">
        <v>19</v>
      </c>
      <c r="E3004" s="10" t="s">
        <v>535</v>
      </c>
      <c r="F3004" s="10" t="str">
        <f>"2170581189 "</f>
        <v xml:space="preserve">2170581189 </v>
      </c>
      <c r="G3004" s="10" t="str">
        <f t="shared" si="130"/>
        <v>ON1</v>
      </c>
      <c r="H3004" s="10" t="s">
        <v>21</v>
      </c>
      <c r="I3004" s="10" t="s">
        <v>240</v>
      </c>
      <c r="J3004" s="10" t="str">
        <f>""</f>
        <v/>
      </c>
      <c r="K3004" s="16" t="str">
        <f>"PFES1162564673_0001"</f>
        <v>PFES1162564673_0001</v>
      </c>
      <c r="L3004" s="16">
        <v>1</v>
      </c>
      <c r="M3004" s="16">
        <v>1</v>
      </c>
    </row>
    <row r="3005" spans="1:13">
      <c r="A3005" s="8">
        <v>42941</v>
      </c>
      <c r="B3005" s="9">
        <v>0.58333333333333337</v>
      </c>
      <c r="C3005" s="10" t="str">
        <f>"FES1162564662"</f>
        <v>FES1162564662</v>
      </c>
      <c r="D3005" s="10" t="s">
        <v>19</v>
      </c>
      <c r="E3005" s="10" t="s">
        <v>95</v>
      </c>
      <c r="F3005" s="10" t="str">
        <f>"2170580491 "</f>
        <v xml:space="preserve">2170580491 </v>
      </c>
      <c r="G3005" s="10" t="str">
        <f t="shared" si="130"/>
        <v>ON1</v>
      </c>
      <c r="H3005" s="10" t="s">
        <v>21</v>
      </c>
      <c r="I3005" s="10" t="s">
        <v>84</v>
      </c>
      <c r="J3005" s="10" t="str">
        <f>""</f>
        <v/>
      </c>
      <c r="K3005" s="16" t="str">
        <f>"PFES1162564662_0001"</f>
        <v>PFES1162564662_0001</v>
      </c>
      <c r="L3005" s="16">
        <v>1</v>
      </c>
      <c r="M3005" s="16">
        <v>1</v>
      </c>
    </row>
    <row r="3006" spans="1:13">
      <c r="A3006" s="8">
        <v>42941</v>
      </c>
      <c r="B3006" s="9">
        <v>0.58263888888888882</v>
      </c>
      <c r="C3006" s="10" t="str">
        <f>"FES1162564661"</f>
        <v>FES1162564661</v>
      </c>
      <c r="D3006" s="10" t="s">
        <v>19</v>
      </c>
      <c r="E3006" s="10" t="s">
        <v>39</v>
      </c>
      <c r="F3006" s="10" t="str">
        <f>"2170581183 "</f>
        <v xml:space="preserve">2170581183 </v>
      </c>
      <c r="G3006" s="10" t="str">
        <f t="shared" si="130"/>
        <v>ON1</v>
      </c>
      <c r="H3006" s="10" t="s">
        <v>21</v>
      </c>
      <c r="I3006" s="10" t="s">
        <v>40</v>
      </c>
      <c r="J3006" s="10" t="str">
        <f>""</f>
        <v/>
      </c>
      <c r="K3006" s="16" t="str">
        <f>"PFES1162564661_0001"</f>
        <v>PFES1162564661_0001</v>
      </c>
      <c r="L3006" s="16">
        <v>1</v>
      </c>
      <c r="M3006" s="16">
        <v>1</v>
      </c>
    </row>
    <row r="3007" spans="1:13">
      <c r="A3007" s="8">
        <v>42941</v>
      </c>
      <c r="B3007" s="9">
        <v>0.58124999999999993</v>
      </c>
      <c r="C3007" s="10" t="str">
        <f>"FES1162564644"</f>
        <v>FES1162564644</v>
      </c>
      <c r="D3007" s="10" t="s">
        <v>19</v>
      </c>
      <c r="E3007" s="10" t="s">
        <v>129</v>
      </c>
      <c r="F3007" s="10" t="str">
        <f>"2170581167 "</f>
        <v xml:space="preserve">2170581167 </v>
      </c>
      <c r="G3007" s="10" t="str">
        <f t="shared" si="130"/>
        <v>ON1</v>
      </c>
      <c r="H3007" s="10" t="s">
        <v>21</v>
      </c>
      <c r="I3007" s="10" t="s">
        <v>130</v>
      </c>
      <c r="J3007" s="10" t="str">
        <f>""</f>
        <v/>
      </c>
      <c r="K3007" s="16" t="str">
        <f>"PFES1162564644_0001"</f>
        <v>PFES1162564644_0001</v>
      </c>
      <c r="L3007" s="16">
        <v>1</v>
      </c>
      <c r="M3007" s="16">
        <v>1</v>
      </c>
    </row>
    <row r="3008" spans="1:13">
      <c r="A3008" s="8">
        <v>42941</v>
      </c>
      <c r="B3008" s="9">
        <v>0.5805555555555556</v>
      </c>
      <c r="C3008" s="10" t="str">
        <f>"FES1162564651"</f>
        <v>FES1162564651</v>
      </c>
      <c r="D3008" s="10" t="s">
        <v>19</v>
      </c>
      <c r="E3008" s="10" t="s">
        <v>1113</v>
      </c>
      <c r="F3008" s="10" t="str">
        <f>"2170581001 "</f>
        <v xml:space="preserve">2170581001 </v>
      </c>
      <c r="G3008" s="10" t="str">
        <f t="shared" si="130"/>
        <v>ON1</v>
      </c>
      <c r="H3008" s="10" t="s">
        <v>21</v>
      </c>
      <c r="I3008" s="10" t="s">
        <v>86</v>
      </c>
      <c r="J3008" s="10" t="str">
        <f>""</f>
        <v/>
      </c>
      <c r="K3008" s="16" t="str">
        <f>"PFES1162564651_0001"</f>
        <v>PFES1162564651_0001</v>
      </c>
      <c r="L3008" s="16">
        <v>1</v>
      </c>
      <c r="M3008" s="16">
        <v>3</v>
      </c>
    </row>
    <row r="3009" spans="1:13">
      <c r="A3009" s="8">
        <v>42941</v>
      </c>
      <c r="B3009" s="9">
        <v>0.57847222222222217</v>
      </c>
      <c r="C3009" s="10" t="str">
        <f>"FES1162564658"</f>
        <v>FES1162564658</v>
      </c>
      <c r="D3009" s="10" t="s">
        <v>19</v>
      </c>
      <c r="E3009" s="10" t="s">
        <v>371</v>
      </c>
      <c r="F3009" s="10" t="str">
        <f>"2170577396 "</f>
        <v xml:space="preserve">2170577396 </v>
      </c>
      <c r="G3009" s="10" t="str">
        <f>"DBC"</f>
        <v>DBC</v>
      </c>
      <c r="H3009" s="10" t="s">
        <v>21</v>
      </c>
      <c r="I3009" s="10" t="s">
        <v>202</v>
      </c>
      <c r="J3009" s="10" t="str">
        <f>""</f>
        <v/>
      </c>
      <c r="K3009" s="16" t="str">
        <f>"PFES1162564658_0001"</f>
        <v>PFES1162564658_0001</v>
      </c>
      <c r="L3009" s="16">
        <v>2</v>
      </c>
      <c r="M3009" s="16">
        <v>31</v>
      </c>
    </row>
    <row r="3010" spans="1:13">
      <c r="A3010" s="8">
        <v>42941</v>
      </c>
      <c r="B3010" s="9">
        <v>0.57847222222222217</v>
      </c>
      <c r="C3010" s="10" t="str">
        <f>"FES1162564658"</f>
        <v>FES1162564658</v>
      </c>
      <c r="D3010" s="10" t="s">
        <v>19</v>
      </c>
      <c r="E3010" s="10" t="s">
        <v>371</v>
      </c>
      <c r="F3010" s="10" t="str">
        <f>"2170577396 "</f>
        <v xml:space="preserve">2170577396 </v>
      </c>
      <c r="G3010" s="10" t="str">
        <f>"DBC"</f>
        <v>DBC</v>
      </c>
      <c r="H3010" s="10" t="s">
        <v>21</v>
      </c>
      <c r="I3010" s="10" t="s">
        <v>202</v>
      </c>
      <c r="J3010" s="10"/>
      <c r="K3010" s="16" t="str">
        <f>"PFES1162564658_0002"</f>
        <v>PFES1162564658_0002</v>
      </c>
      <c r="L3010" s="16">
        <v>2</v>
      </c>
      <c r="M3010" s="16">
        <v>31</v>
      </c>
    </row>
    <row r="3011" spans="1:13">
      <c r="A3011" s="8">
        <v>42941</v>
      </c>
      <c r="B3011" s="9">
        <v>0.57777777777777783</v>
      </c>
      <c r="C3011" s="10" t="str">
        <f>"FES1162564659"</f>
        <v>FES1162564659</v>
      </c>
      <c r="D3011" s="10" t="s">
        <v>19</v>
      </c>
      <c r="E3011" s="10" t="s">
        <v>39</v>
      </c>
      <c r="F3011" s="10" t="str">
        <f>"2170581179 "</f>
        <v xml:space="preserve">2170581179 </v>
      </c>
      <c r="G3011" s="10" t="str">
        <f t="shared" ref="G3011:G3019" si="131">"ON1"</f>
        <v>ON1</v>
      </c>
      <c r="H3011" s="10" t="s">
        <v>21</v>
      </c>
      <c r="I3011" s="10" t="s">
        <v>40</v>
      </c>
      <c r="J3011" s="10" t="str">
        <f>""</f>
        <v/>
      </c>
      <c r="K3011" s="16" t="str">
        <f>"PFES1162564659_0001"</f>
        <v>PFES1162564659_0001</v>
      </c>
      <c r="L3011" s="16">
        <v>1</v>
      </c>
      <c r="M3011" s="16">
        <v>4</v>
      </c>
    </row>
    <row r="3012" spans="1:13">
      <c r="A3012" s="8">
        <v>42941</v>
      </c>
      <c r="B3012" s="9">
        <v>0.57777777777777783</v>
      </c>
      <c r="C3012" s="10" t="str">
        <f>"FES1162564668"</f>
        <v>FES1162564668</v>
      </c>
      <c r="D3012" s="10" t="s">
        <v>19</v>
      </c>
      <c r="E3012" s="10" t="s">
        <v>129</v>
      </c>
      <c r="F3012" s="10" t="str">
        <f>"2170576462 "</f>
        <v xml:space="preserve">2170576462 </v>
      </c>
      <c r="G3012" s="10" t="str">
        <f t="shared" si="131"/>
        <v>ON1</v>
      </c>
      <c r="H3012" s="10" t="s">
        <v>21</v>
      </c>
      <c r="I3012" s="10" t="s">
        <v>130</v>
      </c>
      <c r="J3012" s="10" t="str">
        <f>""</f>
        <v/>
      </c>
      <c r="K3012" s="16" t="str">
        <f>"PFES1162564668_0001"</f>
        <v>PFES1162564668_0001</v>
      </c>
      <c r="L3012" s="16">
        <v>1</v>
      </c>
      <c r="M3012" s="16">
        <v>3</v>
      </c>
    </row>
    <row r="3013" spans="1:13">
      <c r="A3013" s="8">
        <v>42941</v>
      </c>
      <c r="B3013" s="9">
        <v>0.57708333333333328</v>
      </c>
      <c r="C3013" s="10" t="str">
        <f>"FES1162564655"</f>
        <v>FES1162564655</v>
      </c>
      <c r="D3013" s="10" t="s">
        <v>19</v>
      </c>
      <c r="E3013" s="10" t="s">
        <v>162</v>
      </c>
      <c r="F3013" s="10" t="str">
        <f>"2170581176 "</f>
        <v xml:space="preserve">2170581176 </v>
      </c>
      <c r="G3013" s="10" t="str">
        <f t="shared" si="131"/>
        <v>ON1</v>
      </c>
      <c r="H3013" s="10" t="s">
        <v>21</v>
      </c>
      <c r="I3013" s="10" t="s">
        <v>163</v>
      </c>
      <c r="J3013" s="10" t="str">
        <f>""</f>
        <v/>
      </c>
      <c r="K3013" s="16" t="str">
        <f>"PFES1162564655_0001"</f>
        <v>PFES1162564655_0001</v>
      </c>
      <c r="L3013" s="16">
        <v>1</v>
      </c>
      <c r="M3013" s="16">
        <v>1</v>
      </c>
    </row>
    <row r="3014" spans="1:13">
      <c r="A3014" s="8">
        <v>42941</v>
      </c>
      <c r="B3014" s="9">
        <v>0.57708333333333328</v>
      </c>
      <c r="C3014" s="10" t="str">
        <f>"FES1162564653"</f>
        <v>FES1162564653</v>
      </c>
      <c r="D3014" s="10" t="s">
        <v>19</v>
      </c>
      <c r="E3014" s="10" t="s">
        <v>39</v>
      </c>
      <c r="F3014" s="10" t="str">
        <f>"21705811747 "</f>
        <v xml:space="preserve">21705811747 </v>
      </c>
      <c r="G3014" s="10" t="str">
        <f t="shared" si="131"/>
        <v>ON1</v>
      </c>
      <c r="H3014" s="10" t="s">
        <v>21</v>
      </c>
      <c r="I3014" s="10" t="s">
        <v>40</v>
      </c>
      <c r="J3014" s="10" t="str">
        <f>""</f>
        <v/>
      </c>
      <c r="K3014" s="16" t="str">
        <f>"PFES1162564653_0001"</f>
        <v>PFES1162564653_0001</v>
      </c>
      <c r="L3014" s="16">
        <v>1</v>
      </c>
      <c r="M3014" s="16">
        <v>2</v>
      </c>
    </row>
    <row r="3015" spans="1:13">
      <c r="A3015" s="8">
        <v>42941</v>
      </c>
      <c r="B3015" s="9">
        <v>0.57430555555555551</v>
      </c>
      <c r="C3015" s="10" t="str">
        <f>"FES1162564603"</f>
        <v>FES1162564603</v>
      </c>
      <c r="D3015" s="10" t="s">
        <v>19</v>
      </c>
      <c r="E3015" s="10" t="s">
        <v>735</v>
      </c>
      <c r="F3015" s="10" t="str">
        <f>"2170581141 "</f>
        <v xml:space="preserve">2170581141 </v>
      </c>
      <c r="G3015" s="10" t="str">
        <f t="shared" si="131"/>
        <v>ON1</v>
      </c>
      <c r="H3015" s="10" t="s">
        <v>21</v>
      </c>
      <c r="I3015" s="10" t="s">
        <v>54</v>
      </c>
      <c r="J3015" s="10" t="str">
        <f>""</f>
        <v/>
      </c>
      <c r="K3015" s="16" t="str">
        <f>"PFES1162564603_0001"</f>
        <v>PFES1162564603_0001</v>
      </c>
      <c r="L3015" s="16">
        <v>1</v>
      </c>
      <c r="M3015" s="16">
        <v>2</v>
      </c>
    </row>
    <row r="3016" spans="1:13">
      <c r="A3016" s="8">
        <v>42941</v>
      </c>
      <c r="B3016" s="9">
        <v>0.57361111111111118</v>
      </c>
      <c r="C3016" s="10" t="str">
        <f>"FES1162564631"</f>
        <v>FES1162564631</v>
      </c>
      <c r="D3016" s="10" t="s">
        <v>19</v>
      </c>
      <c r="E3016" s="10" t="s">
        <v>391</v>
      </c>
      <c r="F3016" s="10" t="str">
        <f>"2170581155 "</f>
        <v xml:space="preserve">2170581155 </v>
      </c>
      <c r="G3016" s="10" t="str">
        <f t="shared" si="131"/>
        <v>ON1</v>
      </c>
      <c r="H3016" s="10" t="s">
        <v>21</v>
      </c>
      <c r="I3016" s="10" t="s">
        <v>183</v>
      </c>
      <c r="J3016" s="10" t="str">
        <f>""</f>
        <v/>
      </c>
      <c r="K3016" s="16" t="str">
        <f>"PFES1162564631_0001"</f>
        <v>PFES1162564631_0001</v>
      </c>
      <c r="L3016" s="16">
        <v>1</v>
      </c>
      <c r="M3016" s="16">
        <v>2</v>
      </c>
    </row>
    <row r="3017" spans="1:13">
      <c r="A3017" s="8">
        <v>42941</v>
      </c>
      <c r="B3017" s="9">
        <v>0.57361111111111118</v>
      </c>
      <c r="C3017" s="10" t="str">
        <f>"FES1162564621"</f>
        <v>FES1162564621</v>
      </c>
      <c r="D3017" s="10" t="s">
        <v>19</v>
      </c>
      <c r="E3017" s="10" t="s">
        <v>451</v>
      </c>
      <c r="F3017" s="10" t="str">
        <f>"217058263 "</f>
        <v xml:space="preserve">217058263 </v>
      </c>
      <c r="G3017" s="10" t="str">
        <f t="shared" si="131"/>
        <v>ON1</v>
      </c>
      <c r="H3017" s="10" t="s">
        <v>21</v>
      </c>
      <c r="I3017" s="10" t="s">
        <v>66</v>
      </c>
      <c r="J3017" s="10" t="str">
        <f>""</f>
        <v/>
      </c>
      <c r="K3017" s="16" t="str">
        <f>"PFES1162564621_0001"</f>
        <v>PFES1162564621_0001</v>
      </c>
      <c r="L3017" s="16">
        <v>1</v>
      </c>
      <c r="M3017" s="16">
        <v>5</v>
      </c>
    </row>
    <row r="3018" spans="1:13">
      <c r="A3018" s="8">
        <v>42941</v>
      </c>
      <c r="B3018" s="9">
        <v>0.57291666666666663</v>
      </c>
      <c r="C3018" s="10" t="str">
        <f>"FES1162564645"</f>
        <v>FES1162564645</v>
      </c>
      <c r="D3018" s="10" t="s">
        <v>19</v>
      </c>
      <c r="E3018" s="10" t="s">
        <v>220</v>
      </c>
      <c r="F3018" s="10" t="str">
        <f>"2170581168 "</f>
        <v xml:space="preserve">2170581168 </v>
      </c>
      <c r="G3018" s="10" t="str">
        <f t="shared" si="131"/>
        <v>ON1</v>
      </c>
      <c r="H3018" s="10" t="s">
        <v>21</v>
      </c>
      <c r="I3018" s="10" t="s">
        <v>24</v>
      </c>
      <c r="J3018" s="10" t="str">
        <f>""</f>
        <v/>
      </c>
      <c r="K3018" s="16" t="str">
        <f>"PFES1162564645_0001"</f>
        <v>PFES1162564645_0001</v>
      </c>
      <c r="L3018" s="16">
        <v>2</v>
      </c>
      <c r="M3018" s="16">
        <v>5</v>
      </c>
    </row>
    <row r="3019" spans="1:13">
      <c r="A3019" s="8">
        <v>42941</v>
      </c>
      <c r="B3019" s="9">
        <v>0.57291666666666663</v>
      </c>
      <c r="C3019" s="10" t="str">
        <f>"FES1162564645"</f>
        <v>FES1162564645</v>
      </c>
      <c r="D3019" s="10" t="s">
        <v>19</v>
      </c>
      <c r="E3019" s="10" t="s">
        <v>220</v>
      </c>
      <c r="F3019" s="10" t="str">
        <f>"2170581168 "</f>
        <v xml:space="preserve">2170581168 </v>
      </c>
      <c r="G3019" s="10" t="str">
        <f t="shared" si="131"/>
        <v>ON1</v>
      </c>
      <c r="H3019" s="10" t="s">
        <v>21</v>
      </c>
      <c r="I3019" s="10" t="s">
        <v>24</v>
      </c>
      <c r="J3019" s="10"/>
      <c r="K3019" s="16" t="str">
        <f>"PFES1162564645_0002"</f>
        <v>PFES1162564645_0002</v>
      </c>
      <c r="L3019" s="16">
        <v>2</v>
      </c>
      <c r="M3019" s="16">
        <v>5</v>
      </c>
    </row>
    <row r="3020" spans="1:13">
      <c r="A3020" s="8">
        <v>42941</v>
      </c>
      <c r="B3020" s="9">
        <v>0.57222222222222219</v>
      </c>
      <c r="C3020" s="10" t="str">
        <f>"FES1162564634"</f>
        <v>FES1162564634</v>
      </c>
      <c r="D3020" s="10" t="s">
        <v>19</v>
      </c>
      <c r="E3020" s="10" t="s">
        <v>39</v>
      </c>
      <c r="F3020" s="10" t="str">
        <f>"21705871156 "</f>
        <v xml:space="preserve">21705871156 </v>
      </c>
      <c r="G3020" s="10" t="str">
        <f>"ON1"</f>
        <v>ON1</v>
      </c>
      <c r="H3020" s="10" t="s">
        <v>21</v>
      </c>
      <c r="I3020" s="10" t="s">
        <v>40</v>
      </c>
      <c r="J3020" s="10" t="str">
        <f>""</f>
        <v/>
      </c>
      <c r="K3020" s="16" t="str">
        <f>"PFES1162564634_0001"</f>
        <v>PFES1162564634_0001</v>
      </c>
      <c r="L3020" s="16">
        <v>1</v>
      </c>
      <c r="M3020" s="16">
        <v>1</v>
      </c>
    </row>
    <row r="3021" spans="1:13">
      <c r="A3021" s="8">
        <v>42941</v>
      </c>
      <c r="B3021" s="9">
        <v>0.57222222222222219</v>
      </c>
      <c r="C3021" s="10" t="str">
        <f>"FES1162564640"</f>
        <v>FES1162564640</v>
      </c>
      <c r="D3021" s="10" t="s">
        <v>19</v>
      </c>
      <c r="E3021" s="10" t="s">
        <v>1114</v>
      </c>
      <c r="F3021" s="10" t="str">
        <f>"2170581161 "</f>
        <v xml:space="preserve">2170581161 </v>
      </c>
      <c r="G3021" s="10" t="str">
        <f>"ON1"</f>
        <v>ON1</v>
      </c>
      <c r="H3021" s="10" t="s">
        <v>21</v>
      </c>
      <c r="I3021" s="10" t="s">
        <v>68</v>
      </c>
      <c r="J3021" s="10" t="str">
        <f>""</f>
        <v/>
      </c>
      <c r="K3021" s="16" t="str">
        <f>"PFES1162564640_0001"</f>
        <v>PFES1162564640_0001</v>
      </c>
      <c r="L3021" s="16">
        <v>1</v>
      </c>
      <c r="M3021" s="16">
        <v>3</v>
      </c>
    </row>
    <row r="3022" spans="1:13">
      <c r="A3022" s="8">
        <v>42941</v>
      </c>
      <c r="B3022" s="9">
        <v>0.56874999999999998</v>
      </c>
      <c r="C3022" s="10" t="str">
        <f>"FES1162564657"</f>
        <v>FES1162564657</v>
      </c>
      <c r="D3022" s="10" t="s">
        <v>19</v>
      </c>
      <c r="E3022" s="10" t="s">
        <v>165</v>
      </c>
      <c r="F3022" s="10" t="str">
        <f>"2170574917 "</f>
        <v xml:space="preserve">2170574917 </v>
      </c>
      <c r="G3022" s="10" t="str">
        <f>"DBC"</f>
        <v>DBC</v>
      </c>
      <c r="H3022" s="10" t="s">
        <v>21</v>
      </c>
      <c r="I3022" s="10" t="s">
        <v>166</v>
      </c>
      <c r="J3022" s="10" t="str">
        <f>""</f>
        <v/>
      </c>
      <c r="K3022" s="16" t="str">
        <f>"PFES1162564657_0001"</f>
        <v>PFES1162564657_0001</v>
      </c>
      <c r="L3022" s="16">
        <v>4</v>
      </c>
      <c r="M3022" s="16">
        <v>23</v>
      </c>
    </row>
    <row r="3023" spans="1:13">
      <c r="A3023" s="8">
        <v>42941</v>
      </c>
      <c r="B3023" s="9">
        <v>0.56874999999999998</v>
      </c>
      <c r="C3023" s="10" t="str">
        <f>"FES1162564657"</f>
        <v>FES1162564657</v>
      </c>
      <c r="D3023" s="10" t="s">
        <v>19</v>
      </c>
      <c r="E3023" s="10" t="s">
        <v>165</v>
      </c>
      <c r="F3023" s="10" t="str">
        <f>"2170574917 "</f>
        <v xml:space="preserve">2170574917 </v>
      </c>
      <c r="G3023" s="10" t="str">
        <f>"DBC"</f>
        <v>DBC</v>
      </c>
      <c r="H3023" s="10" t="s">
        <v>21</v>
      </c>
      <c r="I3023" s="10" t="s">
        <v>166</v>
      </c>
      <c r="J3023" s="10"/>
      <c r="K3023" s="16" t="str">
        <f>"PFES1162564657_0002"</f>
        <v>PFES1162564657_0002</v>
      </c>
      <c r="L3023" s="16">
        <v>4</v>
      </c>
      <c r="M3023" s="16">
        <v>23</v>
      </c>
    </row>
    <row r="3024" spans="1:13">
      <c r="A3024" s="8">
        <v>42941</v>
      </c>
      <c r="B3024" s="9">
        <v>0.56874999999999998</v>
      </c>
      <c r="C3024" s="10" t="str">
        <f>"FES1162564657"</f>
        <v>FES1162564657</v>
      </c>
      <c r="D3024" s="10" t="s">
        <v>19</v>
      </c>
      <c r="E3024" s="10" t="s">
        <v>165</v>
      </c>
      <c r="F3024" s="10" t="str">
        <f t="shared" ref="F3024:F3025" si="132">"2170574917 "</f>
        <v xml:space="preserve">2170574917 </v>
      </c>
      <c r="G3024" s="10" t="str">
        <f t="shared" ref="G3024:G3025" si="133">"DBC"</f>
        <v>DBC</v>
      </c>
      <c r="H3024" s="10" t="s">
        <v>21</v>
      </c>
      <c r="I3024" s="10" t="s">
        <v>166</v>
      </c>
      <c r="J3024" s="10"/>
      <c r="K3024" s="16" t="str">
        <f>"PFES1162564657_0003"</f>
        <v>PFES1162564657_0003</v>
      </c>
      <c r="L3024" s="16">
        <v>4</v>
      </c>
      <c r="M3024" s="16">
        <v>23</v>
      </c>
    </row>
    <row r="3025" spans="1:13">
      <c r="A3025" s="8">
        <v>42941</v>
      </c>
      <c r="B3025" s="9">
        <v>0.56874999999999998</v>
      </c>
      <c r="C3025" s="10" t="str">
        <f>"FES1162564657"</f>
        <v>FES1162564657</v>
      </c>
      <c r="D3025" s="10" t="s">
        <v>19</v>
      </c>
      <c r="E3025" s="10" t="s">
        <v>165</v>
      </c>
      <c r="F3025" s="10" t="str">
        <f t="shared" si="132"/>
        <v xml:space="preserve">2170574917 </v>
      </c>
      <c r="G3025" s="10" t="str">
        <f t="shared" si="133"/>
        <v>DBC</v>
      </c>
      <c r="H3025" s="10" t="s">
        <v>21</v>
      </c>
      <c r="I3025" s="10" t="s">
        <v>166</v>
      </c>
      <c r="J3025" s="10"/>
      <c r="K3025" s="16" t="str">
        <f>"PFES1162564657_0004"</f>
        <v>PFES1162564657_0004</v>
      </c>
      <c r="L3025" s="16">
        <v>4</v>
      </c>
      <c r="M3025" s="16">
        <v>23</v>
      </c>
    </row>
    <row r="3026" spans="1:13">
      <c r="A3026" s="8">
        <v>42941</v>
      </c>
      <c r="B3026" s="9">
        <v>0.56805555555555554</v>
      </c>
      <c r="C3026" s="10" t="str">
        <f>"FES1162564667"</f>
        <v>FES1162564667</v>
      </c>
      <c r="D3026" s="10" t="s">
        <v>19</v>
      </c>
      <c r="E3026" s="10" t="s">
        <v>184</v>
      </c>
      <c r="F3026" s="10" t="str">
        <f>"2170573850 "</f>
        <v xml:space="preserve">2170573850 </v>
      </c>
      <c r="G3026" s="10" t="str">
        <f>"ON1"</f>
        <v>ON1</v>
      </c>
      <c r="H3026" s="10" t="s">
        <v>21</v>
      </c>
      <c r="I3026" s="10" t="s">
        <v>185</v>
      </c>
      <c r="J3026" s="10" t="str">
        <f>""</f>
        <v/>
      </c>
      <c r="K3026" s="16" t="str">
        <f>"PFES1162564667_0001"</f>
        <v>PFES1162564667_0001</v>
      </c>
      <c r="L3026" s="16">
        <v>2</v>
      </c>
      <c r="M3026" s="16">
        <v>14</v>
      </c>
    </row>
    <row r="3027" spans="1:13">
      <c r="A3027" s="8">
        <v>42941</v>
      </c>
      <c r="B3027" s="9">
        <v>0.56805555555555554</v>
      </c>
      <c r="C3027" s="10" t="str">
        <f>"FES1162564667"</f>
        <v>FES1162564667</v>
      </c>
      <c r="D3027" s="10" t="s">
        <v>19</v>
      </c>
      <c r="E3027" s="10" t="s">
        <v>184</v>
      </c>
      <c r="F3027" s="10" t="str">
        <f>"2170573850 "</f>
        <v xml:space="preserve">2170573850 </v>
      </c>
      <c r="G3027" s="10" t="str">
        <f>"ON1"</f>
        <v>ON1</v>
      </c>
      <c r="H3027" s="10" t="s">
        <v>21</v>
      </c>
      <c r="I3027" s="10" t="s">
        <v>185</v>
      </c>
      <c r="J3027" s="10"/>
      <c r="K3027" s="16" t="str">
        <f>"PFES1162564667_0002"</f>
        <v>PFES1162564667_0002</v>
      </c>
      <c r="L3027" s="16">
        <v>2</v>
      </c>
      <c r="M3027" s="16">
        <v>14</v>
      </c>
    </row>
    <row r="3028" spans="1:13">
      <c r="A3028" s="8">
        <v>42941</v>
      </c>
      <c r="B3028" s="9">
        <v>0.54513888888888895</v>
      </c>
      <c r="C3028" s="10" t="str">
        <f>"FES1162564521"</f>
        <v>FES1162564521</v>
      </c>
      <c r="D3028" s="10" t="s">
        <v>19</v>
      </c>
      <c r="E3028" s="10" t="s">
        <v>502</v>
      </c>
      <c r="F3028" s="10" t="str">
        <f>"2170581041 "</f>
        <v xml:space="preserve">2170581041 </v>
      </c>
      <c r="G3028" s="10" t="str">
        <f>"ON1"</f>
        <v>ON1</v>
      </c>
      <c r="H3028" s="10" t="s">
        <v>21</v>
      </c>
      <c r="I3028" s="10" t="s">
        <v>580</v>
      </c>
      <c r="J3028" s="10" t="str">
        <f>""</f>
        <v/>
      </c>
      <c r="K3028" s="16" t="str">
        <f>"PFES1162564521_0001"</f>
        <v>PFES1162564521_0001</v>
      </c>
      <c r="L3028" s="16">
        <v>1</v>
      </c>
      <c r="M3028" s="16">
        <v>2</v>
      </c>
    </row>
    <row r="3029" spans="1:13">
      <c r="A3029" s="8">
        <v>42941</v>
      </c>
      <c r="B3029" s="9">
        <v>0.5444444444444444</v>
      </c>
      <c r="C3029" s="10" t="str">
        <f>"FES1162564535"</f>
        <v>FES1162564535</v>
      </c>
      <c r="D3029" s="10" t="s">
        <v>19</v>
      </c>
      <c r="E3029" s="10" t="s">
        <v>1115</v>
      </c>
      <c r="F3029" s="10" t="str">
        <f>"217058168 "</f>
        <v xml:space="preserve">217058168 </v>
      </c>
      <c r="G3029" s="10" t="str">
        <f>"DBC"</f>
        <v>DBC</v>
      </c>
      <c r="H3029" s="10" t="s">
        <v>21</v>
      </c>
      <c r="I3029" s="10" t="s">
        <v>426</v>
      </c>
      <c r="J3029" s="10" t="str">
        <f>"FRAGILE - OILS INSIDE THE BOX"</f>
        <v>FRAGILE - OILS INSIDE THE BOX</v>
      </c>
      <c r="K3029" s="16" t="str">
        <f>"PFES1162564535_0001"</f>
        <v>PFES1162564535_0001</v>
      </c>
      <c r="L3029" s="16">
        <v>1</v>
      </c>
      <c r="M3029" s="16">
        <v>3</v>
      </c>
    </row>
    <row r="3030" spans="1:13">
      <c r="A3030" s="8">
        <v>42941</v>
      </c>
      <c r="B3030" s="9">
        <v>0.54375000000000007</v>
      </c>
      <c r="C3030" s="10" t="str">
        <f>"FES1162564561"</f>
        <v>FES1162564561</v>
      </c>
      <c r="D3030" s="10" t="s">
        <v>19</v>
      </c>
      <c r="E3030" s="10" t="s">
        <v>1116</v>
      </c>
      <c r="F3030" s="10" t="str">
        <f>"2170564561 "</f>
        <v xml:space="preserve">2170564561 </v>
      </c>
      <c r="G3030" s="10" t="str">
        <f>"ON1"</f>
        <v>ON1</v>
      </c>
      <c r="H3030" s="10" t="s">
        <v>21</v>
      </c>
      <c r="I3030" s="10" t="s">
        <v>1117</v>
      </c>
      <c r="J3030" s="10" t="str">
        <f>""</f>
        <v/>
      </c>
      <c r="K3030" s="16" t="str">
        <f>"PFES1162564561_0001"</f>
        <v>PFES1162564561_0001</v>
      </c>
      <c r="L3030" s="16">
        <v>2</v>
      </c>
      <c r="M3030" s="16">
        <v>8</v>
      </c>
    </row>
    <row r="3031" spans="1:13">
      <c r="A3031" s="8">
        <v>42941</v>
      </c>
      <c r="B3031" s="9">
        <v>0.54375000000000007</v>
      </c>
      <c r="C3031" s="10" t="str">
        <f>"FES1162564561"</f>
        <v>FES1162564561</v>
      </c>
      <c r="D3031" s="10" t="s">
        <v>19</v>
      </c>
      <c r="E3031" s="10" t="s">
        <v>1116</v>
      </c>
      <c r="F3031" s="10" t="str">
        <f>"2170564561 "</f>
        <v xml:space="preserve">2170564561 </v>
      </c>
      <c r="G3031" s="10" t="str">
        <f>"ON1"</f>
        <v>ON1</v>
      </c>
      <c r="H3031" s="10" t="s">
        <v>21</v>
      </c>
      <c r="I3031" s="10" t="s">
        <v>1117</v>
      </c>
      <c r="J3031" s="10"/>
      <c r="K3031" s="16" t="str">
        <f>"PFES1162564561_0002"</f>
        <v>PFES1162564561_0002</v>
      </c>
      <c r="L3031" s="16">
        <v>2</v>
      </c>
      <c r="M3031" s="16">
        <v>8</v>
      </c>
    </row>
    <row r="3032" spans="1:13">
      <c r="A3032" s="8">
        <v>42941</v>
      </c>
      <c r="B3032" s="9">
        <v>0.54305555555555551</v>
      </c>
      <c r="C3032" s="10" t="str">
        <f>"FES1162564591"</f>
        <v>FES1162564591</v>
      </c>
      <c r="D3032" s="10" t="s">
        <v>19</v>
      </c>
      <c r="E3032" s="10" t="s">
        <v>1118</v>
      </c>
      <c r="F3032" s="10" t="str">
        <f>"2170581128 "</f>
        <v xml:space="preserve">2170581128 </v>
      </c>
      <c r="G3032" s="10" t="str">
        <f t="shared" ref="G3032:G3051" si="134">"ON1"</f>
        <v>ON1</v>
      </c>
      <c r="H3032" s="10" t="s">
        <v>21</v>
      </c>
      <c r="I3032" s="10" t="s">
        <v>246</v>
      </c>
      <c r="J3032" s="10" t="str">
        <f>""</f>
        <v/>
      </c>
      <c r="K3032" s="16" t="str">
        <f>"PFES1162564591_0001"</f>
        <v>PFES1162564591_0001</v>
      </c>
      <c r="L3032" s="16">
        <v>1</v>
      </c>
      <c r="M3032" s="16">
        <v>2</v>
      </c>
    </row>
    <row r="3033" spans="1:13">
      <c r="A3033" s="8">
        <v>42941</v>
      </c>
      <c r="B3033" s="9">
        <v>0.54236111111111118</v>
      </c>
      <c r="C3033" s="10" t="str">
        <f>"FES1162564573"</f>
        <v>FES1162564573</v>
      </c>
      <c r="D3033" s="10" t="s">
        <v>19</v>
      </c>
      <c r="E3033" s="10" t="s">
        <v>437</v>
      </c>
      <c r="F3033" s="10" t="str">
        <f>"2170581105 "</f>
        <v xml:space="preserve">2170581105 </v>
      </c>
      <c r="G3033" s="10" t="str">
        <f t="shared" si="134"/>
        <v>ON1</v>
      </c>
      <c r="H3033" s="10" t="s">
        <v>21</v>
      </c>
      <c r="I3033" s="10" t="s">
        <v>159</v>
      </c>
      <c r="J3033" s="10" t="str">
        <f>""</f>
        <v/>
      </c>
      <c r="K3033" s="16" t="str">
        <f>"PFES1162564573_0001"</f>
        <v>PFES1162564573_0001</v>
      </c>
      <c r="L3033" s="16">
        <v>1</v>
      </c>
      <c r="M3033" s="16">
        <v>2</v>
      </c>
    </row>
    <row r="3034" spans="1:13">
      <c r="A3034" s="8">
        <v>42941</v>
      </c>
      <c r="B3034" s="9">
        <v>0.54236111111111118</v>
      </c>
      <c r="C3034" s="10" t="str">
        <f>"FES1162564517"</f>
        <v>FES1162564517</v>
      </c>
      <c r="D3034" s="10" t="s">
        <v>19</v>
      </c>
      <c r="E3034" s="10" t="s">
        <v>936</v>
      </c>
      <c r="F3034" s="10" t="str">
        <f>"2170581043 "</f>
        <v xml:space="preserve">2170581043 </v>
      </c>
      <c r="G3034" s="10" t="str">
        <f t="shared" si="134"/>
        <v>ON1</v>
      </c>
      <c r="H3034" s="10" t="s">
        <v>21</v>
      </c>
      <c r="I3034" s="10" t="s">
        <v>22</v>
      </c>
      <c r="J3034" s="10" t="str">
        <f>""</f>
        <v/>
      </c>
      <c r="K3034" s="16" t="str">
        <f>"PFES1162564517_0001"</f>
        <v>PFES1162564517_0001</v>
      </c>
      <c r="L3034" s="16">
        <v>1</v>
      </c>
      <c r="M3034" s="16">
        <v>1</v>
      </c>
    </row>
    <row r="3035" spans="1:13">
      <c r="A3035" s="8">
        <v>42941</v>
      </c>
      <c r="B3035" s="9">
        <v>0.54166666666666663</v>
      </c>
      <c r="C3035" s="10" t="str">
        <f>"FES1162564576"</f>
        <v>FES1162564576</v>
      </c>
      <c r="D3035" s="10" t="s">
        <v>19</v>
      </c>
      <c r="E3035" s="10" t="s">
        <v>62</v>
      </c>
      <c r="F3035" s="10" t="str">
        <f>"2170581109 "</f>
        <v xml:space="preserve">2170581109 </v>
      </c>
      <c r="G3035" s="10" t="str">
        <f t="shared" si="134"/>
        <v>ON1</v>
      </c>
      <c r="H3035" s="10" t="s">
        <v>21</v>
      </c>
      <c r="I3035" s="10" t="s">
        <v>402</v>
      </c>
      <c r="J3035" s="10" t="str">
        <f>""</f>
        <v/>
      </c>
      <c r="K3035" s="16" t="str">
        <f>"PFES1162564576_0001"</f>
        <v>PFES1162564576_0001</v>
      </c>
      <c r="L3035" s="16">
        <v>1</v>
      </c>
      <c r="M3035" s="16">
        <v>1</v>
      </c>
    </row>
    <row r="3036" spans="1:13">
      <c r="A3036" s="8">
        <v>42941</v>
      </c>
      <c r="B3036" s="9">
        <v>0.54166666666666663</v>
      </c>
      <c r="C3036" s="10" t="str">
        <f>"FES1162564584"</f>
        <v>FES1162564584</v>
      </c>
      <c r="D3036" s="10" t="s">
        <v>19</v>
      </c>
      <c r="E3036" s="10" t="s">
        <v>1094</v>
      </c>
      <c r="F3036" s="10" t="str">
        <f>"217058116 "</f>
        <v xml:space="preserve">217058116 </v>
      </c>
      <c r="G3036" s="10" t="str">
        <f t="shared" si="134"/>
        <v>ON1</v>
      </c>
      <c r="H3036" s="10" t="s">
        <v>21</v>
      </c>
      <c r="I3036" s="10" t="s">
        <v>161</v>
      </c>
      <c r="J3036" s="10" t="str">
        <f>""</f>
        <v/>
      </c>
      <c r="K3036" s="16" t="str">
        <f>"PFES1162564584_0001"</f>
        <v>PFES1162564584_0001</v>
      </c>
      <c r="L3036" s="16">
        <v>1</v>
      </c>
      <c r="M3036" s="16">
        <v>1</v>
      </c>
    </row>
    <row r="3037" spans="1:13">
      <c r="A3037" s="8">
        <v>42941</v>
      </c>
      <c r="B3037" s="9">
        <v>0.54166666666666663</v>
      </c>
      <c r="C3037" s="10" t="str">
        <f>"FES1162564522"</f>
        <v>FES1162564522</v>
      </c>
      <c r="D3037" s="10" t="s">
        <v>19</v>
      </c>
      <c r="E3037" s="10" t="s">
        <v>1119</v>
      </c>
      <c r="F3037" s="10" t="str">
        <f>"217054522 "</f>
        <v xml:space="preserve">217054522 </v>
      </c>
      <c r="G3037" s="10" t="str">
        <f t="shared" si="134"/>
        <v>ON1</v>
      </c>
      <c r="H3037" s="10" t="s">
        <v>21</v>
      </c>
      <c r="I3037" s="10" t="s">
        <v>313</v>
      </c>
      <c r="J3037" s="10" t="str">
        <f>""</f>
        <v/>
      </c>
      <c r="K3037" s="16" t="str">
        <f>"PFES1162564522_0001"</f>
        <v>PFES1162564522_0001</v>
      </c>
      <c r="L3037" s="16">
        <v>1</v>
      </c>
      <c r="M3037" s="16">
        <v>1</v>
      </c>
    </row>
    <row r="3038" spans="1:13">
      <c r="A3038" s="8">
        <v>42941</v>
      </c>
      <c r="B3038" s="9">
        <v>0.54097222222222219</v>
      </c>
      <c r="C3038" s="10" t="str">
        <f>"FES1162564499"</f>
        <v>FES1162564499</v>
      </c>
      <c r="D3038" s="10" t="s">
        <v>19</v>
      </c>
      <c r="E3038" s="10" t="s">
        <v>420</v>
      </c>
      <c r="F3038" s="10" t="str">
        <f>"2170579863 "</f>
        <v xml:space="preserve">2170579863 </v>
      </c>
      <c r="G3038" s="10" t="str">
        <f t="shared" si="134"/>
        <v>ON1</v>
      </c>
      <c r="H3038" s="10" t="s">
        <v>21</v>
      </c>
      <c r="I3038" s="10" t="s">
        <v>56</v>
      </c>
      <c r="J3038" s="10" t="str">
        <f>""</f>
        <v/>
      </c>
      <c r="K3038" s="16" t="str">
        <f>"PFES1162564499_0001"</f>
        <v>PFES1162564499_0001</v>
      </c>
      <c r="L3038" s="16">
        <v>1</v>
      </c>
      <c r="M3038" s="16">
        <v>15</v>
      </c>
    </row>
    <row r="3039" spans="1:13">
      <c r="A3039" s="8">
        <v>42941</v>
      </c>
      <c r="B3039" s="9">
        <v>0.54097222222222219</v>
      </c>
      <c r="C3039" s="10" t="str">
        <f>"FES1162564571"</f>
        <v>FES1162564571</v>
      </c>
      <c r="D3039" s="10" t="s">
        <v>19</v>
      </c>
      <c r="E3039" s="10" t="s">
        <v>651</v>
      </c>
      <c r="F3039" s="10" t="str">
        <f>"2170581102 "</f>
        <v xml:space="preserve">2170581102 </v>
      </c>
      <c r="G3039" s="10" t="str">
        <f t="shared" si="134"/>
        <v>ON1</v>
      </c>
      <c r="H3039" s="10" t="s">
        <v>21</v>
      </c>
      <c r="I3039" s="10" t="s">
        <v>652</v>
      </c>
      <c r="J3039" s="10" t="str">
        <f>""</f>
        <v/>
      </c>
      <c r="K3039" s="16" t="str">
        <f>"PFES1162564571_0001"</f>
        <v>PFES1162564571_0001</v>
      </c>
      <c r="L3039" s="16">
        <v>1</v>
      </c>
      <c r="M3039" s="16">
        <v>3</v>
      </c>
    </row>
    <row r="3040" spans="1:13">
      <c r="A3040" s="8">
        <v>42941</v>
      </c>
      <c r="B3040" s="9">
        <v>0.54027777777777775</v>
      </c>
      <c r="C3040" s="10" t="str">
        <f>"FES1162564588"</f>
        <v>FES1162564588</v>
      </c>
      <c r="D3040" s="10" t="s">
        <v>19</v>
      </c>
      <c r="E3040" s="10" t="s">
        <v>1120</v>
      </c>
      <c r="F3040" s="10" t="str">
        <f>"2170581122 "</f>
        <v xml:space="preserve">2170581122 </v>
      </c>
      <c r="G3040" s="10" t="str">
        <f t="shared" si="134"/>
        <v>ON1</v>
      </c>
      <c r="H3040" s="10" t="s">
        <v>21</v>
      </c>
      <c r="I3040" s="10" t="s">
        <v>259</v>
      </c>
      <c r="J3040" s="10" t="str">
        <f>""</f>
        <v/>
      </c>
      <c r="K3040" s="16" t="str">
        <f>"PFES1162564588_0001"</f>
        <v>PFES1162564588_0001</v>
      </c>
      <c r="L3040" s="16">
        <v>1</v>
      </c>
      <c r="M3040" s="16">
        <v>3</v>
      </c>
    </row>
    <row r="3041" spans="1:13">
      <c r="A3041" s="8">
        <v>42941</v>
      </c>
      <c r="B3041" s="9">
        <v>0.53888888888888886</v>
      </c>
      <c r="C3041" s="10" t="str">
        <f>"FES1162564480"</f>
        <v>FES1162564480</v>
      </c>
      <c r="D3041" s="10" t="s">
        <v>19</v>
      </c>
      <c r="E3041" s="10" t="s">
        <v>251</v>
      </c>
      <c r="F3041" s="10" t="str">
        <f>"2170576028 "</f>
        <v xml:space="preserve">2170576028 </v>
      </c>
      <c r="G3041" s="10" t="str">
        <f t="shared" si="134"/>
        <v>ON1</v>
      </c>
      <c r="H3041" s="10" t="s">
        <v>21</v>
      </c>
      <c r="I3041" s="10" t="s">
        <v>627</v>
      </c>
      <c r="J3041" s="10" t="str">
        <f>""</f>
        <v/>
      </c>
      <c r="K3041" s="16" t="str">
        <f>"PFES1162564480_0001"</f>
        <v>PFES1162564480_0001</v>
      </c>
      <c r="L3041" s="16">
        <v>1</v>
      </c>
      <c r="M3041" s="16">
        <v>2</v>
      </c>
    </row>
    <row r="3042" spans="1:13">
      <c r="A3042" s="8">
        <v>42941</v>
      </c>
      <c r="B3042" s="9">
        <v>0.53888888888888886</v>
      </c>
      <c r="C3042" s="10" t="str">
        <f>"FES1162564512"</f>
        <v>FES1162564512</v>
      </c>
      <c r="D3042" s="10" t="s">
        <v>19</v>
      </c>
      <c r="E3042" s="10" t="s">
        <v>57</v>
      </c>
      <c r="F3042" s="10" t="str">
        <f>"2170581016 "</f>
        <v xml:space="preserve">2170581016 </v>
      </c>
      <c r="G3042" s="10" t="str">
        <f t="shared" si="134"/>
        <v>ON1</v>
      </c>
      <c r="H3042" s="10" t="s">
        <v>21</v>
      </c>
      <c r="I3042" s="10" t="s">
        <v>58</v>
      </c>
      <c r="J3042" s="10" t="str">
        <f>""</f>
        <v/>
      </c>
      <c r="K3042" s="16" t="str">
        <f>"PFES1162564512_0001"</f>
        <v>PFES1162564512_0001</v>
      </c>
      <c r="L3042" s="16">
        <v>1</v>
      </c>
      <c r="M3042" s="16">
        <v>2</v>
      </c>
    </row>
    <row r="3043" spans="1:13">
      <c r="A3043" s="8">
        <v>42941</v>
      </c>
      <c r="B3043" s="9">
        <v>0.53819444444444442</v>
      </c>
      <c r="C3043" s="10" t="str">
        <f>"FES1162564568"</f>
        <v>FES1162564568</v>
      </c>
      <c r="D3043" s="10" t="s">
        <v>19</v>
      </c>
      <c r="E3043" s="10" t="s">
        <v>568</v>
      </c>
      <c r="F3043" s="10" t="str">
        <f>"2170579976 "</f>
        <v xml:space="preserve">2170579976 </v>
      </c>
      <c r="G3043" s="10" t="str">
        <f t="shared" si="134"/>
        <v>ON1</v>
      </c>
      <c r="H3043" s="10" t="s">
        <v>21</v>
      </c>
      <c r="I3043" s="10" t="s">
        <v>38</v>
      </c>
      <c r="J3043" s="10" t="str">
        <f>""</f>
        <v/>
      </c>
      <c r="K3043" s="16" t="str">
        <f>"PFES1162564568_0001"</f>
        <v>PFES1162564568_0001</v>
      </c>
      <c r="L3043" s="16">
        <v>1</v>
      </c>
      <c r="M3043" s="16">
        <v>1</v>
      </c>
    </row>
    <row r="3044" spans="1:13">
      <c r="A3044" s="8">
        <v>42941</v>
      </c>
      <c r="B3044" s="9">
        <v>0.53819444444444442</v>
      </c>
      <c r="C3044" s="10" t="str">
        <f>"FES1162564637"</f>
        <v>FES1162564637</v>
      </c>
      <c r="D3044" s="10" t="s">
        <v>19</v>
      </c>
      <c r="E3044" s="10" t="s">
        <v>1121</v>
      </c>
      <c r="F3044" s="10" t="str">
        <f>"2170581160 "</f>
        <v xml:space="preserve">2170581160 </v>
      </c>
      <c r="G3044" s="10" t="str">
        <f t="shared" si="134"/>
        <v>ON1</v>
      </c>
      <c r="H3044" s="10" t="s">
        <v>21</v>
      </c>
      <c r="I3044" s="10" t="s">
        <v>300</v>
      </c>
      <c r="J3044" s="10" t="str">
        <f>""</f>
        <v/>
      </c>
      <c r="K3044" s="16" t="str">
        <f>"PFES1162564637_0001"</f>
        <v>PFES1162564637_0001</v>
      </c>
      <c r="L3044" s="16">
        <v>1</v>
      </c>
      <c r="M3044" s="16">
        <v>2</v>
      </c>
    </row>
    <row r="3045" spans="1:13">
      <c r="A3045" s="8">
        <v>42941</v>
      </c>
      <c r="B3045" s="9">
        <v>0.53472222222222221</v>
      </c>
      <c r="C3045" s="10" t="str">
        <f>"FES1162564607"</f>
        <v>FES1162564607</v>
      </c>
      <c r="D3045" s="10" t="s">
        <v>19</v>
      </c>
      <c r="E3045" s="10" t="s">
        <v>830</v>
      </c>
      <c r="F3045" s="10" t="str">
        <f>"2170581145 "</f>
        <v xml:space="preserve">2170581145 </v>
      </c>
      <c r="G3045" s="10" t="str">
        <f t="shared" si="134"/>
        <v>ON1</v>
      </c>
      <c r="H3045" s="10" t="s">
        <v>21</v>
      </c>
      <c r="I3045" s="10" t="s">
        <v>831</v>
      </c>
      <c r="J3045" s="10" t="str">
        <f>""</f>
        <v/>
      </c>
      <c r="K3045" s="16" t="str">
        <f>"PFES1162564607_0001"</f>
        <v>PFES1162564607_0001</v>
      </c>
      <c r="L3045" s="16">
        <v>1</v>
      </c>
      <c r="M3045" s="16">
        <v>1</v>
      </c>
    </row>
    <row r="3046" spans="1:13">
      <c r="A3046" s="8">
        <v>42941</v>
      </c>
      <c r="B3046" s="9">
        <v>0.53333333333333333</v>
      </c>
      <c r="C3046" s="10" t="str">
        <f>"FES1162564652"</f>
        <v>FES1162564652</v>
      </c>
      <c r="D3046" s="10" t="s">
        <v>19</v>
      </c>
      <c r="E3046" s="10" t="s">
        <v>535</v>
      </c>
      <c r="F3046" s="10" t="str">
        <f>"2170571170 "</f>
        <v xml:space="preserve">2170571170 </v>
      </c>
      <c r="G3046" s="10" t="str">
        <f t="shared" si="134"/>
        <v>ON1</v>
      </c>
      <c r="H3046" s="10" t="s">
        <v>21</v>
      </c>
      <c r="I3046" s="10" t="s">
        <v>240</v>
      </c>
      <c r="J3046" s="10" t="str">
        <f>""</f>
        <v/>
      </c>
      <c r="K3046" s="16" t="str">
        <f>"PFES1162564652_0001"</f>
        <v>PFES1162564652_0001</v>
      </c>
      <c r="L3046" s="16">
        <v>1</v>
      </c>
      <c r="M3046" s="16">
        <v>1</v>
      </c>
    </row>
    <row r="3047" spans="1:13">
      <c r="A3047" s="8">
        <v>42941</v>
      </c>
      <c r="B3047" s="9">
        <v>0.53194444444444444</v>
      </c>
      <c r="C3047" s="10" t="str">
        <f>"FES1162564553"</f>
        <v>FES1162564553</v>
      </c>
      <c r="D3047" s="10" t="s">
        <v>19</v>
      </c>
      <c r="E3047" s="10" t="s">
        <v>1122</v>
      </c>
      <c r="F3047" s="10" t="str">
        <f>"2170581018 "</f>
        <v xml:space="preserve">2170581018 </v>
      </c>
      <c r="G3047" s="10" t="str">
        <f t="shared" si="134"/>
        <v>ON1</v>
      </c>
      <c r="H3047" s="10" t="s">
        <v>21</v>
      </c>
      <c r="I3047" s="10" t="s">
        <v>514</v>
      </c>
      <c r="J3047" s="10" t="str">
        <f>""</f>
        <v/>
      </c>
      <c r="K3047" s="16" t="str">
        <f>"PFES1162564553_0001"</f>
        <v>PFES1162564553_0001</v>
      </c>
      <c r="L3047" s="16">
        <v>1</v>
      </c>
      <c r="M3047" s="16">
        <v>1</v>
      </c>
    </row>
    <row r="3048" spans="1:13">
      <c r="A3048" s="8">
        <v>42941</v>
      </c>
      <c r="B3048" s="9">
        <v>0.53125</v>
      </c>
      <c r="C3048" s="10" t="str">
        <f>"FES1162564577"</f>
        <v>FES1162564577</v>
      </c>
      <c r="D3048" s="10" t="s">
        <v>19</v>
      </c>
      <c r="E3048" s="10" t="s">
        <v>1123</v>
      </c>
      <c r="F3048" s="10" t="str">
        <f>"2170581110 "</f>
        <v xml:space="preserve">2170581110 </v>
      </c>
      <c r="G3048" s="10" t="str">
        <f t="shared" si="134"/>
        <v>ON1</v>
      </c>
      <c r="H3048" s="10" t="s">
        <v>21</v>
      </c>
      <c r="I3048" s="10" t="s">
        <v>1124</v>
      </c>
      <c r="J3048" s="10" t="str">
        <f>""</f>
        <v/>
      </c>
      <c r="K3048" s="16" t="str">
        <f>"PFES1162564577_0001"</f>
        <v>PFES1162564577_0001</v>
      </c>
      <c r="L3048" s="16">
        <v>1</v>
      </c>
      <c r="M3048" s="16">
        <v>1</v>
      </c>
    </row>
    <row r="3049" spans="1:13">
      <c r="A3049" s="8">
        <v>42941</v>
      </c>
      <c r="B3049" s="9">
        <v>0.53055555555555556</v>
      </c>
      <c r="C3049" s="10" t="str">
        <f>"FES1162564635"</f>
        <v>FES1162564635</v>
      </c>
      <c r="D3049" s="10" t="s">
        <v>19</v>
      </c>
      <c r="E3049" s="10" t="s">
        <v>62</v>
      </c>
      <c r="F3049" s="10" t="str">
        <f>"2170581157 "</f>
        <v xml:space="preserve">2170581157 </v>
      </c>
      <c r="G3049" s="10" t="str">
        <f t="shared" si="134"/>
        <v>ON1</v>
      </c>
      <c r="H3049" s="10" t="s">
        <v>21</v>
      </c>
      <c r="I3049" s="10" t="s">
        <v>40</v>
      </c>
      <c r="J3049" s="10" t="str">
        <f>""</f>
        <v/>
      </c>
      <c r="K3049" s="16" t="str">
        <f>"PFES1162564635_0001"</f>
        <v>PFES1162564635_0001</v>
      </c>
      <c r="L3049" s="16">
        <v>1</v>
      </c>
      <c r="M3049" s="16">
        <v>1</v>
      </c>
    </row>
    <row r="3050" spans="1:13">
      <c r="A3050" s="8">
        <v>42941</v>
      </c>
      <c r="B3050" s="9">
        <v>0.52986111111111112</v>
      </c>
      <c r="C3050" s="10" t="str">
        <f>"FES1162564627"</f>
        <v>FES1162564627</v>
      </c>
      <c r="D3050" s="10" t="s">
        <v>19</v>
      </c>
      <c r="E3050" s="10" t="s">
        <v>20</v>
      </c>
      <c r="F3050" s="10" t="str">
        <f>"2170581149 "</f>
        <v xml:space="preserve">2170581149 </v>
      </c>
      <c r="G3050" s="10" t="str">
        <f t="shared" si="134"/>
        <v>ON1</v>
      </c>
      <c r="H3050" s="10" t="s">
        <v>21</v>
      </c>
      <c r="I3050" s="10" t="s">
        <v>22</v>
      </c>
      <c r="J3050" s="10" t="str">
        <f>""</f>
        <v/>
      </c>
      <c r="K3050" s="16" t="str">
        <f>"PFES1162564627_0001"</f>
        <v>PFES1162564627_0001</v>
      </c>
      <c r="L3050" s="16">
        <v>1</v>
      </c>
      <c r="M3050" s="16">
        <v>1</v>
      </c>
    </row>
    <row r="3051" spans="1:13">
      <c r="A3051" s="8">
        <v>42941</v>
      </c>
      <c r="B3051" s="9">
        <v>0.52847222222222223</v>
      </c>
      <c r="C3051" s="10" t="str">
        <f>"FES1162564190"</f>
        <v>FES1162564190</v>
      </c>
      <c r="D3051" s="10" t="s">
        <v>19</v>
      </c>
      <c r="E3051" s="10" t="s">
        <v>513</v>
      </c>
      <c r="F3051" s="10" t="str">
        <f>"2170578258 "</f>
        <v xml:space="preserve">2170578258 </v>
      </c>
      <c r="G3051" s="10" t="str">
        <f t="shared" si="134"/>
        <v>ON1</v>
      </c>
      <c r="H3051" s="10" t="s">
        <v>21</v>
      </c>
      <c r="I3051" s="10" t="s">
        <v>138</v>
      </c>
      <c r="J3051" s="10" t="str">
        <f>""</f>
        <v/>
      </c>
      <c r="K3051" s="16" t="str">
        <f>"PFES1162564190_0001"</f>
        <v>PFES1162564190_0001</v>
      </c>
      <c r="L3051" s="16">
        <v>1</v>
      </c>
      <c r="M3051" s="16">
        <v>1</v>
      </c>
    </row>
    <row r="3052" spans="1:13">
      <c r="A3052" s="8">
        <v>42941</v>
      </c>
      <c r="B3052" s="9">
        <v>0.52777777777777779</v>
      </c>
      <c r="C3052" s="10" t="str">
        <f>"FES1162564618"</f>
        <v>FES1162564618</v>
      </c>
      <c r="D3052" s="10" t="s">
        <v>19</v>
      </c>
      <c r="E3052" s="10" t="s">
        <v>774</v>
      </c>
      <c r="F3052" s="10" t="str">
        <f>"2170576676 "</f>
        <v xml:space="preserve">2170576676 </v>
      </c>
      <c r="G3052" s="10" t="str">
        <f>"DBC"</f>
        <v>DBC</v>
      </c>
      <c r="H3052" s="10" t="s">
        <v>21</v>
      </c>
      <c r="I3052" s="10" t="s">
        <v>697</v>
      </c>
      <c r="J3052" s="10" t="str">
        <f>""</f>
        <v/>
      </c>
      <c r="K3052" s="16" t="str">
        <f>"PFES1162564618_0001"</f>
        <v>PFES1162564618_0001</v>
      </c>
      <c r="L3052" s="16">
        <v>1</v>
      </c>
      <c r="M3052" s="16">
        <v>55</v>
      </c>
    </row>
    <row r="3053" spans="1:13">
      <c r="A3053" s="8">
        <v>42941</v>
      </c>
      <c r="B3053" s="9">
        <v>0.52708333333333335</v>
      </c>
      <c r="C3053" s="10" t="str">
        <f>"FES1162564582"</f>
        <v>FES1162564582</v>
      </c>
      <c r="D3053" s="10" t="s">
        <v>19</v>
      </c>
      <c r="E3053" s="10" t="s">
        <v>1125</v>
      </c>
      <c r="F3053" s="10" t="str">
        <f>"2170578775 "</f>
        <v xml:space="preserve">2170578775 </v>
      </c>
      <c r="G3053" s="10" t="str">
        <f t="shared" ref="G3053:G3058" si="135">"ON1"</f>
        <v>ON1</v>
      </c>
      <c r="H3053" s="10" t="s">
        <v>21</v>
      </c>
      <c r="I3053" s="10" t="s">
        <v>1126</v>
      </c>
      <c r="J3053" s="10" t="str">
        <f>""</f>
        <v/>
      </c>
      <c r="K3053" s="16" t="str">
        <f>"PFES1162564582_0001"</f>
        <v>PFES1162564582_0001</v>
      </c>
      <c r="L3053" s="16">
        <v>1</v>
      </c>
      <c r="M3053" s="16">
        <v>1</v>
      </c>
    </row>
    <row r="3054" spans="1:13">
      <c r="A3054" s="8">
        <v>42941</v>
      </c>
      <c r="B3054" s="9">
        <v>0.52638888888888891</v>
      </c>
      <c r="C3054" s="10" t="str">
        <f>"FES1162564485"</f>
        <v>FES1162564485</v>
      </c>
      <c r="D3054" s="10" t="s">
        <v>19</v>
      </c>
      <c r="E3054" s="10" t="s">
        <v>288</v>
      </c>
      <c r="F3054" s="10" t="str">
        <f>"217058282 "</f>
        <v xml:space="preserve">217058282 </v>
      </c>
      <c r="G3054" s="10" t="str">
        <f t="shared" si="135"/>
        <v>ON1</v>
      </c>
      <c r="H3054" s="10" t="s">
        <v>21</v>
      </c>
      <c r="I3054" s="10" t="s">
        <v>177</v>
      </c>
      <c r="J3054" s="10" t="str">
        <f>""</f>
        <v/>
      </c>
      <c r="K3054" s="16" t="str">
        <f>"PFES1162564485_0001"</f>
        <v>PFES1162564485_0001</v>
      </c>
      <c r="L3054" s="16">
        <v>1</v>
      </c>
      <c r="M3054" s="16">
        <v>1</v>
      </c>
    </row>
    <row r="3055" spans="1:13">
      <c r="A3055" s="8">
        <v>42941</v>
      </c>
      <c r="B3055" s="9">
        <v>0.52638888888888891</v>
      </c>
      <c r="C3055" s="10" t="str">
        <f>"FES1162564617"</f>
        <v>FES1162564617</v>
      </c>
      <c r="D3055" s="10" t="s">
        <v>19</v>
      </c>
      <c r="E3055" s="10" t="s">
        <v>186</v>
      </c>
      <c r="F3055" s="10" t="str">
        <f>"2170576602 "</f>
        <v xml:space="preserve">2170576602 </v>
      </c>
      <c r="G3055" s="10" t="str">
        <f t="shared" si="135"/>
        <v>ON1</v>
      </c>
      <c r="H3055" s="10" t="s">
        <v>21</v>
      </c>
      <c r="I3055" s="10" t="s">
        <v>187</v>
      </c>
      <c r="J3055" s="10" t="str">
        <f>""</f>
        <v/>
      </c>
      <c r="K3055" s="16" t="str">
        <f>"PFES1162564617_0001"</f>
        <v>PFES1162564617_0001</v>
      </c>
      <c r="L3055" s="16">
        <v>1</v>
      </c>
      <c r="M3055" s="16">
        <v>6</v>
      </c>
    </row>
    <row r="3056" spans="1:13">
      <c r="A3056" s="8">
        <v>42941</v>
      </c>
      <c r="B3056" s="9">
        <v>0.52569444444444446</v>
      </c>
      <c r="C3056" s="10" t="str">
        <f>"FES1162564593"</f>
        <v>FES1162564593</v>
      </c>
      <c r="D3056" s="10" t="s">
        <v>19</v>
      </c>
      <c r="E3056" s="10" t="s">
        <v>118</v>
      </c>
      <c r="F3056" s="10" t="str">
        <f>"217051119 "</f>
        <v xml:space="preserve">217051119 </v>
      </c>
      <c r="G3056" s="10" t="str">
        <f t="shared" si="135"/>
        <v>ON1</v>
      </c>
      <c r="H3056" s="10" t="s">
        <v>21</v>
      </c>
      <c r="I3056" s="10" t="s">
        <v>119</v>
      </c>
      <c r="J3056" s="10" t="str">
        <f>""</f>
        <v/>
      </c>
      <c r="K3056" s="16" t="str">
        <f>"PFES1162564593_0001"</f>
        <v>PFES1162564593_0001</v>
      </c>
      <c r="L3056" s="16">
        <v>1</v>
      </c>
      <c r="M3056" s="16">
        <v>6</v>
      </c>
    </row>
    <row r="3057" spans="1:13">
      <c r="A3057" s="8">
        <v>42941</v>
      </c>
      <c r="B3057" s="9">
        <v>0.52500000000000002</v>
      </c>
      <c r="C3057" s="10" t="str">
        <f>"FES1162564587"</f>
        <v>FES1162564587</v>
      </c>
      <c r="D3057" s="10" t="s">
        <v>19</v>
      </c>
      <c r="E3057" s="10" t="s">
        <v>589</v>
      </c>
      <c r="F3057" s="10" t="str">
        <f>"2170581121 "</f>
        <v xml:space="preserve">2170581121 </v>
      </c>
      <c r="G3057" s="10" t="str">
        <f t="shared" si="135"/>
        <v>ON1</v>
      </c>
      <c r="H3057" s="10" t="s">
        <v>21</v>
      </c>
      <c r="I3057" s="10" t="s">
        <v>330</v>
      </c>
      <c r="J3057" s="10" t="str">
        <f>""</f>
        <v/>
      </c>
      <c r="K3057" s="16" t="str">
        <f>"PFES1162564587_0001"</f>
        <v>PFES1162564587_0001</v>
      </c>
      <c r="L3057" s="16">
        <v>1</v>
      </c>
      <c r="M3057" s="16">
        <v>2</v>
      </c>
    </row>
    <row r="3058" spans="1:13">
      <c r="A3058" s="8">
        <v>42941</v>
      </c>
      <c r="B3058" s="9">
        <v>0.52500000000000002</v>
      </c>
      <c r="C3058" s="10" t="str">
        <f>"FES1162564595"</f>
        <v>FES1162564595</v>
      </c>
      <c r="D3058" s="10" t="s">
        <v>19</v>
      </c>
      <c r="E3058" s="10" t="s">
        <v>193</v>
      </c>
      <c r="F3058" s="10" t="str">
        <f>"2170581130 "</f>
        <v xml:space="preserve">2170581130 </v>
      </c>
      <c r="G3058" s="10" t="str">
        <f t="shared" si="135"/>
        <v>ON1</v>
      </c>
      <c r="H3058" s="10" t="s">
        <v>21</v>
      </c>
      <c r="I3058" s="10" t="s">
        <v>183</v>
      </c>
      <c r="J3058" s="10" t="str">
        <f>""</f>
        <v/>
      </c>
      <c r="K3058" s="16" t="str">
        <f>"PFES1162564595_0001"</f>
        <v>PFES1162564595_0001</v>
      </c>
      <c r="L3058" s="16">
        <v>1</v>
      </c>
      <c r="M3058" s="16">
        <v>6</v>
      </c>
    </row>
    <row r="3059" spans="1:13">
      <c r="A3059" s="8">
        <v>42941</v>
      </c>
      <c r="B3059" s="9">
        <v>0.52430555555555558</v>
      </c>
      <c r="C3059" s="10" t="str">
        <f>"FES1162564620"</f>
        <v>FES1162564620</v>
      </c>
      <c r="D3059" s="10" t="s">
        <v>19</v>
      </c>
      <c r="E3059" s="10" t="s">
        <v>369</v>
      </c>
      <c r="F3059" s="10" t="str">
        <f>"2170577639 "</f>
        <v xml:space="preserve">2170577639 </v>
      </c>
      <c r="G3059" s="10" t="str">
        <f>"DBC"</f>
        <v>DBC</v>
      </c>
      <c r="H3059" s="10" t="s">
        <v>21</v>
      </c>
      <c r="I3059" s="10" t="s">
        <v>183</v>
      </c>
      <c r="J3059" s="10" t="str">
        <f>""</f>
        <v/>
      </c>
      <c r="K3059" s="16" t="str">
        <f>"PFES1162564620_0001"</f>
        <v>PFES1162564620_0001</v>
      </c>
      <c r="L3059" s="16">
        <v>1</v>
      </c>
      <c r="M3059" s="16">
        <v>20</v>
      </c>
    </row>
    <row r="3060" spans="1:13">
      <c r="A3060" s="8">
        <v>42941</v>
      </c>
      <c r="B3060" s="9">
        <v>0.52430555555555558</v>
      </c>
      <c r="C3060" s="10" t="str">
        <f>"FES1162564583"</f>
        <v>FES1162564583</v>
      </c>
      <c r="D3060" s="10" t="s">
        <v>19</v>
      </c>
      <c r="E3060" s="10" t="s">
        <v>245</v>
      </c>
      <c r="F3060" s="10" t="str">
        <f>"2170581114 "</f>
        <v xml:space="preserve">2170581114 </v>
      </c>
      <c r="G3060" s="10" t="str">
        <f>"ON1"</f>
        <v>ON1</v>
      </c>
      <c r="H3060" s="10" t="s">
        <v>21</v>
      </c>
      <c r="I3060" s="10" t="s">
        <v>246</v>
      </c>
      <c r="J3060" s="10" t="str">
        <f>""</f>
        <v/>
      </c>
      <c r="K3060" s="16" t="str">
        <f>"PFES1162564583_0001"</f>
        <v>PFES1162564583_0001</v>
      </c>
      <c r="L3060" s="16">
        <v>1</v>
      </c>
      <c r="M3060" s="16">
        <v>1</v>
      </c>
    </row>
    <row r="3061" spans="1:13">
      <c r="A3061" s="8">
        <v>42941</v>
      </c>
      <c r="B3061" s="9">
        <v>0.52430555555555558</v>
      </c>
      <c r="C3061" s="10" t="str">
        <f>"FES1162564636"</f>
        <v>FES1162564636</v>
      </c>
      <c r="D3061" s="10" t="s">
        <v>19</v>
      </c>
      <c r="E3061" s="10" t="s">
        <v>706</v>
      </c>
      <c r="F3061" s="10" t="str">
        <f>"2170581158 "</f>
        <v xml:space="preserve">2170581158 </v>
      </c>
      <c r="G3061" s="10" t="str">
        <f>"DBC"</f>
        <v>DBC</v>
      </c>
      <c r="H3061" s="10" t="s">
        <v>21</v>
      </c>
      <c r="I3061" s="10" t="s">
        <v>166</v>
      </c>
      <c r="J3061" s="10" t="str">
        <f>""</f>
        <v/>
      </c>
      <c r="K3061" s="16" t="str">
        <f>"PFES1162564636_0001"</f>
        <v>PFES1162564636_0001</v>
      </c>
      <c r="L3061" s="16">
        <v>1</v>
      </c>
      <c r="M3061" s="16">
        <v>24</v>
      </c>
    </row>
    <row r="3062" spans="1:13">
      <c r="A3062" s="8">
        <v>42941</v>
      </c>
      <c r="B3062" s="9">
        <v>0.52361111111111114</v>
      </c>
      <c r="C3062" s="10" t="str">
        <f>"FES1162564589"</f>
        <v>FES1162564589</v>
      </c>
      <c r="D3062" s="10" t="s">
        <v>19</v>
      </c>
      <c r="E3062" s="10" t="s">
        <v>245</v>
      </c>
      <c r="F3062" s="10" t="str">
        <f>"2170581124 "</f>
        <v xml:space="preserve">2170581124 </v>
      </c>
      <c r="G3062" s="10" t="str">
        <f>"ON1"</f>
        <v>ON1</v>
      </c>
      <c r="H3062" s="10" t="s">
        <v>21</v>
      </c>
      <c r="I3062" s="10" t="s">
        <v>246</v>
      </c>
      <c r="J3062" s="10" t="str">
        <f>""</f>
        <v/>
      </c>
      <c r="K3062" s="16" t="str">
        <f>"PFES1162564589_0001"</f>
        <v>PFES1162564589_0001</v>
      </c>
      <c r="L3062" s="16">
        <v>1</v>
      </c>
      <c r="M3062" s="16">
        <v>1</v>
      </c>
    </row>
    <row r="3063" spans="1:13">
      <c r="A3063" s="8">
        <v>42941</v>
      </c>
      <c r="B3063" s="9">
        <v>0.52361111111111114</v>
      </c>
      <c r="C3063" s="10" t="str">
        <f>"FES1162564611"</f>
        <v>FES1162564611</v>
      </c>
      <c r="D3063" s="10" t="s">
        <v>19</v>
      </c>
      <c r="E3063" s="10" t="s">
        <v>184</v>
      </c>
      <c r="F3063" s="10" t="str">
        <f>"2170573211 "</f>
        <v xml:space="preserve">2170573211 </v>
      </c>
      <c r="G3063" s="10" t="str">
        <f>"ON1"</f>
        <v>ON1</v>
      </c>
      <c r="H3063" s="10" t="s">
        <v>21</v>
      </c>
      <c r="I3063" s="10" t="s">
        <v>185</v>
      </c>
      <c r="J3063" s="10" t="str">
        <f>""</f>
        <v/>
      </c>
      <c r="K3063" s="16" t="str">
        <f>"PFES1162564611_0001"</f>
        <v>PFES1162564611_0001</v>
      </c>
      <c r="L3063" s="16">
        <v>2</v>
      </c>
      <c r="M3063" s="16">
        <v>9</v>
      </c>
    </row>
    <row r="3064" spans="1:13">
      <c r="A3064" s="8">
        <v>42941</v>
      </c>
      <c r="B3064" s="9">
        <v>0.52361111111111114</v>
      </c>
      <c r="C3064" s="10" t="str">
        <f>"FES1162564611"</f>
        <v>FES1162564611</v>
      </c>
      <c r="D3064" s="10" t="s">
        <v>19</v>
      </c>
      <c r="E3064" s="10" t="s">
        <v>184</v>
      </c>
      <c r="F3064" s="10" t="str">
        <f>"2170573211 "</f>
        <v xml:space="preserve">2170573211 </v>
      </c>
      <c r="G3064" s="10" t="str">
        <f>"ON1"</f>
        <v>ON1</v>
      </c>
      <c r="H3064" s="10" t="s">
        <v>21</v>
      </c>
      <c r="I3064" s="10" t="s">
        <v>185</v>
      </c>
      <c r="J3064" s="10"/>
      <c r="K3064" s="16" t="str">
        <f>"PFES1162564611_0002"</f>
        <v>PFES1162564611_0002</v>
      </c>
      <c r="L3064" s="16">
        <v>2</v>
      </c>
      <c r="M3064" s="16">
        <v>9</v>
      </c>
    </row>
    <row r="3065" spans="1:13">
      <c r="A3065" s="8">
        <v>42941</v>
      </c>
      <c r="B3065" s="9">
        <v>0.5229166666666667</v>
      </c>
      <c r="C3065" s="10" t="str">
        <f>"FES1162564579"</f>
        <v>FES1162564579</v>
      </c>
      <c r="D3065" s="10" t="s">
        <v>19</v>
      </c>
      <c r="E3065" s="10" t="s">
        <v>245</v>
      </c>
      <c r="F3065" s="10" t="str">
        <f>"2170581113 "</f>
        <v xml:space="preserve">2170581113 </v>
      </c>
      <c r="G3065" s="10" t="str">
        <f t="shared" ref="G3065:G3077" si="136">"ON1"</f>
        <v>ON1</v>
      </c>
      <c r="H3065" s="10" t="s">
        <v>21</v>
      </c>
      <c r="I3065" s="10" t="s">
        <v>246</v>
      </c>
      <c r="J3065" s="10" t="str">
        <f>""</f>
        <v/>
      </c>
      <c r="K3065" s="16" t="str">
        <f>"PFES1162564579_0001"</f>
        <v>PFES1162564579_0001</v>
      </c>
      <c r="L3065" s="16">
        <v>1</v>
      </c>
      <c r="M3065" s="16">
        <v>1</v>
      </c>
    </row>
    <row r="3066" spans="1:13">
      <c r="A3066" s="8">
        <v>42941</v>
      </c>
      <c r="B3066" s="9">
        <v>0.5229166666666667</v>
      </c>
      <c r="C3066" s="10" t="str">
        <f>"FES1162564613"</f>
        <v>FES1162564613</v>
      </c>
      <c r="D3066" s="10" t="s">
        <v>19</v>
      </c>
      <c r="E3066" s="10" t="s">
        <v>129</v>
      </c>
      <c r="F3066" s="10" t="str">
        <f>"2170574131 "</f>
        <v xml:space="preserve">2170574131 </v>
      </c>
      <c r="G3066" s="10" t="str">
        <f t="shared" si="136"/>
        <v>ON1</v>
      </c>
      <c r="H3066" s="10" t="s">
        <v>21</v>
      </c>
      <c r="I3066" s="10" t="s">
        <v>130</v>
      </c>
      <c r="J3066" s="10" t="str">
        <f>""</f>
        <v/>
      </c>
      <c r="K3066" s="16" t="str">
        <f>"PFES1162564613_0001"</f>
        <v>PFES1162564613_0001</v>
      </c>
      <c r="L3066" s="16">
        <v>1</v>
      </c>
      <c r="M3066" s="16">
        <v>1</v>
      </c>
    </row>
    <row r="3067" spans="1:13">
      <c r="A3067" s="8">
        <v>42941</v>
      </c>
      <c r="B3067" s="9">
        <v>0.5229166666666667</v>
      </c>
      <c r="C3067" s="10" t="str">
        <f>"FES1162564610"</f>
        <v>FES1162564610</v>
      </c>
      <c r="D3067" s="10" t="s">
        <v>19</v>
      </c>
      <c r="E3067" s="10" t="s">
        <v>129</v>
      </c>
      <c r="F3067" s="10" t="str">
        <f>"2170570923 "</f>
        <v xml:space="preserve">2170570923 </v>
      </c>
      <c r="G3067" s="10" t="str">
        <f t="shared" si="136"/>
        <v>ON1</v>
      </c>
      <c r="H3067" s="10" t="s">
        <v>21</v>
      </c>
      <c r="I3067" s="10" t="s">
        <v>130</v>
      </c>
      <c r="J3067" s="10" t="str">
        <f>""</f>
        <v/>
      </c>
      <c r="K3067" s="16" t="str">
        <f>"PFES1162564610_0001"</f>
        <v>PFES1162564610_0001</v>
      </c>
      <c r="L3067" s="16">
        <v>1</v>
      </c>
      <c r="M3067" s="16">
        <v>4</v>
      </c>
    </row>
    <row r="3068" spans="1:13">
      <c r="A3068" s="8">
        <v>42941</v>
      </c>
      <c r="B3068" s="9">
        <v>0.52222222222222225</v>
      </c>
      <c r="C3068" s="10" t="str">
        <f>"FES1162564612"</f>
        <v>FES1162564612</v>
      </c>
      <c r="D3068" s="10" t="s">
        <v>19</v>
      </c>
      <c r="E3068" s="10" t="s">
        <v>110</v>
      </c>
      <c r="F3068" s="10" t="str">
        <f>"2170573575 "</f>
        <v xml:space="preserve">2170573575 </v>
      </c>
      <c r="G3068" s="10" t="str">
        <f t="shared" si="136"/>
        <v>ON1</v>
      </c>
      <c r="H3068" s="10" t="s">
        <v>21</v>
      </c>
      <c r="I3068" s="10" t="s">
        <v>111</v>
      </c>
      <c r="J3068" s="10" t="str">
        <f>""</f>
        <v/>
      </c>
      <c r="K3068" s="16" t="str">
        <f>"PFES1162564612_0001"</f>
        <v>PFES1162564612_0001</v>
      </c>
      <c r="L3068" s="16">
        <v>1</v>
      </c>
      <c r="M3068" s="16">
        <v>11</v>
      </c>
    </row>
    <row r="3069" spans="1:13">
      <c r="A3069" s="8">
        <v>42941</v>
      </c>
      <c r="B3069" s="9">
        <v>0.52222222222222225</v>
      </c>
      <c r="C3069" s="10" t="str">
        <f>"FES1162564552"</f>
        <v>FES1162564552</v>
      </c>
      <c r="D3069" s="10" t="s">
        <v>19</v>
      </c>
      <c r="E3069" s="10" t="s">
        <v>1078</v>
      </c>
      <c r="F3069" s="10" t="str">
        <f>"2170580573 "</f>
        <v xml:space="preserve">2170580573 </v>
      </c>
      <c r="G3069" s="10" t="str">
        <f t="shared" si="136"/>
        <v>ON1</v>
      </c>
      <c r="H3069" s="10" t="s">
        <v>21</v>
      </c>
      <c r="I3069" s="10" t="s">
        <v>213</v>
      </c>
      <c r="J3069" s="10" t="str">
        <f>""</f>
        <v/>
      </c>
      <c r="K3069" s="16" t="str">
        <f>"PFES1162564552_0001"</f>
        <v>PFES1162564552_0001</v>
      </c>
      <c r="L3069" s="16">
        <v>1</v>
      </c>
      <c r="M3069" s="16">
        <v>1</v>
      </c>
    </row>
    <row r="3070" spans="1:13">
      <c r="A3070" s="8">
        <v>42941</v>
      </c>
      <c r="B3070" s="9">
        <v>0.52222222222222225</v>
      </c>
      <c r="C3070" s="10" t="str">
        <f>"FES1162564615"</f>
        <v>FES1162564615</v>
      </c>
      <c r="D3070" s="10" t="s">
        <v>19</v>
      </c>
      <c r="E3070" s="10" t="s">
        <v>382</v>
      </c>
      <c r="F3070" s="10" t="str">
        <f>"2170575366 "</f>
        <v xml:space="preserve">2170575366 </v>
      </c>
      <c r="G3070" s="10" t="str">
        <f t="shared" si="136"/>
        <v>ON1</v>
      </c>
      <c r="H3070" s="10" t="s">
        <v>21</v>
      </c>
      <c r="I3070" s="10" t="s">
        <v>383</v>
      </c>
      <c r="J3070" s="10" t="str">
        <f>""</f>
        <v/>
      </c>
      <c r="K3070" s="16" t="str">
        <f>"PFES1162564615_0001"</f>
        <v>PFES1162564615_0001</v>
      </c>
      <c r="L3070" s="16">
        <v>1</v>
      </c>
      <c r="M3070" s="16">
        <v>6</v>
      </c>
    </row>
    <row r="3071" spans="1:13">
      <c r="A3071" s="8">
        <v>42941</v>
      </c>
      <c r="B3071" s="9">
        <v>0.52152777777777781</v>
      </c>
      <c r="C3071" s="10" t="str">
        <f>"FES1162564614"</f>
        <v>FES1162564614</v>
      </c>
      <c r="D3071" s="10" t="s">
        <v>19</v>
      </c>
      <c r="E3071" s="10" t="s">
        <v>754</v>
      </c>
      <c r="F3071" s="10" t="str">
        <f>"2170575049 "</f>
        <v xml:space="preserve">2170575049 </v>
      </c>
      <c r="G3071" s="10" t="str">
        <f t="shared" si="136"/>
        <v>ON1</v>
      </c>
      <c r="H3071" s="10" t="s">
        <v>21</v>
      </c>
      <c r="I3071" s="10" t="s">
        <v>711</v>
      </c>
      <c r="J3071" s="10" t="str">
        <f>""</f>
        <v/>
      </c>
      <c r="K3071" s="16" t="str">
        <f>"PFES1162564614_0001"</f>
        <v>PFES1162564614_0001</v>
      </c>
      <c r="L3071" s="16">
        <v>1</v>
      </c>
      <c r="M3071" s="16">
        <v>9</v>
      </c>
    </row>
    <row r="3072" spans="1:13">
      <c r="A3072" s="8">
        <v>42941</v>
      </c>
      <c r="B3072" s="9">
        <v>0.52152777777777781</v>
      </c>
      <c r="C3072" s="10" t="str">
        <f>"FES1162564575"</f>
        <v>FES1162564575</v>
      </c>
      <c r="D3072" s="10" t="s">
        <v>19</v>
      </c>
      <c r="E3072" s="10" t="s">
        <v>735</v>
      </c>
      <c r="F3072" s="10" t="str">
        <f>"2170581107 "</f>
        <v xml:space="preserve">2170581107 </v>
      </c>
      <c r="G3072" s="10" t="str">
        <f t="shared" si="136"/>
        <v>ON1</v>
      </c>
      <c r="H3072" s="10" t="s">
        <v>21</v>
      </c>
      <c r="I3072" s="10" t="s">
        <v>54</v>
      </c>
      <c r="J3072" s="10" t="str">
        <f>""</f>
        <v/>
      </c>
      <c r="K3072" s="16" t="str">
        <f>"PFES1162564575_0001"</f>
        <v>PFES1162564575_0001</v>
      </c>
      <c r="L3072" s="16">
        <v>1</v>
      </c>
      <c r="M3072" s="16">
        <v>1</v>
      </c>
    </row>
    <row r="3073" spans="1:13">
      <c r="A3073" s="8">
        <v>42941</v>
      </c>
      <c r="B3073" s="9">
        <v>0.51874999999999993</v>
      </c>
      <c r="C3073" s="10" t="str">
        <f>"FES1162564560"</f>
        <v>FES1162564560</v>
      </c>
      <c r="D3073" s="10" t="s">
        <v>19</v>
      </c>
      <c r="E3073" s="10" t="s">
        <v>735</v>
      </c>
      <c r="F3073" s="10" t="str">
        <f>"21705781097 "</f>
        <v xml:space="preserve">21705781097 </v>
      </c>
      <c r="G3073" s="10" t="str">
        <f t="shared" si="136"/>
        <v>ON1</v>
      </c>
      <c r="H3073" s="10" t="s">
        <v>21</v>
      </c>
      <c r="I3073" s="10" t="s">
        <v>54</v>
      </c>
      <c r="J3073" s="10" t="str">
        <f>""</f>
        <v/>
      </c>
      <c r="K3073" s="16" t="str">
        <f>"PFES1162564560_0001"</f>
        <v>PFES1162564560_0001</v>
      </c>
      <c r="L3073" s="16">
        <v>1</v>
      </c>
      <c r="M3073" s="16">
        <v>1</v>
      </c>
    </row>
    <row r="3074" spans="1:13">
      <c r="A3074" s="8">
        <v>42941</v>
      </c>
      <c r="B3074" s="9">
        <v>0.51666666666666672</v>
      </c>
      <c r="C3074" s="10" t="str">
        <f>"FES1162564599"</f>
        <v>FES1162564599</v>
      </c>
      <c r="D3074" s="10" t="s">
        <v>19</v>
      </c>
      <c r="E3074" s="10" t="s">
        <v>25</v>
      </c>
      <c r="F3074" s="10" t="str">
        <f>"2170581136 "</f>
        <v xml:space="preserve">2170581136 </v>
      </c>
      <c r="G3074" s="10" t="str">
        <f t="shared" si="136"/>
        <v>ON1</v>
      </c>
      <c r="H3074" s="10" t="s">
        <v>21</v>
      </c>
      <c r="I3074" s="10" t="s">
        <v>26</v>
      </c>
      <c r="J3074" s="10" t="str">
        <f>""</f>
        <v/>
      </c>
      <c r="K3074" s="16" t="str">
        <f>"PFES1162564599_0001"</f>
        <v>PFES1162564599_0001</v>
      </c>
      <c r="L3074" s="16">
        <v>1</v>
      </c>
      <c r="M3074" s="16">
        <v>1</v>
      </c>
    </row>
    <row r="3075" spans="1:13">
      <c r="A3075" s="8">
        <v>42941</v>
      </c>
      <c r="B3075" s="9">
        <v>0.51527777777777783</v>
      </c>
      <c r="C3075" s="10" t="str">
        <f>"FES1162564585"</f>
        <v>FES1162564585</v>
      </c>
      <c r="D3075" s="10" t="s">
        <v>19</v>
      </c>
      <c r="E3075" s="10" t="s">
        <v>160</v>
      </c>
      <c r="F3075" s="10" t="str">
        <f>"2170581118 "</f>
        <v xml:space="preserve">2170581118 </v>
      </c>
      <c r="G3075" s="10" t="str">
        <f t="shared" si="136"/>
        <v>ON1</v>
      </c>
      <c r="H3075" s="10" t="s">
        <v>21</v>
      </c>
      <c r="I3075" s="10" t="s">
        <v>161</v>
      </c>
      <c r="J3075" s="10" t="str">
        <f>""</f>
        <v/>
      </c>
      <c r="K3075" s="16" t="str">
        <f>"PFES1162564585_0001"</f>
        <v>PFES1162564585_0001</v>
      </c>
      <c r="L3075" s="16">
        <v>1</v>
      </c>
      <c r="M3075" s="16">
        <v>1</v>
      </c>
    </row>
    <row r="3076" spans="1:13">
      <c r="A3076" s="8">
        <v>42941</v>
      </c>
      <c r="B3076" s="9">
        <v>0.51458333333333328</v>
      </c>
      <c r="C3076" s="10" t="str">
        <f>"FES1162564541"</f>
        <v>FES1162564541</v>
      </c>
      <c r="D3076" s="10" t="s">
        <v>19</v>
      </c>
      <c r="E3076" s="10" t="s">
        <v>39</v>
      </c>
      <c r="F3076" s="10" t="str">
        <f>"2170581073 "</f>
        <v xml:space="preserve">2170581073 </v>
      </c>
      <c r="G3076" s="10" t="str">
        <f t="shared" si="136"/>
        <v>ON1</v>
      </c>
      <c r="H3076" s="10" t="s">
        <v>21</v>
      </c>
      <c r="I3076" s="10" t="s">
        <v>40</v>
      </c>
      <c r="J3076" s="10" t="str">
        <f>""</f>
        <v/>
      </c>
      <c r="K3076" s="16" t="str">
        <f>"PFES1162564541_0001"</f>
        <v>PFES1162564541_0001</v>
      </c>
      <c r="L3076" s="16">
        <v>1</v>
      </c>
      <c r="M3076" s="16">
        <v>1</v>
      </c>
    </row>
    <row r="3077" spans="1:13">
      <c r="A3077" s="8">
        <v>42941</v>
      </c>
      <c r="B3077" s="9">
        <v>0.51388888888888895</v>
      </c>
      <c r="C3077" s="10" t="str">
        <f>"FES1162564590"</f>
        <v>FES1162564590</v>
      </c>
      <c r="D3077" s="10" t="s">
        <v>19</v>
      </c>
      <c r="E3077" s="10" t="s">
        <v>636</v>
      </c>
      <c r="F3077" s="10" t="str">
        <f>"2170581126 "</f>
        <v xml:space="preserve">2170581126 </v>
      </c>
      <c r="G3077" s="10" t="str">
        <f t="shared" si="136"/>
        <v>ON1</v>
      </c>
      <c r="H3077" s="10" t="s">
        <v>21</v>
      </c>
      <c r="I3077" s="10" t="s">
        <v>637</v>
      </c>
      <c r="J3077" s="10" t="str">
        <f>""</f>
        <v/>
      </c>
      <c r="K3077" s="16" t="str">
        <f>"PFES1162564590_0001"</f>
        <v>PFES1162564590_0001</v>
      </c>
      <c r="L3077" s="16">
        <v>1</v>
      </c>
      <c r="M3077" s="16">
        <v>1</v>
      </c>
    </row>
    <row r="3078" spans="1:13">
      <c r="A3078" s="8">
        <v>42941</v>
      </c>
      <c r="B3078" s="9">
        <v>0.51180555555555551</v>
      </c>
      <c r="C3078" s="10" t="str">
        <f>"FES1162564619"</f>
        <v>FES1162564619</v>
      </c>
      <c r="D3078" s="10" t="s">
        <v>19</v>
      </c>
      <c r="E3078" s="10" t="s">
        <v>441</v>
      </c>
      <c r="F3078" s="10" t="str">
        <f>"2170576737 "</f>
        <v xml:space="preserve">2170576737 </v>
      </c>
      <c r="G3078" s="10" t="str">
        <f>"DBC"</f>
        <v>DBC</v>
      </c>
      <c r="H3078" s="10" t="s">
        <v>21</v>
      </c>
      <c r="I3078" s="10" t="s">
        <v>166</v>
      </c>
      <c r="J3078" s="10" t="str">
        <f>""</f>
        <v/>
      </c>
      <c r="K3078" s="16" t="str">
        <f>"PFES1162564619_0001"</f>
        <v>PFES1162564619_0001</v>
      </c>
      <c r="L3078" s="16">
        <v>2</v>
      </c>
      <c r="M3078" s="16">
        <v>72</v>
      </c>
    </row>
    <row r="3079" spans="1:13">
      <c r="A3079" s="8">
        <v>42941</v>
      </c>
      <c r="B3079" s="9">
        <v>0.51180555555555551</v>
      </c>
      <c r="C3079" s="10" t="str">
        <f>"FES1162564619"</f>
        <v>FES1162564619</v>
      </c>
      <c r="D3079" s="10" t="s">
        <v>19</v>
      </c>
      <c r="E3079" s="10" t="s">
        <v>441</v>
      </c>
      <c r="F3079" s="10" t="str">
        <f>"2170576737 "</f>
        <v xml:space="preserve">2170576737 </v>
      </c>
      <c r="G3079" s="10" t="str">
        <f>"DBC"</f>
        <v>DBC</v>
      </c>
      <c r="H3079" s="10" t="s">
        <v>21</v>
      </c>
      <c r="I3079" s="10" t="s">
        <v>166</v>
      </c>
      <c r="J3079" s="10"/>
      <c r="K3079" s="16" t="str">
        <f>"PFES1162564619_0002"</f>
        <v>PFES1162564619_0002</v>
      </c>
      <c r="L3079" s="16">
        <v>2</v>
      </c>
      <c r="M3079" s="16">
        <v>72</v>
      </c>
    </row>
    <row r="3080" spans="1:13">
      <c r="A3080" s="8">
        <v>42941</v>
      </c>
      <c r="B3080" s="9">
        <v>0.50972222222222219</v>
      </c>
      <c r="C3080" s="10" t="str">
        <f>"FES1162564563"</f>
        <v>FES1162564563</v>
      </c>
      <c r="D3080" s="10" t="s">
        <v>19</v>
      </c>
      <c r="E3080" s="10" t="s">
        <v>33</v>
      </c>
      <c r="F3080" s="10" t="str">
        <f>"2170581094 "</f>
        <v xml:space="preserve">2170581094 </v>
      </c>
      <c r="G3080" s="10" t="str">
        <f>"ON1"</f>
        <v>ON1</v>
      </c>
      <c r="H3080" s="10" t="s">
        <v>21</v>
      </c>
      <c r="I3080" s="10" t="s">
        <v>34</v>
      </c>
      <c r="J3080" s="10" t="str">
        <f>""</f>
        <v/>
      </c>
      <c r="K3080" s="16" t="str">
        <f>"PFES1162564563_0001"</f>
        <v>PFES1162564563_0001</v>
      </c>
      <c r="L3080" s="16">
        <v>1</v>
      </c>
      <c r="M3080" s="16">
        <v>1</v>
      </c>
    </row>
    <row r="3081" spans="1:13">
      <c r="A3081" s="8">
        <v>42941</v>
      </c>
      <c r="B3081" s="9">
        <v>0.50624999999999998</v>
      </c>
      <c r="C3081" s="10" t="str">
        <f>"FES1162564537"</f>
        <v>FES1162564537</v>
      </c>
      <c r="D3081" s="10" t="s">
        <v>19</v>
      </c>
      <c r="E3081" s="10" t="s">
        <v>1127</v>
      </c>
      <c r="F3081" s="10" t="str">
        <f>"2170581070 "</f>
        <v xml:space="preserve">2170581070 </v>
      </c>
      <c r="G3081" s="10" t="str">
        <f>"ON1"</f>
        <v>ON1</v>
      </c>
      <c r="H3081" s="10" t="s">
        <v>21</v>
      </c>
      <c r="I3081" s="10" t="s">
        <v>248</v>
      </c>
      <c r="J3081" s="10" t="str">
        <f>""</f>
        <v/>
      </c>
      <c r="K3081" s="16" t="str">
        <f>"PFES1162564537_0001"</f>
        <v>PFES1162564537_0001</v>
      </c>
      <c r="L3081" s="16">
        <v>1</v>
      </c>
      <c r="M3081" s="16">
        <v>4</v>
      </c>
    </row>
    <row r="3082" spans="1:13">
      <c r="A3082" s="8">
        <v>42941</v>
      </c>
      <c r="B3082" s="9">
        <v>0.50277777777777777</v>
      </c>
      <c r="C3082" s="10" t="str">
        <f>"FES1162564600"</f>
        <v>FES1162564600</v>
      </c>
      <c r="D3082" s="10" t="s">
        <v>19</v>
      </c>
      <c r="E3082" s="10" t="s">
        <v>952</v>
      </c>
      <c r="F3082" s="10" t="str">
        <f>"2170581138 "</f>
        <v xml:space="preserve">2170581138 </v>
      </c>
      <c r="G3082" s="10" t="str">
        <f>"ON1"</f>
        <v>ON1</v>
      </c>
      <c r="H3082" s="10" t="s">
        <v>21</v>
      </c>
      <c r="I3082" s="10" t="s">
        <v>364</v>
      </c>
      <c r="J3082" s="10" t="str">
        <f>""</f>
        <v/>
      </c>
      <c r="K3082" s="16" t="str">
        <f>"PFES1162564600_0001"</f>
        <v>PFES1162564600_0001</v>
      </c>
      <c r="L3082" s="16">
        <v>1</v>
      </c>
      <c r="M3082" s="16">
        <v>1</v>
      </c>
    </row>
    <row r="3083" spans="1:13">
      <c r="A3083" s="8">
        <v>42941</v>
      </c>
      <c r="B3083" s="9">
        <v>0.50208333333333333</v>
      </c>
      <c r="C3083" s="10" t="str">
        <f>"FES1162564556"</f>
        <v>FES1162564556</v>
      </c>
      <c r="D3083" s="10" t="s">
        <v>19</v>
      </c>
      <c r="E3083" s="10" t="s">
        <v>173</v>
      </c>
      <c r="F3083" s="10" t="str">
        <f>"2170581088 "</f>
        <v xml:space="preserve">2170581088 </v>
      </c>
      <c r="G3083" s="10" t="str">
        <f>"ON1"</f>
        <v>ON1</v>
      </c>
      <c r="H3083" s="10" t="s">
        <v>21</v>
      </c>
      <c r="I3083" s="10" t="s">
        <v>174</v>
      </c>
      <c r="J3083" s="10" t="str">
        <f>""</f>
        <v/>
      </c>
      <c r="K3083" s="16" t="str">
        <f>"PFES1162564556_0001"</f>
        <v>PFES1162564556_0001</v>
      </c>
      <c r="L3083" s="16">
        <v>1</v>
      </c>
      <c r="M3083" s="16">
        <v>6</v>
      </c>
    </row>
    <row r="3084" spans="1:13">
      <c r="A3084" s="8">
        <v>42941</v>
      </c>
      <c r="B3084" s="9">
        <v>0.49027777777777781</v>
      </c>
      <c r="C3084" s="10" t="str">
        <f>"FES1162564598"</f>
        <v>FES1162564598</v>
      </c>
      <c r="D3084" s="10" t="s">
        <v>19</v>
      </c>
      <c r="E3084" s="10" t="s">
        <v>1128</v>
      </c>
      <c r="F3084" s="10" t="str">
        <f>"2170581135 "</f>
        <v xml:space="preserve">2170581135 </v>
      </c>
      <c r="G3084" s="10" t="str">
        <f>"SDX"</f>
        <v>SDX</v>
      </c>
      <c r="H3084" s="10" t="s">
        <v>21</v>
      </c>
      <c r="I3084" s="10" t="s">
        <v>240</v>
      </c>
      <c r="J3084" s="10" t="str">
        <f>"SDX ASPER TONY"</f>
        <v>SDX ASPER TONY</v>
      </c>
      <c r="K3084" s="16" t="str">
        <f>"PFES1162564598_0001"</f>
        <v>PFES1162564598_0001</v>
      </c>
      <c r="L3084" s="16">
        <v>1</v>
      </c>
      <c r="M3084" s="16">
        <v>1</v>
      </c>
    </row>
    <row r="3085" spans="1:13">
      <c r="A3085" s="8">
        <v>42941</v>
      </c>
      <c r="B3085" s="9">
        <v>0.48680555555555555</v>
      </c>
      <c r="C3085" s="10" t="str">
        <f>"FES1162564594"</f>
        <v>FES1162564594</v>
      </c>
      <c r="D3085" s="10" t="s">
        <v>19</v>
      </c>
      <c r="E3085" s="10" t="s">
        <v>336</v>
      </c>
      <c r="F3085" s="10" t="str">
        <f>"2170581129 "</f>
        <v xml:space="preserve">2170581129 </v>
      </c>
      <c r="G3085" s="10" t="str">
        <f>"SDX"</f>
        <v>SDX</v>
      </c>
      <c r="H3085" s="10" t="s">
        <v>21</v>
      </c>
      <c r="I3085" s="10" t="s">
        <v>337</v>
      </c>
      <c r="J3085" s="10" t="str">
        <f>"SDX AS TONY"</f>
        <v>SDX AS TONY</v>
      </c>
      <c r="K3085" s="16" t="str">
        <f>"PFES1162564594_0001"</f>
        <v>PFES1162564594_0001</v>
      </c>
      <c r="L3085" s="16">
        <v>1</v>
      </c>
      <c r="M3085" s="16">
        <v>9</v>
      </c>
    </row>
    <row r="3086" spans="1:13">
      <c r="A3086" s="8">
        <v>42941</v>
      </c>
      <c r="B3086" s="9">
        <v>0.47638888888888892</v>
      </c>
      <c r="C3086" s="10" t="str">
        <f>"FES1162564426"</f>
        <v>FES1162564426</v>
      </c>
      <c r="D3086" s="10" t="s">
        <v>19</v>
      </c>
      <c r="E3086" s="10" t="s">
        <v>80</v>
      </c>
      <c r="F3086" s="10" t="str">
        <f>"2170580764 "</f>
        <v xml:space="preserve">2170580764 </v>
      </c>
      <c r="G3086" s="10" t="str">
        <f t="shared" ref="G3086:G3149" si="137">"ON1"</f>
        <v>ON1</v>
      </c>
      <c r="H3086" s="10" t="s">
        <v>21</v>
      </c>
      <c r="I3086" s="10" t="s">
        <v>36</v>
      </c>
      <c r="J3086" s="10" t="str">
        <f>""</f>
        <v/>
      </c>
      <c r="K3086" s="16" t="str">
        <f>"PFES1162564426_0001"</f>
        <v>PFES1162564426_0001</v>
      </c>
      <c r="L3086" s="16">
        <v>1</v>
      </c>
      <c r="M3086" s="16">
        <v>6</v>
      </c>
    </row>
    <row r="3087" spans="1:13">
      <c r="A3087" s="8">
        <v>42941</v>
      </c>
      <c r="B3087" s="9">
        <v>0.46458333333333335</v>
      </c>
      <c r="C3087" s="10" t="str">
        <f>"FES1162564476"</f>
        <v>FES1162564476</v>
      </c>
      <c r="D3087" s="10" t="s">
        <v>19</v>
      </c>
      <c r="E3087" s="10" t="s">
        <v>154</v>
      </c>
      <c r="F3087" s="10" t="str">
        <f>"2170570773 "</f>
        <v xml:space="preserve">2170570773 </v>
      </c>
      <c r="G3087" s="10" t="str">
        <f t="shared" si="137"/>
        <v>ON1</v>
      </c>
      <c r="H3087" s="10" t="s">
        <v>21</v>
      </c>
      <c r="I3087" s="10" t="s">
        <v>130</v>
      </c>
      <c r="J3087" s="10" t="str">
        <f>""</f>
        <v/>
      </c>
      <c r="K3087" s="16" t="str">
        <f>"PFES1162564476_0001"</f>
        <v>PFES1162564476_0001</v>
      </c>
      <c r="L3087" s="16">
        <v>1</v>
      </c>
      <c r="M3087" s="16">
        <v>1</v>
      </c>
    </row>
    <row r="3088" spans="1:13">
      <c r="A3088" s="8">
        <v>42941</v>
      </c>
      <c r="B3088" s="9">
        <v>0.46388888888888885</v>
      </c>
      <c r="C3088" s="10" t="str">
        <f>"FES1162564562"</f>
        <v>FES1162564562</v>
      </c>
      <c r="D3088" s="10" t="s">
        <v>19</v>
      </c>
      <c r="E3088" s="10" t="s">
        <v>779</v>
      </c>
      <c r="F3088" s="10" t="str">
        <f>"2170581093 "</f>
        <v xml:space="preserve">2170581093 </v>
      </c>
      <c r="G3088" s="10" t="str">
        <f t="shared" si="137"/>
        <v>ON1</v>
      </c>
      <c r="H3088" s="10" t="s">
        <v>21</v>
      </c>
      <c r="I3088" s="10" t="s">
        <v>780</v>
      </c>
      <c r="J3088" s="10" t="str">
        <f>""</f>
        <v/>
      </c>
      <c r="K3088" s="16" t="str">
        <f>"PFES1162564562_0001"</f>
        <v>PFES1162564562_0001</v>
      </c>
      <c r="L3088" s="16">
        <v>1</v>
      </c>
      <c r="M3088" s="16">
        <v>1</v>
      </c>
    </row>
    <row r="3089" spans="1:13">
      <c r="A3089" s="8">
        <v>42941</v>
      </c>
      <c r="B3089" s="9">
        <v>0.46388888888888885</v>
      </c>
      <c r="C3089" s="10" t="str">
        <f>"FES1162564491"</f>
        <v>FES1162564491</v>
      </c>
      <c r="D3089" s="10" t="s">
        <v>19</v>
      </c>
      <c r="E3089" s="10" t="s">
        <v>550</v>
      </c>
      <c r="F3089" s="10" t="str">
        <f>"217058826 "</f>
        <v xml:space="preserve">217058826 </v>
      </c>
      <c r="G3089" s="10" t="str">
        <f t="shared" si="137"/>
        <v>ON1</v>
      </c>
      <c r="H3089" s="10" t="s">
        <v>21</v>
      </c>
      <c r="I3089" s="10" t="s">
        <v>161</v>
      </c>
      <c r="J3089" s="10" t="str">
        <f>""</f>
        <v/>
      </c>
      <c r="K3089" s="16" t="str">
        <f>"PFES1162564491_0001"</f>
        <v>PFES1162564491_0001</v>
      </c>
      <c r="L3089" s="16">
        <v>1</v>
      </c>
      <c r="M3089" s="16">
        <v>1</v>
      </c>
    </row>
    <row r="3090" spans="1:13">
      <c r="A3090" s="8">
        <v>42941</v>
      </c>
      <c r="B3090" s="9">
        <v>0.46319444444444446</v>
      </c>
      <c r="C3090" s="10" t="str">
        <f>"FES1162564467"</f>
        <v>FES1162564467</v>
      </c>
      <c r="D3090" s="10" t="s">
        <v>19</v>
      </c>
      <c r="E3090" s="10" t="s">
        <v>806</v>
      </c>
      <c r="F3090" s="10" t="str">
        <f>"2170581025 "</f>
        <v xml:space="preserve">2170581025 </v>
      </c>
      <c r="G3090" s="10" t="str">
        <f t="shared" si="137"/>
        <v>ON1</v>
      </c>
      <c r="H3090" s="10" t="s">
        <v>21</v>
      </c>
      <c r="I3090" s="10" t="s">
        <v>130</v>
      </c>
      <c r="J3090" s="10" t="str">
        <f>""</f>
        <v/>
      </c>
      <c r="K3090" s="16" t="str">
        <f>"PFES1162564467_0001"</f>
        <v>PFES1162564467_0001</v>
      </c>
      <c r="L3090" s="16">
        <v>1</v>
      </c>
      <c r="M3090" s="16">
        <v>1</v>
      </c>
    </row>
    <row r="3091" spans="1:13">
      <c r="A3091" s="8">
        <v>42941</v>
      </c>
      <c r="B3091" s="9">
        <v>0.46249999999999997</v>
      </c>
      <c r="C3091" s="10" t="str">
        <f>"FES1162564500"</f>
        <v>FES1162564500</v>
      </c>
      <c r="D3091" s="10" t="s">
        <v>19</v>
      </c>
      <c r="E3091" s="10" t="s">
        <v>1003</v>
      </c>
      <c r="F3091" s="10" t="str">
        <f>"217058006 "</f>
        <v xml:space="preserve">217058006 </v>
      </c>
      <c r="G3091" s="10" t="str">
        <f t="shared" si="137"/>
        <v>ON1</v>
      </c>
      <c r="H3091" s="10" t="s">
        <v>21</v>
      </c>
      <c r="I3091" s="10" t="s">
        <v>130</v>
      </c>
      <c r="J3091" s="10" t="str">
        <f>""</f>
        <v/>
      </c>
      <c r="K3091" s="16" t="str">
        <f>"PFES1162564500_0001"</f>
        <v>PFES1162564500_0001</v>
      </c>
      <c r="L3091" s="16">
        <v>1</v>
      </c>
      <c r="M3091" s="16">
        <v>1</v>
      </c>
    </row>
    <row r="3092" spans="1:13">
      <c r="A3092" s="8">
        <v>42941</v>
      </c>
      <c r="B3092" s="9">
        <v>0.46180555555555558</v>
      </c>
      <c r="C3092" s="10" t="str">
        <f>"FES1162564531"</f>
        <v>FES1162564531</v>
      </c>
      <c r="D3092" s="10" t="s">
        <v>19</v>
      </c>
      <c r="E3092" s="10" t="s">
        <v>25</v>
      </c>
      <c r="F3092" s="10" t="str">
        <f>"2170581062 "</f>
        <v xml:space="preserve">2170581062 </v>
      </c>
      <c r="G3092" s="10" t="str">
        <f t="shared" si="137"/>
        <v>ON1</v>
      </c>
      <c r="H3092" s="10" t="s">
        <v>21</v>
      </c>
      <c r="I3092" s="10" t="s">
        <v>26</v>
      </c>
      <c r="J3092" s="10" t="str">
        <f>""</f>
        <v/>
      </c>
      <c r="K3092" s="16" t="str">
        <f>"PFES1162564531_0001"</f>
        <v>PFES1162564531_0001</v>
      </c>
      <c r="L3092" s="16">
        <v>1</v>
      </c>
      <c r="M3092" s="16">
        <v>1</v>
      </c>
    </row>
    <row r="3093" spans="1:13">
      <c r="A3093" s="8">
        <v>42941</v>
      </c>
      <c r="B3093" s="9">
        <v>0.46180555555555558</v>
      </c>
      <c r="C3093" s="10" t="str">
        <f>"FES1162564494"</f>
        <v>FES1162564494</v>
      </c>
      <c r="D3093" s="10" t="s">
        <v>19</v>
      </c>
      <c r="E3093" s="10" t="s">
        <v>1129</v>
      </c>
      <c r="F3093" s="10" t="str">
        <f>"2170587920 "</f>
        <v xml:space="preserve">2170587920 </v>
      </c>
      <c r="G3093" s="10" t="str">
        <f t="shared" si="137"/>
        <v>ON1</v>
      </c>
      <c r="H3093" s="10" t="s">
        <v>21</v>
      </c>
      <c r="I3093" s="10" t="s">
        <v>400</v>
      </c>
      <c r="J3093" s="10" t="str">
        <f>""</f>
        <v/>
      </c>
      <c r="K3093" s="16" t="str">
        <f>"PFES1162564494_0001"</f>
        <v>PFES1162564494_0001</v>
      </c>
      <c r="L3093" s="16">
        <v>1</v>
      </c>
      <c r="M3093" s="16">
        <v>1</v>
      </c>
    </row>
    <row r="3094" spans="1:13">
      <c r="A3094" s="8">
        <v>42941</v>
      </c>
      <c r="B3094" s="9">
        <v>0.46111111111111108</v>
      </c>
      <c r="C3094" s="10" t="str">
        <f>"FES1162564489"</f>
        <v>FES1162564489</v>
      </c>
      <c r="D3094" s="10" t="s">
        <v>19</v>
      </c>
      <c r="E3094" s="10" t="s">
        <v>1130</v>
      </c>
      <c r="F3094" s="10" t="str">
        <f>"2170587560 "</f>
        <v xml:space="preserve">2170587560 </v>
      </c>
      <c r="G3094" s="10" t="str">
        <f t="shared" si="137"/>
        <v>ON1</v>
      </c>
      <c r="H3094" s="10" t="s">
        <v>21</v>
      </c>
      <c r="I3094" s="10" t="s">
        <v>230</v>
      </c>
      <c r="J3094" s="10" t="str">
        <f>""</f>
        <v/>
      </c>
      <c r="K3094" s="16" t="str">
        <f>"PFES1162564489_0001"</f>
        <v>PFES1162564489_0001</v>
      </c>
      <c r="L3094" s="16">
        <v>1</v>
      </c>
      <c r="M3094" s="16">
        <v>1</v>
      </c>
    </row>
    <row r="3095" spans="1:13">
      <c r="A3095" s="8">
        <v>42941</v>
      </c>
      <c r="B3095" s="9">
        <v>0.46111111111111108</v>
      </c>
      <c r="C3095" s="10" t="str">
        <f>"FES1162564481"</f>
        <v>FES1162564481</v>
      </c>
      <c r="D3095" s="10" t="s">
        <v>19</v>
      </c>
      <c r="E3095" s="10" t="s">
        <v>251</v>
      </c>
      <c r="F3095" s="10" t="str">
        <f>"2170576435 "</f>
        <v xml:space="preserve">2170576435 </v>
      </c>
      <c r="G3095" s="10" t="str">
        <f t="shared" si="137"/>
        <v>ON1</v>
      </c>
      <c r="H3095" s="10" t="s">
        <v>21</v>
      </c>
      <c r="I3095" s="10" t="s">
        <v>627</v>
      </c>
      <c r="J3095" s="10" t="str">
        <f>""</f>
        <v/>
      </c>
      <c r="K3095" s="16" t="str">
        <f>"PFES1162564481_0001"</f>
        <v>PFES1162564481_0001</v>
      </c>
      <c r="L3095" s="16">
        <v>1</v>
      </c>
      <c r="M3095" s="16">
        <v>1</v>
      </c>
    </row>
    <row r="3096" spans="1:13">
      <c r="A3096" s="8">
        <v>42941</v>
      </c>
      <c r="B3096" s="9">
        <v>0.46111111111111108</v>
      </c>
      <c r="C3096" s="10" t="str">
        <f>"FES1162564473"</f>
        <v>FES1162564473</v>
      </c>
      <c r="D3096" s="10" t="s">
        <v>19</v>
      </c>
      <c r="E3096" s="10" t="s">
        <v>646</v>
      </c>
      <c r="F3096" s="10" t="str">
        <f>"2170581053 "</f>
        <v xml:space="preserve">2170581053 </v>
      </c>
      <c r="G3096" s="10" t="str">
        <f t="shared" si="137"/>
        <v>ON1</v>
      </c>
      <c r="H3096" s="10" t="s">
        <v>21</v>
      </c>
      <c r="I3096" s="10" t="s">
        <v>113</v>
      </c>
      <c r="J3096" s="10" t="str">
        <f>""</f>
        <v/>
      </c>
      <c r="K3096" s="16" t="str">
        <f>"PFES1162564473_0001"</f>
        <v>PFES1162564473_0001</v>
      </c>
      <c r="L3096" s="16">
        <v>1</v>
      </c>
      <c r="M3096" s="16">
        <v>1</v>
      </c>
    </row>
    <row r="3097" spans="1:13">
      <c r="A3097" s="8">
        <v>42941</v>
      </c>
      <c r="B3097" s="9">
        <v>0.4604166666666667</v>
      </c>
      <c r="C3097" s="10" t="str">
        <f>"FES1162564528"</f>
        <v>FES1162564528</v>
      </c>
      <c r="D3097" s="10" t="s">
        <v>19</v>
      </c>
      <c r="E3097" s="10" t="s">
        <v>39</v>
      </c>
      <c r="F3097" s="10" t="str">
        <f>"2170581054 "</f>
        <v xml:space="preserve">2170581054 </v>
      </c>
      <c r="G3097" s="10" t="str">
        <f t="shared" si="137"/>
        <v>ON1</v>
      </c>
      <c r="H3097" s="10" t="s">
        <v>21</v>
      </c>
      <c r="I3097" s="10" t="s">
        <v>40</v>
      </c>
      <c r="J3097" s="10" t="str">
        <f>""</f>
        <v/>
      </c>
      <c r="K3097" s="16" t="str">
        <f>"PFES1162564528_0001"</f>
        <v>PFES1162564528_0001</v>
      </c>
      <c r="L3097" s="16">
        <v>1</v>
      </c>
      <c r="M3097" s="16">
        <v>1</v>
      </c>
    </row>
    <row r="3098" spans="1:13">
      <c r="A3098" s="8">
        <v>42941</v>
      </c>
      <c r="B3098" s="9">
        <v>0.4604166666666667</v>
      </c>
      <c r="C3098" s="10" t="str">
        <f>"FES1162564515"</f>
        <v>FES1162564515</v>
      </c>
      <c r="D3098" s="10" t="s">
        <v>19</v>
      </c>
      <c r="E3098" s="10" t="s">
        <v>709</v>
      </c>
      <c r="F3098" s="10" t="str">
        <f>"2170581040 "</f>
        <v xml:space="preserve">2170581040 </v>
      </c>
      <c r="G3098" s="10" t="str">
        <f t="shared" si="137"/>
        <v>ON1</v>
      </c>
      <c r="H3098" s="10" t="s">
        <v>21</v>
      </c>
      <c r="I3098" s="10" t="s">
        <v>224</v>
      </c>
      <c r="J3098" s="10" t="str">
        <f>""</f>
        <v/>
      </c>
      <c r="K3098" s="16" t="str">
        <f>"PFES1162564515_0001"</f>
        <v>PFES1162564515_0001</v>
      </c>
      <c r="L3098" s="16">
        <v>1</v>
      </c>
      <c r="M3098" s="16">
        <v>1</v>
      </c>
    </row>
    <row r="3099" spans="1:13">
      <c r="A3099" s="8">
        <v>42941</v>
      </c>
      <c r="B3099" s="9">
        <v>0.4597222222222222</v>
      </c>
      <c r="C3099" s="10" t="str">
        <f>"FES1162564557"</f>
        <v>FES1162564557</v>
      </c>
      <c r="D3099" s="10" t="s">
        <v>19</v>
      </c>
      <c r="E3099" s="10" t="s">
        <v>39</v>
      </c>
      <c r="F3099" s="10" t="str">
        <f>"2170581809 "</f>
        <v xml:space="preserve">2170581809 </v>
      </c>
      <c r="G3099" s="10" t="str">
        <f t="shared" si="137"/>
        <v>ON1</v>
      </c>
      <c r="H3099" s="10" t="s">
        <v>21</v>
      </c>
      <c r="I3099" s="10" t="s">
        <v>40</v>
      </c>
      <c r="J3099" s="10" t="str">
        <f>""</f>
        <v/>
      </c>
      <c r="K3099" s="16" t="str">
        <f>"PFES1162564557_0001"</f>
        <v>PFES1162564557_0001</v>
      </c>
      <c r="L3099" s="16">
        <v>1</v>
      </c>
      <c r="M3099" s="16">
        <v>1</v>
      </c>
    </row>
    <row r="3100" spans="1:13">
      <c r="A3100" s="8">
        <v>42941</v>
      </c>
      <c r="B3100" s="9">
        <v>0.4597222222222222</v>
      </c>
      <c r="C3100" s="10" t="str">
        <f>"FES1162564498"</f>
        <v>FES1162564498</v>
      </c>
      <c r="D3100" s="10" t="s">
        <v>19</v>
      </c>
      <c r="E3100" s="10" t="s">
        <v>27</v>
      </c>
      <c r="F3100" s="10" t="str">
        <f>"2170579780 "</f>
        <v xml:space="preserve">2170579780 </v>
      </c>
      <c r="G3100" s="10" t="str">
        <f t="shared" si="137"/>
        <v>ON1</v>
      </c>
      <c r="H3100" s="10" t="s">
        <v>21</v>
      </c>
      <c r="I3100" s="10" t="s">
        <v>28</v>
      </c>
      <c r="J3100" s="10" t="str">
        <f>""</f>
        <v/>
      </c>
      <c r="K3100" s="16" t="str">
        <f>"PFES1162564498_0001"</f>
        <v>PFES1162564498_0001</v>
      </c>
      <c r="L3100" s="16">
        <v>1</v>
      </c>
      <c r="M3100" s="16">
        <v>1</v>
      </c>
    </row>
    <row r="3101" spans="1:13">
      <c r="A3101" s="8">
        <v>42941</v>
      </c>
      <c r="B3101" s="9">
        <v>0.4597222222222222</v>
      </c>
      <c r="C3101" s="10" t="str">
        <f>"FES1162564490"</f>
        <v>FES1162564490</v>
      </c>
      <c r="D3101" s="10" t="s">
        <v>19</v>
      </c>
      <c r="E3101" s="10" t="s">
        <v>1131</v>
      </c>
      <c r="F3101" s="10" t="str">
        <f>"2170578760 "</f>
        <v xml:space="preserve">2170578760 </v>
      </c>
      <c r="G3101" s="10" t="str">
        <f t="shared" si="137"/>
        <v>ON1</v>
      </c>
      <c r="H3101" s="10" t="s">
        <v>21</v>
      </c>
      <c r="I3101" s="10" t="s">
        <v>398</v>
      </c>
      <c r="J3101" s="10" t="str">
        <f>""</f>
        <v/>
      </c>
      <c r="K3101" s="16" t="str">
        <f>"PFES1162564490_0001"</f>
        <v>PFES1162564490_0001</v>
      </c>
      <c r="L3101" s="16">
        <v>1</v>
      </c>
      <c r="M3101" s="16">
        <v>1</v>
      </c>
    </row>
    <row r="3102" spans="1:13">
      <c r="A3102" s="8">
        <v>42941</v>
      </c>
      <c r="B3102" s="9">
        <v>0.45902777777777781</v>
      </c>
      <c r="C3102" s="10" t="str">
        <f>"FES1162564495"</f>
        <v>FES1162564495</v>
      </c>
      <c r="D3102" s="10" t="s">
        <v>19</v>
      </c>
      <c r="E3102" s="10" t="s">
        <v>129</v>
      </c>
      <c r="F3102" s="10" t="str">
        <f>"2170579101 "</f>
        <v xml:space="preserve">2170579101 </v>
      </c>
      <c r="G3102" s="10" t="str">
        <f t="shared" si="137"/>
        <v>ON1</v>
      </c>
      <c r="H3102" s="10" t="s">
        <v>21</v>
      </c>
      <c r="I3102" s="10" t="s">
        <v>130</v>
      </c>
      <c r="J3102" s="10" t="str">
        <f>""</f>
        <v/>
      </c>
      <c r="K3102" s="16" t="str">
        <f>"PFES1162564495_0001"</f>
        <v>PFES1162564495_0001</v>
      </c>
      <c r="L3102" s="16">
        <v>1</v>
      </c>
      <c r="M3102" s="16">
        <v>1</v>
      </c>
    </row>
    <row r="3103" spans="1:13">
      <c r="A3103" s="8">
        <v>42941</v>
      </c>
      <c r="B3103" s="9">
        <v>0.45902777777777781</v>
      </c>
      <c r="C3103" s="10" t="str">
        <f>"FES1162564566"</f>
        <v>FES1162564566</v>
      </c>
      <c r="D3103" s="10" t="s">
        <v>19</v>
      </c>
      <c r="E3103" s="10" t="s">
        <v>1132</v>
      </c>
      <c r="F3103" s="10" t="str">
        <f>"217058110 "</f>
        <v xml:space="preserve">217058110 </v>
      </c>
      <c r="G3103" s="10" t="str">
        <f t="shared" si="137"/>
        <v>ON1</v>
      </c>
      <c r="H3103" s="10" t="s">
        <v>21</v>
      </c>
      <c r="I3103" s="10" t="s">
        <v>179</v>
      </c>
      <c r="J3103" s="10" t="str">
        <f>""</f>
        <v/>
      </c>
      <c r="K3103" s="16" t="str">
        <f>"PFES1162564566_0001"</f>
        <v>PFES1162564566_0001</v>
      </c>
      <c r="L3103" s="16">
        <v>1</v>
      </c>
      <c r="M3103" s="16">
        <v>2</v>
      </c>
    </row>
    <row r="3104" spans="1:13">
      <c r="A3104" s="8">
        <v>42941</v>
      </c>
      <c r="B3104" s="9">
        <v>0.45902777777777781</v>
      </c>
      <c r="C3104" s="10" t="str">
        <f>"FES1162564505"</f>
        <v>FES1162564505</v>
      </c>
      <c r="D3104" s="10" t="s">
        <v>19</v>
      </c>
      <c r="E3104" s="10" t="s">
        <v>487</v>
      </c>
      <c r="F3104" s="10" t="str">
        <f>"2170580559 "</f>
        <v xml:space="preserve">2170580559 </v>
      </c>
      <c r="G3104" s="10" t="str">
        <f t="shared" si="137"/>
        <v>ON1</v>
      </c>
      <c r="H3104" s="10" t="s">
        <v>21</v>
      </c>
      <c r="I3104" s="10" t="s">
        <v>313</v>
      </c>
      <c r="J3104" s="10" t="str">
        <f>""</f>
        <v/>
      </c>
      <c r="K3104" s="16" t="str">
        <f>"PFES1162564505_0001"</f>
        <v>PFES1162564505_0001</v>
      </c>
      <c r="L3104" s="16">
        <v>1</v>
      </c>
      <c r="M3104" s="16">
        <v>1</v>
      </c>
    </row>
    <row r="3105" spans="1:13">
      <c r="A3105" s="8">
        <v>42941</v>
      </c>
      <c r="B3105" s="9">
        <v>0.45902777777777781</v>
      </c>
      <c r="C3105" s="10" t="str">
        <f>"FES1162564475"</f>
        <v>FES1162564475</v>
      </c>
      <c r="D3105" s="10" t="s">
        <v>19</v>
      </c>
      <c r="E3105" s="10" t="s">
        <v>1133</v>
      </c>
      <c r="F3105" s="10" t="str">
        <f>"2170568738 "</f>
        <v xml:space="preserve">2170568738 </v>
      </c>
      <c r="G3105" s="10" t="str">
        <f t="shared" si="137"/>
        <v>ON1</v>
      </c>
      <c r="H3105" s="10" t="s">
        <v>21</v>
      </c>
      <c r="I3105" s="10" t="s">
        <v>915</v>
      </c>
      <c r="J3105" s="10" t="str">
        <f>""</f>
        <v/>
      </c>
      <c r="K3105" s="16" t="str">
        <f>"PFES1162564475_0001"</f>
        <v>PFES1162564475_0001</v>
      </c>
      <c r="L3105" s="16">
        <v>1</v>
      </c>
      <c r="M3105" s="16">
        <v>1</v>
      </c>
    </row>
    <row r="3106" spans="1:13">
      <c r="A3106" s="8">
        <v>42941</v>
      </c>
      <c r="B3106" s="9">
        <v>0.45833333333333331</v>
      </c>
      <c r="C3106" s="10" t="str">
        <f>"FES1162564516"</f>
        <v>FES1162564516</v>
      </c>
      <c r="D3106" s="10" t="s">
        <v>19</v>
      </c>
      <c r="E3106" s="10" t="s">
        <v>1134</v>
      </c>
      <c r="F3106" s="10" t="str">
        <f>"2170581042 "</f>
        <v xml:space="preserve">2170581042 </v>
      </c>
      <c r="G3106" s="10" t="str">
        <f t="shared" si="137"/>
        <v>ON1</v>
      </c>
      <c r="H3106" s="10" t="s">
        <v>21</v>
      </c>
      <c r="I3106" s="10" t="s">
        <v>424</v>
      </c>
      <c r="J3106" s="10" t="str">
        <f>""</f>
        <v/>
      </c>
      <c r="K3106" s="16" t="str">
        <f>"PFES1162564516_0001"</f>
        <v>PFES1162564516_0001</v>
      </c>
      <c r="L3106" s="16">
        <v>1</v>
      </c>
      <c r="M3106" s="16">
        <v>1</v>
      </c>
    </row>
    <row r="3107" spans="1:13">
      <c r="A3107" s="8">
        <v>42941</v>
      </c>
      <c r="B3107" s="9">
        <v>0.45833333333333331</v>
      </c>
      <c r="C3107" s="10" t="str">
        <f>"FES1162564469"</f>
        <v>FES1162564469</v>
      </c>
      <c r="D3107" s="10" t="s">
        <v>19</v>
      </c>
      <c r="E3107" s="10" t="s">
        <v>345</v>
      </c>
      <c r="F3107" s="10" t="str">
        <f>"2170581030 "</f>
        <v xml:space="preserve">2170581030 </v>
      </c>
      <c r="G3107" s="10" t="str">
        <f t="shared" si="137"/>
        <v>ON1</v>
      </c>
      <c r="H3107" s="10" t="s">
        <v>21</v>
      </c>
      <c r="I3107" s="10" t="s">
        <v>119</v>
      </c>
      <c r="J3107" s="10" t="str">
        <f>""</f>
        <v/>
      </c>
      <c r="K3107" s="16" t="str">
        <f>"PFES1162564469_0001"</f>
        <v>PFES1162564469_0001</v>
      </c>
      <c r="L3107" s="16">
        <v>1</v>
      </c>
      <c r="M3107" s="16">
        <v>1</v>
      </c>
    </row>
    <row r="3108" spans="1:13">
      <c r="A3108" s="8">
        <v>42941</v>
      </c>
      <c r="B3108" s="9">
        <v>0.45763888888888887</v>
      </c>
      <c r="C3108" s="10" t="str">
        <f>"FES1162564503"</f>
        <v>FES1162564503</v>
      </c>
      <c r="D3108" s="10" t="s">
        <v>19</v>
      </c>
      <c r="E3108" s="10" t="s">
        <v>80</v>
      </c>
      <c r="F3108" s="10" t="str">
        <f>"2170580518 "</f>
        <v xml:space="preserve">2170580518 </v>
      </c>
      <c r="G3108" s="10" t="str">
        <f t="shared" si="137"/>
        <v>ON1</v>
      </c>
      <c r="H3108" s="10" t="s">
        <v>21</v>
      </c>
      <c r="I3108" s="10" t="s">
        <v>36</v>
      </c>
      <c r="J3108" s="10" t="str">
        <f>""</f>
        <v/>
      </c>
      <c r="K3108" s="16" t="str">
        <f>"PFES1162564503_0001"</f>
        <v>PFES1162564503_0001</v>
      </c>
      <c r="L3108" s="16">
        <v>1</v>
      </c>
      <c r="M3108" s="16">
        <v>1</v>
      </c>
    </row>
    <row r="3109" spans="1:13">
      <c r="A3109" s="8">
        <v>42941</v>
      </c>
      <c r="B3109" s="9">
        <v>0.45763888888888887</v>
      </c>
      <c r="C3109" s="10" t="str">
        <f>"FES1162564524"</f>
        <v>FES1162564524</v>
      </c>
      <c r="D3109" s="10" t="s">
        <v>19</v>
      </c>
      <c r="E3109" s="10" t="s">
        <v>299</v>
      </c>
      <c r="F3109" s="10" t="str">
        <f>"2170581051 "</f>
        <v xml:space="preserve">2170581051 </v>
      </c>
      <c r="G3109" s="10" t="str">
        <f t="shared" si="137"/>
        <v>ON1</v>
      </c>
      <c r="H3109" s="10" t="s">
        <v>21</v>
      </c>
      <c r="I3109" s="10" t="s">
        <v>183</v>
      </c>
      <c r="J3109" s="10" t="str">
        <f>""</f>
        <v/>
      </c>
      <c r="K3109" s="16" t="str">
        <f>"PFES1162564524_0001"</f>
        <v>PFES1162564524_0001</v>
      </c>
      <c r="L3109" s="16">
        <v>1</v>
      </c>
      <c r="M3109" s="16">
        <v>1</v>
      </c>
    </row>
    <row r="3110" spans="1:13">
      <c r="A3110" s="8">
        <v>42941</v>
      </c>
      <c r="B3110" s="9">
        <v>0.45763888888888887</v>
      </c>
      <c r="C3110" s="10" t="str">
        <f>"FES1162564506"</f>
        <v>FES1162564506</v>
      </c>
      <c r="D3110" s="10" t="s">
        <v>19</v>
      </c>
      <c r="E3110" s="10" t="s">
        <v>180</v>
      </c>
      <c r="F3110" s="10" t="str">
        <f>"2170580604 "</f>
        <v xml:space="preserve">2170580604 </v>
      </c>
      <c r="G3110" s="10" t="str">
        <f t="shared" si="137"/>
        <v>ON1</v>
      </c>
      <c r="H3110" s="10" t="s">
        <v>21</v>
      </c>
      <c r="I3110" s="10" t="s">
        <v>168</v>
      </c>
      <c r="J3110" s="10" t="str">
        <f>""</f>
        <v/>
      </c>
      <c r="K3110" s="16" t="str">
        <f>"PFES1162564506_0001"</f>
        <v>PFES1162564506_0001</v>
      </c>
      <c r="L3110" s="16">
        <v>1</v>
      </c>
      <c r="M3110" s="16">
        <v>1</v>
      </c>
    </row>
    <row r="3111" spans="1:13">
      <c r="A3111" s="8">
        <v>42941</v>
      </c>
      <c r="B3111" s="9">
        <v>0.45694444444444443</v>
      </c>
      <c r="C3111" s="10" t="str">
        <f>"FES1162564527"</f>
        <v>FES1162564527</v>
      </c>
      <c r="D3111" s="10" t="s">
        <v>19</v>
      </c>
      <c r="E3111" s="10" t="s">
        <v>333</v>
      </c>
      <c r="F3111" s="10" t="str">
        <f>"2170581053 "</f>
        <v xml:space="preserve">2170581053 </v>
      </c>
      <c r="G3111" s="10" t="str">
        <f t="shared" si="137"/>
        <v>ON1</v>
      </c>
      <c r="H3111" s="10" t="s">
        <v>21</v>
      </c>
      <c r="I3111" s="10" t="s">
        <v>334</v>
      </c>
      <c r="J3111" s="10" t="str">
        <f>""</f>
        <v/>
      </c>
      <c r="K3111" s="16" t="str">
        <f>"PFES1162564527_0001"</f>
        <v>PFES1162564527_0001</v>
      </c>
      <c r="L3111" s="16">
        <v>1</v>
      </c>
      <c r="M3111" s="16">
        <v>1</v>
      </c>
    </row>
    <row r="3112" spans="1:13">
      <c r="A3112" s="8">
        <v>42941</v>
      </c>
      <c r="B3112" s="9">
        <v>0.45694444444444443</v>
      </c>
      <c r="C3112" s="10" t="str">
        <f>"FES1162564533"</f>
        <v>FES1162564533</v>
      </c>
      <c r="D3112" s="10" t="s">
        <v>19</v>
      </c>
      <c r="E3112" s="10" t="s">
        <v>99</v>
      </c>
      <c r="F3112" s="10" t="str">
        <f>"2170581065 "</f>
        <v xml:space="preserve">2170581065 </v>
      </c>
      <c r="G3112" s="10" t="str">
        <f t="shared" si="137"/>
        <v>ON1</v>
      </c>
      <c r="H3112" s="10" t="s">
        <v>21</v>
      </c>
      <c r="I3112" s="10" t="s">
        <v>100</v>
      </c>
      <c r="J3112" s="10" t="str">
        <f>""</f>
        <v/>
      </c>
      <c r="K3112" s="16" t="str">
        <f>"PFES1162564533_0001"</f>
        <v>PFES1162564533_0001</v>
      </c>
      <c r="L3112" s="16">
        <v>1</v>
      </c>
      <c r="M3112" s="16">
        <v>1</v>
      </c>
    </row>
    <row r="3113" spans="1:13">
      <c r="A3113" s="8">
        <v>42941</v>
      </c>
      <c r="B3113" s="9">
        <v>0.45694444444444443</v>
      </c>
      <c r="C3113" s="10" t="str">
        <f>"FES1162564471"</f>
        <v>FES1162564471</v>
      </c>
      <c r="D3113" s="10" t="s">
        <v>19</v>
      </c>
      <c r="E3113" s="10" t="s">
        <v>49</v>
      </c>
      <c r="F3113" s="10" t="str">
        <f>"2170581032 "</f>
        <v xml:space="preserve">2170581032 </v>
      </c>
      <c r="G3113" s="10" t="str">
        <f t="shared" si="137"/>
        <v>ON1</v>
      </c>
      <c r="H3113" s="10" t="s">
        <v>21</v>
      </c>
      <c r="I3113" s="10" t="s">
        <v>50</v>
      </c>
      <c r="J3113" s="10" t="str">
        <f>""</f>
        <v/>
      </c>
      <c r="K3113" s="16" t="str">
        <f>"PFES1162564471_0001"</f>
        <v>PFES1162564471_0001</v>
      </c>
      <c r="L3113" s="16">
        <v>1</v>
      </c>
      <c r="M3113" s="16">
        <v>1</v>
      </c>
    </row>
    <row r="3114" spans="1:13">
      <c r="A3114" s="8">
        <v>42941</v>
      </c>
      <c r="B3114" s="9">
        <v>0.45624999999999999</v>
      </c>
      <c r="C3114" s="10" t="str">
        <f>"FES1162564502"</f>
        <v>FES1162564502</v>
      </c>
      <c r="D3114" s="10" t="s">
        <v>19</v>
      </c>
      <c r="E3114" s="10" t="s">
        <v>288</v>
      </c>
      <c r="F3114" s="10" t="str">
        <f>"2170580517 "</f>
        <v xml:space="preserve">2170580517 </v>
      </c>
      <c r="G3114" s="10" t="str">
        <f t="shared" si="137"/>
        <v>ON1</v>
      </c>
      <c r="H3114" s="10" t="s">
        <v>21</v>
      </c>
      <c r="I3114" s="10" t="s">
        <v>300</v>
      </c>
      <c r="J3114" s="10" t="str">
        <f>""</f>
        <v/>
      </c>
      <c r="K3114" s="16" t="str">
        <f>"PFES1162564502_0001"</f>
        <v>PFES1162564502_0001</v>
      </c>
      <c r="L3114" s="16">
        <v>1</v>
      </c>
      <c r="M3114" s="16">
        <v>1</v>
      </c>
    </row>
    <row r="3115" spans="1:13">
      <c r="A3115" s="8">
        <v>42941</v>
      </c>
      <c r="B3115" s="9">
        <v>0.45624999999999999</v>
      </c>
      <c r="C3115" s="10" t="str">
        <f>"FES1162564510"</f>
        <v>FES1162564510</v>
      </c>
      <c r="D3115" s="10" t="s">
        <v>19</v>
      </c>
      <c r="E3115" s="10" t="s">
        <v>763</v>
      </c>
      <c r="F3115" s="10" t="str">
        <f>"2170580823 "</f>
        <v xml:space="preserve">2170580823 </v>
      </c>
      <c r="G3115" s="10" t="str">
        <f t="shared" si="137"/>
        <v>ON1</v>
      </c>
      <c r="H3115" s="10" t="s">
        <v>21</v>
      </c>
      <c r="I3115" s="10" t="s">
        <v>764</v>
      </c>
      <c r="J3115" s="10" t="str">
        <f>""</f>
        <v/>
      </c>
      <c r="K3115" s="16" t="str">
        <f>"PFES1162564510_0001"</f>
        <v>PFES1162564510_0001</v>
      </c>
      <c r="L3115" s="16">
        <v>1</v>
      </c>
      <c r="M3115" s="16">
        <v>1</v>
      </c>
    </row>
    <row r="3116" spans="1:13">
      <c r="A3116" s="8">
        <v>42941</v>
      </c>
      <c r="B3116" s="9">
        <v>0.45624999999999999</v>
      </c>
      <c r="C3116" s="10" t="str">
        <f>"FES1162564486"</f>
        <v>FES1162564486</v>
      </c>
      <c r="D3116" s="10" t="s">
        <v>19</v>
      </c>
      <c r="E3116" s="10" t="s">
        <v>466</v>
      </c>
      <c r="F3116" s="10" t="str">
        <f>"217057849 "</f>
        <v xml:space="preserve">217057849 </v>
      </c>
      <c r="G3116" s="10" t="str">
        <f t="shared" si="137"/>
        <v>ON1</v>
      </c>
      <c r="H3116" s="10" t="s">
        <v>21</v>
      </c>
      <c r="I3116" s="10" t="s">
        <v>467</v>
      </c>
      <c r="J3116" s="10" t="str">
        <f>""</f>
        <v/>
      </c>
      <c r="K3116" s="16" t="str">
        <f>"PFES1162564486_0001"</f>
        <v>PFES1162564486_0001</v>
      </c>
      <c r="L3116" s="16">
        <v>1</v>
      </c>
      <c r="M3116" s="16">
        <v>1</v>
      </c>
    </row>
    <row r="3117" spans="1:13">
      <c r="A3117" s="8">
        <v>42941</v>
      </c>
      <c r="B3117" s="9">
        <v>0.45555555555555555</v>
      </c>
      <c r="C3117" s="10" t="str">
        <f>"FES1162564482"</f>
        <v>FES1162564482</v>
      </c>
      <c r="D3117" s="10" t="s">
        <v>19</v>
      </c>
      <c r="E3117" s="10" t="s">
        <v>396</v>
      </c>
      <c r="F3117" s="10" t="str">
        <f>"2170576461 "</f>
        <v xml:space="preserve">2170576461 </v>
      </c>
      <c r="G3117" s="10" t="str">
        <f t="shared" si="137"/>
        <v>ON1</v>
      </c>
      <c r="H3117" s="10" t="s">
        <v>21</v>
      </c>
      <c r="I3117" s="10" t="s">
        <v>340</v>
      </c>
      <c r="J3117" s="10" t="str">
        <f>""</f>
        <v/>
      </c>
      <c r="K3117" s="16" t="str">
        <f>"PFES1162564482_0001"</f>
        <v>PFES1162564482_0001</v>
      </c>
      <c r="L3117" s="16">
        <v>1</v>
      </c>
      <c r="M3117" s="16">
        <v>1</v>
      </c>
    </row>
    <row r="3118" spans="1:13">
      <c r="A3118" s="8">
        <v>42941</v>
      </c>
      <c r="B3118" s="9">
        <v>0.45555555555555555</v>
      </c>
      <c r="C3118" s="10" t="str">
        <f>"FES1162564534"</f>
        <v>FES1162564534</v>
      </c>
      <c r="D3118" s="10" t="s">
        <v>19</v>
      </c>
      <c r="E3118" s="10" t="s">
        <v>99</v>
      </c>
      <c r="F3118" s="10" t="str">
        <f>"2170581066 "</f>
        <v xml:space="preserve">2170581066 </v>
      </c>
      <c r="G3118" s="10" t="str">
        <f t="shared" si="137"/>
        <v>ON1</v>
      </c>
      <c r="H3118" s="10" t="s">
        <v>21</v>
      </c>
      <c r="I3118" s="10" t="s">
        <v>100</v>
      </c>
      <c r="J3118" s="10" t="str">
        <f>""</f>
        <v/>
      </c>
      <c r="K3118" s="16" t="str">
        <f>"PFES1162564534_0001"</f>
        <v>PFES1162564534_0001</v>
      </c>
      <c r="L3118" s="16">
        <v>1</v>
      </c>
      <c r="M3118" s="16">
        <v>1</v>
      </c>
    </row>
    <row r="3119" spans="1:13">
      <c r="A3119" s="8">
        <v>42941</v>
      </c>
      <c r="B3119" s="9">
        <v>0.45555555555555555</v>
      </c>
      <c r="C3119" s="10" t="str">
        <f>"FES1162564544"</f>
        <v>FES1162564544</v>
      </c>
      <c r="D3119" s="10" t="s">
        <v>19</v>
      </c>
      <c r="E3119" s="10" t="s">
        <v>295</v>
      </c>
      <c r="F3119" s="10" t="str">
        <f>"2170581078 "</f>
        <v xml:space="preserve">2170581078 </v>
      </c>
      <c r="G3119" s="10" t="str">
        <f t="shared" si="137"/>
        <v>ON1</v>
      </c>
      <c r="H3119" s="10" t="s">
        <v>21</v>
      </c>
      <c r="I3119" s="10" t="s">
        <v>179</v>
      </c>
      <c r="J3119" s="10" t="str">
        <f>""</f>
        <v/>
      </c>
      <c r="K3119" s="16" t="str">
        <f>"PFES1162564544_0001"</f>
        <v>PFES1162564544_0001</v>
      </c>
      <c r="L3119" s="16">
        <v>1</v>
      </c>
      <c r="M3119" s="16">
        <v>2</v>
      </c>
    </row>
    <row r="3120" spans="1:13">
      <c r="A3120" s="8">
        <v>42941</v>
      </c>
      <c r="B3120" s="9">
        <v>0.4548611111111111</v>
      </c>
      <c r="C3120" s="10" t="str">
        <f>"FES1162564548"</f>
        <v>FES1162564548</v>
      </c>
      <c r="D3120" s="10" t="s">
        <v>19</v>
      </c>
      <c r="E3120" s="10" t="s">
        <v>295</v>
      </c>
      <c r="F3120" s="10" t="str">
        <f>"2170581082 "</f>
        <v xml:space="preserve">2170581082 </v>
      </c>
      <c r="G3120" s="10" t="str">
        <f t="shared" si="137"/>
        <v>ON1</v>
      </c>
      <c r="H3120" s="10" t="s">
        <v>21</v>
      </c>
      <c r="I3120" s="10" t="s">
        <v>179</v>
      </c>
      <c r="J3120" s="10" t="str">
        <f>""</f>
        <v/>
      </c>
      <c r="K3120" s="16" t="str">
        <f>"PFES1162564548_0001"</f>
        <v>PFES1162564548_0001</v>
      </c>
      <c r="L3120" s="16">
        <v>1</v>
      </c>
      <c r="M3120" s="16">
        <v>7</v>
      </c>
    </row>
    <row r="3121" spans="1:13">
      <c r="A3121" s="8">
        <v>42941</v>
      </c>
      <c r="B3121" s="9">
        <v>0.4548611111111111</v>
      </c>
      <c r="C3121" s="10" t="str">
        <f>"FES1162564511"</f>
        <v>FES1162564511</v>
      </c>
      <c r="D3121" s="10" t="s">
        <v>19</v>
      </c>
      <c r="E3121" s="10" t="s">
        <v>763</v>
      </c>
      <c r="F3121" s="10" t="str">
        <f>"2170580825 "</f>
        <v xml:space="preserve">2170580825 </v>
      </c>
      <c r="G3121" s="10" t="str">
        <f t="shared" si="137"/>
        <v>ON1</v>
      </c>
      <c r="H3121" s="10" t="s">
        <v>21</v>
      </c>
      <c r="I3121" s="10" t="s">
        <v>764</v>
      </c>
      <c r="J3121" s="10" t="str">
        <f>""</f>
        <v/>
      </c>
      <c r="K3121" s="16" t="str">
        <f>"PFES1162564511_0001"</f>
        <v>PFES1162564511_0001</v>
      </c>
      <c r="L3121" s="16">
        <v>1</v>
      </c>
      <c r="M3121" s="16">
        <v>1</v>
      </c>
    </row>
    <row r="3122" spans="1:13">
      <c r="A3122" s="8">
        <v>42941</v>
      </c>
      <c r="B3122" s="9">
        <v>0.4548611111111111</v>
      </c>
      <c r="C3122" s="10" t="str">
        <f>"FES1162564578"</f>
        <v>FES1162564578</v>
      </c>
      <c r="D3122" s="10" t="s">
        <v>19</v>
      </c>
      <c r="E3122" s="10" t="s">
        <v>253</v>
      </c>
      <c r="F3122" s="10" t="str">
        <f>"2170581111 "</f>
        <v xml:space="preserve">2170581111 </v>
      </c>
      <c r="G3122" s="10" t="str">
        <f t="shared" si="137"/>
        <v>ON1</v>
      </c>
      <c r="H3122" s="10" t="s">
        <v>21</v>
      </c>
      <c r="I3122" s="10" t="s">
        <v>254</v>
      </c>
      <c r="J3122" s="10" t="str">
        <f>""</f>
        <v/>
      </c>
      <c r="K3122" s="16" t="str">
        <f>"PFES1162564578_0001"</f>
        <v>PFES1162564578_0001</v>
      </c>
      <c r="L3122" s="16">
        <v>1</v>
      </c>
      <c r="M3122" s="16">
        <v>13</v>
      </c>
    </row>
    <row r="3123" spans="1:13">
      <c r="A3123" s="8">
        <v>42941</v>
      </c>
      <c r="B3123" s="9">
        <v>0.4548611111111111</v>
      </c>
      <c r="C3123" s="10" t="str">
        <f>"FES1162564539"</f>
        <v>FES1162564539</v>
      </c>
      <c r="D3123" s="10" t="s">
        <v>19</v>
      </c>
      <c r="E3123" s="10" t="s">
        <v>837</v>
      </c>
      <c r="F3123" s="10" t="str">
        <f>"2170581072 "</f>
        <v xml:space="preserve">2170581072 </v>
      </c>
      <c r="G3123" s="10" t="str">
        <f t="shared" si="137"/>
        <v>ON1</v>
      </c>
      <c r="H3123" s="10" t="s">
        <v>21</v>
      </c>
      <c r="I3123" s="10" t="s">
        <v>196</v>
      </c>
      <c r="J3123" s="10" t="str">
        <f>""</f>
        <v/>
      </c>
      <c r="K3123" s="16" t="str">
        <f>"PFES1162564539_0001"</f>
        <v>PFES1162564539_0001</v>
      </c>
      <c r="L3123" s="16">
        <v>1</v>
      </c>
      <c r="M3123" s="16">
        <v>1</v>
      </c>
    </row>
    <row r="3124" spans="1:13">
      <c r="A3124" s="8">
        <v>42941</v>
      </c>
      <c r="B3124" s="9">
        <v>0.45416666666666666</v>
      </c>
      <c r="C3124" s="10" t="str">
        <f>"FES1162564529"</f>
        <v>FES1162564529</v>
      </c>
      <c r="D3124" s="10" t="s">
        <v>19</v>
      </c>
      <c r="E3124" s="10" t="s">
        <v>1135</v>
      </c>
      <c r="F3124" s="10" t="str">
        <f>"2170580875 "</f>
        <v xml:space="preserve">2170580875 </v>
      </c>
      <c r="G3124" s="10" t="str">
        <f t="shared" si="137"/>
        <v>ON1</v>
      </c>
      <c r="H3124" s="10" t="s">
        <v>21</v>
      </c>
      <c r="I3124" s="10" t="s">
        <v>1136</v>
      </c>
      <c r="J3124" s="10" t="str">
        <f>""</f>
        <v/>
      </c>
      <c r="K3124" s="16" t="str">
        <f>"PFES1162564529_0001"</f>
        <v>PFES1162564529_0001</v>
      </c>
      <c r="L3124" s="16">
        <v>1</v>
      </c>
      <c r="M3124" s="16">
        <v>6</v>
      </c>
    </row>
    <row r="3125" spans="1:13">
      <c r="A3125" s="8">
        <v>42941</v>
      </c>
      <c r="B3125" s="9">
        <v>0.45416666666666666</v>
      </c>
      <c r="C3125" s="10" t="str">
        <f>"FES1162564504"</f>
        <v>FES1162564504</v>
      </c>
      <c r="D3125" s="10" t="s">
        <v>19</v>
      </c>
      <c r="E3125" s="10" t="s">
        <v>99</v>
      </c>
      <c r="F3125" s="10" t="str">
        <f>"2170580535 "</f>
        <v xml:space="preserve">2170580535 </v>
      </c>
      <c r="G3125" s="10" t="str">
        <f t="shared" si="137"/>
        <v>ON1</v>
      </c>
      <c r="H3125" s="10" t="s">
        <v>21</v>
      </c>
      <c r="I3125" s="10" t="s">
        <v>100</v>
      </c>
      <c r="J3125" s="10" t="str">
        <f>""</f>
        <v/>
      </c>
      <c r="K3125" s="16" t="str">
        <f>"PFES1162564504_0001"</f>
        <v>PFES1162564504_0001</v>
      </c>
      <c r="L3125" s="16">
        <v>1</v>
      </c>
      <c r="M3125" s="16">
        <v>1</v>
      </c>
    </row>
    <row r="3126" spans="1:13">
      <c r="A3126" s="8">
        <v>42941</v>
      </c>
      <c r="B3126" s="9">
        <v>0.45277777777777778</v>
      </c>
      <c r="C3126" s="10" t="str">
        <f>"FES1162564477"</f>
        <v>FES1162564477</v>
      </c>
      <c r="D3126" s="10" t="s">
        <v>19</v>
      </c>
      <c r="E3126" s="10" t="s">
        <v>184</v>
      </c>
      <c r="F3126" s="10" t="str">
        <f>"2170573418 "</f>
        <v xml:space="preserve">2170573418 </v>
      </c>
      <c r="G3126" s="10" t="str">
        <f t="shared" si="137"/>
        <v>ON1</v>
      </c>
      <c r="H3126" s="10" t="s">
        <v>21</v>
      </c>
      <c r="I3126" s="10" t="s">
        <v>185</v>
      </c>
      <c r="J3126" s="10" t="str">
        <f>""</f>
        <v/>
      </c>
      <c r="K3126" s="16" t="str">
        <f>"PFES1162564477_0001"</f>
        <v>PFES1162564477_0001</v>
      </c>
      <c r="L3126" s="16">
        <v>1</v>
      </c>
      <c r="M3126" s="16">
        <v>7</v>
      </c>
    </row>
    <row r="3127" spans="1:13">
      <c r="A3127" s="8">
        <v>42941</v>
      </c>
      <c r="B3127" s="9">
        <v>0.45277777777777778</v>
      </c>
      <c r="C3127" s="10" t="str">
        <f>"FES1162564570"</f>
        <v>FES1162564570</v>
      </c>
      <c r="D3127" s="10" t="s">
        <v>19</v>
      </c>
      <c r="E3127" s="10" t="s">
        <v>535</v>
      </c>
      <c r="F3127" s="10" t="str">
        <f>"2170581101 "</f>
        <v xml:space="preserve">2170581101 </v>
      </c>
      <c r="G3127" s="10" t="str">
        <f t="shared" si="137"/>
        <v>ON1</v>
      </c>
      <c r="H3127" s="10" t="s">
        <v>21</v>
      </c>
      <c r="I3127" s="10" t="s">
        <v>240</v>
      </c>
      <c r="J3127" s="10" t="str">
        <f>""</f>
        <v/>
      </c>
      <c r="K3127" s="16" t="str">
        <f>"PFES1162564570_0001"</f>
        <v>PFES1162564570_0001</v>
      </c>
      <c r="L3127" s="16">
        <v>1</v>
      </c>
      <c r="M3127" s="16">
        <v>1</v>
      </c>
    </row>
    <row r="3128" spans="1:13">
      <c r="A3128" s="8">
        <v>42941</v>
      </c>
      <c r="B3128" s="9">
        <v>0.45208333333333334</v>
      </c>
      <c r="C3128" s="10" t="str">
        <f>"FES1162564536"</f>
        <v>FES1162564536</v>
      </c>
      <c r="D3128" s="10" t="s">
        <v>19</v>
      </c>
      <c r="E3128" s="10" t="s">
        <v>33</v>
      </c>
      <c r="F3128" s="10" t="str">
        <f>"2170581069 "</f>
        <v xml:space="preserve">2170581069 </v>
      </c>
      <c r="G3128" s="10" t="str">
        <f t="shared" si="137"/>
        <v>ON1</v>
      </c>
      <c r="H3128" s="10" t="s">
        <v>21</v>
      </c>
      <c r="I3128" s="10" t="s">
        <v>34</v>
      </c>
      <c r="J3128" s="10" t="str">
        <f>""</f>
        <v/>
      </c>
      <c r="K3128" s="16" t="str">
        <f>"PFES1162564536_0001"</f>
        <v>PFES1162564536_0001</v>
      </c>
      <c r="L3128" s="16">
        <v>1</v>
      </c>
      <c r="M3128" s="16">
        <v>4</v>
      </c>
    </row>
    <row r="3129" spans="1:13">
      <c r="A3129" s="8">
        <v>42941</v>
      </c>
      <c r="B3129" s="9">
        <v>0.45208333333333334</v>
      </c>
      <c r="C3129" s="10" t="str">
        <f>"FES1162564497"</f>
        <v>FES1162564497</v>
      </c>
      <c r="D3129" s="10" t="s">
        <v>19</v>
      </c>
      <c r="E3129" s="10" t="s">
        <v>952</v>
      </c>
      <c r="F3129" s="10" t="str">
        <f>"2170579725 "</f>
        <v xml:space="preserve">2170579725 </v>
      </c>
      <c r="G3129" s="10" t="str">
        <f t="shared" si="137"/>
        <v>ON1</v>
      </c>
      <c r="H3129" s="10" t="s">
        <v>21</v>
      </c>
      <c r="I3129" s="10" t="s">
        <v>364</v>
      </c>
      <c r="J3129" s="10" t="str">
        <f>""</f>
        <v/>
      </c>
      <c r="K3129" s="16" t="str">
        <f>"PFES1162564497_0001"</f>
        <v>PFES1162564497_0001</v>
      </c>
      <c r="L3129" s="16">
        <v>1</v>
      </c>
      <c r="M3129" s="16">
        <v>3</v>
      </c>
    </row>
    <row r="3130" spans="1:13">
      <c r="A3130" s="8">
        <v>42941</v>
      </c>
      <c r="B3130" s="9">
        <v>0.45208333333333334</v>
      </c>
      <c r="C3130" s="10" t="str">
        <f>"FES1162564569"</f>
        <v>FES1162564569</v>
      </c>
      <c r="D3130" s="10" t="s">
        <v>19</v>
      </c>
      <c r="E3130" s="10" t="s">
        <v>395</v>
      </c>
      <c r="F3130" s="10" t="str">
        <f>"2170580033 "</f>
        <v xml:space="preserve">2170580033 </v>
      </c>
      <c r="G3130" s="10" t="str">
        <f t="shared" si="137"/>
        <v>ON1</v>
      </c>
      <c r="H3130" s="10" t="s">
        <v>21</v>
      </c>
      <c r="I3130" s="10" t="s">
        <v>569</v>
      </c>
      <c r="J3130" s="10" t="str">
        <f>""</f>
        <v/>
      </c>
      <c r="K3130" s="16" t="str">
        <f>"PFES1162564569_0001"</f>
        <v>PFES1162564569_0001</v>
      </c>
      <c r="L3130" s="16">
        <v>1</v>
      </c>
      <c r="M3130" s="16">
        <v>1</v>
      </c>
    </row>
    <row r="3131" spans="1:13">
      <c r="A3131" s="8">
        <v>42941</v>
      </c>
      <c r="B3131" s="9">
        <v>0.4513888888888889</v>
      </c>
      <c r="C3131" s="10" t="str">
        <f>"FES1162564523"</f>
        <v>FES1162564523</v>
      </c>
      <c r="D3131" s="10" t="s">
        <v>19</v>
      </c>
      <c r="E3131" s="10" t="s">
        <v>1119</v>
      </c>
      <c r="F3131" s="10" t="str">
        <f>"2170581050 "</f>
        <v xml:space="preserve">2170581050 </v>
      </c>
      <c r="G3131" s="10" t="str">
        <f t="shared" si="137"/>
        <v>ON1</v>
      </c>
      <c r="H3131" s="10" t="s">
        <v>21</v>
      </c>
      <c r="I3131" s="10" t="s">
        <v>313</v>
      </c>
      <c r="J3131" s="10" t="str">
        <f>""</f>
        <v/>
      </c>
      <c r="K3131" s="16" t="str">
        <f>"PFES1162564523_0001"</f>
        <v>PFES1162564523_0001</v>
      </c>
      <c r="L3131" s="16">
        <v>1</v>
      </c>
      <c r="M3131" s="16">
        <v>4</v>
      </c>
    </row>
    <row r="3132" spans="1:13">
      <c r="A3132" s="8">
        <v>42941</v>
      </c>
      <c r="B3132" s="9">
        <v>0.45069444444444445</v>
      </c>
      <c r="C3132" s="10" t="str">
        <f>"FES1162564567"</f>
        <v>FES1162564567</v>
      </c>
      <c r="D3132" s="10" t="s">
        <v>19</v>
      </c>
      <c r="E3132" s="10" t="s">
        <v>765</v>
      </c>
      <c r="F3132" s="10" t="str">
        <f>"2170575939 "</f>
        <v xml:space="preserve">2170575939 </v>
      </c>
      <c r="G3132" s="10" t="str">
        <f t="shared" si="137"/>
        <v>ON1</v>
      </c>
      <c r="H3132" s="10" t="s">
        <v>21</v>
      </c>
      <c r="I3132" s="10" t="s">
        <v>563</v>
      </c>
      <c r="J3132" s="10" t="str">
        <f>""</f>
        <v/>
      </c>
      <c r="K3132" s="16" t="str">
        <f>"PFES1162564567_0001"</f>
        <v>PFES1162564567_0001</v>
      </c>
      <c r="L3132" s="16">
        <v>1</v>
      </c>
      <c r="M3132" s="16">
        <v>1</v>
      </c>
    </row>
    <row r="3133" spans="1:13">
      <c r="A3133" s="8">
        <v>42941</v>
      </c>
      <c r="B3133" s="9">
        <v>0.44930555555555557</v>
      </c>
      <c r="C3133" s="10" t="str">
        <f>"FES1162564543"</f>
        <v>FES1162564543</v>
      </c>
      <c r="D3133" s="10" t="s">
        <v>19</v>
      </c>
      <c r="E3133" s="10" t="s">
        <v>25</v>
      </c>
      <c r="F3133" s="10" t="str">
        <f>"2170581076 "</f>
        <v xml:space="preserve">2170581076 </v>
      </c>
      <c r="G3133" s="10" t="str">
        <f t="shared" si="137"/>
        <v>ON1</v>
      </c>
      <c r="H3133" s="10" t="s">
        <v>21</v>
      </c>
      <c r="I3133" s="10" t="s">
        <v>26</v>
      </c>
      <c r="J3133" s="10" t="str">
        <f>""</f>
        <v/>
      </c>
      <c r="K3133" s="16" t="str">
        <f>"PFES1162564543_0001"</f>
        <v>PFES1162564543_0001</v>
      </c>
      <c r="L3133" s="16">
        <v>1</v>
      </c>
      <c r="M3133" s="16">
        <v>1</v>
      </c>
    </row>
    <row r="3134" spans="1:13">
      <c r="A3134" s="8">
        <v>42941</v>
      </c>
      <c r="B3134" s="9">
        <v>0.44791666666666669</v>
      </c>
      <c r="C3134" s="10" t="str">
        <f>"FES1162564542"</f>
        <v>FES1162564542</v>
      </c>
      <c r="D3134" s="10" t="s">
        <v>19</v>
      </c>
      <c r="E3134" s="10" t="s">
        <v>25</v>
      </c>
      <c r="F3134" s="10" t="str">
        <f>"2170581074 "</f>
        <v xml:space="preserve">2170581074 </v>
      </c>
      <c r="G3134" s="10" t="str">
        <f t="shared" si="137"/>
        <v>ON1</v>
      </c>
      <c r="H3134" s="10" t="s">
        <v>21</v>
      </c>
      <c r="I3134" s="10" t="s">
        <v>26</v>
      </c>
      <c r="J3134" s="10" t="str">
        <f>""</f>
        <v/>
      </c>
      <c r="K3134" s="16" t="str">
        <f>"PFES1162564542_0001"</f>
        <v>PFES1162564542_0001</v>
      </c>
      <c r="L3134" s="16">
        <v>1</v>
      </c>
      <c r="M3134" s="16">
        <v>10</v>
      </c>
    </row>
    <row r="3135" spans="1:13">
      <c r="A3135" s="8">
        <v>42941</v>
      </c>
      <c r="B3135" s="9">
        <v>0.44722222222222219</v>
      </c>
      <c r="C3135" s="10" t="str">
        <f>"FES1162564487"</f>
        <v>FES1162564487</v>
      </c>
      <c r="D3135" s="10" t="s">
        <v>19</v>
      </c>
      <c r="E3135" s="10" t="s">
        <v>729</v>
      </c>
      <c r="F3135" s="10" t="str">
        <f>"2170578533 "</f>
        <v xml:space="preserve">2170578533 </v>
      </c>
      <c r="G3135" s="10" t="str">
        <f t="shared" si="137"/>
        <v>ON1</v>
      </c>
      <c r="H3135" s="10" t="s">
        <v>21</v>
      </c>
      <c r="I3135" s="10" t="s">
        <v>730</v>
      </c>
      <c r="J3135" s="10" t="str">
        <f>""</f>
        <v/>
      </c>
      <c r="K3135" s="16" t="str">
        <f>"PFES1162564487_0001"</f>
        <v>PFES1162564487_0001</v>
      </c>
      <c r="L3135" s="16">
        <v>1</v>
      </c>
      <c r="M3135" s="16">
        <v>1</v>
      </c>
    </row>
    <row r="3136" spans="1:13">
      <c r="A3136" s="8">
        <v>42941</v>
      </c>
      <c r="B3136" s="9">
        <v>0.4465277777777778</v>
      </c>
      <c r="C3136" s="10" t="str">
        <f>"FES1162564488"</f>
        <v>FES1162564488</v>
      </c>
      <c r="D3136" s="10" t="s">
        <v>19</v>
      </c>
      <c r="E3136" s="10" t="s">
        <v>504</v>
      </c>
      <c r="F3136" s="10" t="str">
        <f>"2170578534 "</f>
        <v xml:space="preserve">2170578534 </v>
      </c>
      <c r="G3136" s="10" t="str">
        <f t="shared" si="137"/>
        <v>ON1</v>
      </c>
      <c r="H3136" s="10" t="s">
        <v>21</v>
      </c>
      <c r="I3136" s="10" t="s">
        <v>505</v>
      </c>
      <c r="J3136" s="10" t="str">
        <f>""</f>
        <v/>
      </c>
      <c r="K3136" s="16" t="str">
        <f>"PFES1162564488_0001"</f>
        <v>PFES1162564488_0001</v>
      </c>
      <c r="L3136" s="16">
        <v>1</v>
      </c>
      <c r="M3136" s="16">
        <v>1</v>
      </c>
    </row>
    <row r="3137" spans="1:13">
      <c r="A3137" s="8">
        <v>42941</v>
      </c>
      <c r="B3137" s="9">
        <v>0.4458333333333333</v>
      </c>
      <c r="C3137" s="10" t="str">
        <f>"FES1162564472"</f>
        <v>FES1162564472</v>
      </c>
      <c r="D3137" s="10" t="s">
        <v>19</v>
      </c>
      <c r="E3137" s="10" t="s">
        <v>1137</v>
      </c>
      <c r="F3137" s="10" t="str">
        <f>"2170581033 "</f>
        <v xml:space="preserve">2170581033 </v>
      </c>
      <c r="G3137" s="10" t="str">
        <f t="shared" si="137"/>
        <v>ON1</v>
      </c>
      <c r="H3137" s="10" t="s">
        <v>21</v>
      </c>
      <c r="I3137" s="10" t="s">
        <v>70</v>
      </c>
      <c r="J3137" s="10" t="str">
        <f>""</f>
        <v/>
      </c>
      <c r="K3137" s="16" t="str">
        <f>"PFES1162564472_0001"</f>
        <v>PFES1162564472_0001</v>
      </c>
      <c r="L3137" s="16">
        <v>1</v>
      </c>
      <c r="M3137" s="16">
        <v>1</v>
      </c>
    </row>
    <row r="3138" spans="1:13">
      <c r="A3138" s="8">
        <v>42941</v>
      </c>
      <c r="B3138" s="9">
        <v>0.44444444444444442</v>
      </c>
      <c r="C3138" s="10" t="str">
        <f>"FES1162564484"</f>
        <v>FES1162564484</v>
      </c>
      <c r="D3138" s="10" t="s">
        <v>19</v>
      </c>
      <c r="E3138" s="10" t="s">
        <v>288</v>
      </c>
      <c r="F3138" s="10" t="str">
        <f>"2170578158 "</f>
        <v xml:space="preserve">2170578158 </v>
      </c>
      <c r="G3138" s="10" t="str">
        <f t="shared" si="137"/>
        <v>ON1</v>
      </c>
      <c r="H3138" s="10" t="s">
        <v>21</v>
      </c>
      <c r="I3138" s="10" t="s">
        <v>177</v>
      </c>
      <c r="J3138" s="10" t="str">
        <f>""</f>
        <v/>
      </c>
      <c r="K3138" s="16" t="str">
        <f>"PFES1162564484_0001"</f>
        <v>PFES1162564484_0001</v>
      </c>
      <c r="L3138" s="16">
        <v>1</v>
      </c>
      <c r="M3138" s="16">
        <v>1</v>
      </c>
    </row>
    <row r="3139" spans="1:13">
      <c r="A3139" s="8">
        <v>42941</v>
      </c>
      <c r="B3139" s="9">
        <v>0.44375000000000003</v>
      </c>
      <c r="C3139" s="10" t="str">
        <f>"FES1162564483"</f>
        <v>FES1162564483</v>
      </c>
      <c r="D3139" s="10" t="s">
        <v>19</v>
      </c>
      <c r="E3139" s="10" t="s">
        <v>288</v>
      </c>
      <c r="F3139" s="10" t="str">
        <f>"2170577251 "</f>
        <v xml:space="preserve">2170577251 </v>
      </c>
      <c r="G3139" s="10" t="str">
        <f t="shared" si="137"/>
        <v>ON1</v>
      </c>
      <c r="H3139" s="10" t="s">
        <v>21</v>
      </c>
      <c r="I3139" s="10" t="s">
        <v>177</v>
      </c>
      <c r="J3139" s="10" t="str">
        <f>""</f>
        <v/>
      </c>
      <c r="K3139" s="16" t="str">
        <f>"PFES1162564483_0001"</f>
        <v>PFES1162564483_0001</v>
      </c>
      <c r="L3139" s="16">
        <v>1</v>
      </c>
      <c r="M3139" s="16">
        <v>1</v>
      </c>
    </row>
    <row r="3140" spans="1:13">
      <c r="A3140" s="8">
        <v>42941</v>
      </c>
      <c r="B3140" s="9">
        <v>0.44305555555555554</v>
      </c>
      <c r="C3140" s="10" t="str">
        <f>"FES1162564496"</f>
        <v>FES1162564496</v>
      </c>
      <c r="D3140" s="10" t="s">
        <v>19</v>
      </c>
      <c r="E3140" s="10" t="s">
        <v>288</v>
      </c>
      <c r="F3140" s="10" t="str">
        <f>"2170579451 "</f>
        <v xml:space="preserve">2170579451 </v>
      </c>
      <c r="G3140" s="10" t="str">
        <f t="shared" si="137"/>
        <v>ON1</v>
      </c>
      <c r="H3140" s="10" t="s">
        <v>21</v>
      </c>
      <c r="I3140" s="10" t="s">
        <v>177</v>
      </c>
      <c r="J3140" s="10" t="str">
        <f>""</f>
        <v/>
      </c>
      <c r="K3140" s="16" t="str">
        <f>"PFES1162564496_0001"</f>
        <v>PFES1162564496_0001</v>
      </c>
      <c r="L3140" s="16">
        <v>1</v>
      </c>
      <c r="M3140" s="16">
        <v>1</v>
      </c>
    </row>
    <row r="3141" spans="1:13">
      <c r="A3141" s="8">
        <v>42941</v>
      </c>
      <c r="B3141" s="9">
        <v>0.44236111111111115</v>
      </c>
      <c r="C3141" s="10" t="str">
        <f>"FES1162564507"</f>
        <v>FES1162564507</v>
      </c>
      <c r="D3141" s="10" t="s">
        <v>19</v>
      </c>
      <c r="E3141" s="10" t="s">
        <v>288</v>
      </c>
      <c r="F3141" s="10" t="str">
        <f>"2170580612 "</f>
        <v xml:space="preserve">2170580612 </v>
      </c>
      <c r="G3141" s="10" t="str">
        <f t="shared" si="137"/>
        <v>ON1</v>
      </c>
      <c r="H3141" s="10" t="s">
        <v>21</v>
      </c>
      <c r="I3141" s="10" t="s">
        <v>177</v>
      </c>
      <c r="J3141" s="10" t="str">
        <f>""</f>
        <v/>
      </c>
      <c r="K3141" s="16" t="str">
        <f>"PFES1162564507_0001"</f>
        <v>PFES1162564507_0001</v>
      </c>
      <c r="L3141" s="16">
        <v>1</v>
      </c>
      <c r="M3141" s="16">
        <v>1</v>
      </c>
    </row>
    <row r="3142" spans="1:13">
      <c r="A3142" s="17">
        <v>42941</v>
      </c>
      <c r="B3142" s="18">
        <v>0.44097222222222227</v>
      </c>
      <c r="C3142" s="16" t="str">
        <f>"FES1162564217"</f>
        <v>FES1162564217</v>
      </c>
      <c r="D3142" s="16" t="s">
        <v>19</v>
      </c>
      <c r="E3142" s="16" t="s">
        <v>538</v>
      </c>
      <c r="F3142" s="16" t="str">
        <f>"2170579256 "</f>
        <v xml:space="preserve">2170579256 </v>
      </c>
      <c r="G3142" s="16" t="str">
        <f t="shared" si="137"/>
        <v>ON1</v>
      </c>
      <c r="H3142" s="16" t="s">
        <v>21</v>
      </c>
      <c r="I3142" s="16" t="s">
        <v>202</v>
      </c>
      <c r="J3142" s="16" t="str">
        <f>""</f>
        <v/>
      </c>
      <c r="K3142" s="16" t="str">
        <f>"PFES1162564217_0001"</f>
        <v>PFES1162564217_0001</v>
      </c>
      <c r="L3142" s="16">
        <v>1</v>
      </c>
      <c r="M3142" s="16">
        <v>4</v>
      </c>
    </row>
    <row r="3143" spans="1:13">
      <c r="A3143" s="17">
        <v>42941</v>
      </c>
      <c r="B3143" s="18">
        <v>0.44027777777777777</v>
      </c>
      <c r="C3143" s="16" t="str">
        <f>"FES1162564455"</f>
        <v>FES1162564455</v>
      </c>
      <c r="D3143" s="16" t="s">
        <v>19</v>
      </c>
      <c r="E3143" s="16" t="s">
        <v>1138</v>
      </c>
      <c r="F3143" s="16" t="str">
        <f>"2170580999 "</f>
        <v xml:space="preserve">2170580999 </v>
      </c>
      <c r="G3143" s="16" t="str">
        <f t="shared" si="137"/>
        <v>ON1</v>
      </c>
      <c r="H3143" s="16" t="s">
        <v>21</v>
      </c>
      <c r="I3143" s="16" t="s">
        <v>364</v>
      </c>
      <c r="J3143" s="16" t="str">
        <f>""</f>
        <v/>
      </c>
      <c r="K3143" s="16" t="str">
        <f>"PFES1162564455_0001"</f>
        <v>PFES1162564455_0001</v>
      </c>
      <c r="L3143" s="16">
        <v>1</v>
      </c>
      <c r="M3143" s="16">
        <v>2</v>
      </c>
    </row>
    <row r="3144" spans="1:13">
      <c r="A3144" s="17">
        <v>42941</v>
      </c>
      <c r="B3144" s="18">
        <v>0.43958333333333338</v>
      </c>
      <c r="C3144" s="16" t="str">
        <f>"FES1162564508"</f>
        <v>FES1162564508</v>
      </c>
      <c r="D3144" s="16" t="s">
        <v>19</v>
      </c>
      <c r="E3144" s="16" t="s">
        <v>759</v>
      </c>
      <c r="F3144" s="16" t="str">
        <f>"2170580730 "</f>
        <v xml:space="preserve">2170580730 </v>
      </c>
      <c r="G3144" s="16" t="str">
        <f t="shared" si="137"/>
        <v>ON1</v>
      </c>
      <c r="H3144" s="16" t="s">
        <v>21</v>
      </c>
      <c r="I3144" s="16" t="s">
        <v>252</v>
      </c>
      <c r="J3144" s="16" t="str">
        <f>""</f>
        <v/>
      </c>
      <c r="K3144" s="16" t="str">
        <f>"PFES1162564508_0001"</f>
        <v>PFES1162564508_0001</v>
      </c>
      <c r="L3144" s="16">
        <v>1</v>
      </c>
      <c r="M3144" s="16">
        <v>4</v>
      </c>
    </row>
    <row r="3145" spans="1:13">
      <c r="A3145" s="17">
        <v>42941</v>
      </c>
      <c r="B3145" s="18">
        <v>0.4381944444444445</v>
      </c>
      <c r="C3145" s="16" t="str">
        <f>"FES1162564204"</f>
        <v>FES1162564204</v>
      </c>
      <c r="D3145" s="16" t="s">
        <v>19</v>
      </c>
      <c r="E3145" s="16" t="s">
        <v>173</v>
      </c>
      <c r="F3145" s="16" t="str">
        <f>"2170578525 "</f>
        <v xml:space="preserve">2170578525 </v>
      </c>
      <c r="G3145" s="16" t="str">
        <f t="shared" si="137"/>
        <v>ON1</v>
      </c>
      <c r="H3145" s="16" t="s">
        <v>21</v>
      </c>
      <c r="I3145" s="16" t="s">
        <v>174</v>
      </c>
      <c r="J3145" s="16" t="str">
        <f>""</f>
        <v/>
      </c>
      <c r="K3145" s="16" t="str">
        <f>"PFES1162564204_0001"</f>
        <v>PFES1162564204_0001</v>
      </c>
      <c r="L3145" s="16">
        <v>1</v>
      </c>
      <c r="M3145" s="16">
        <v>3</v>
      </c>
    </row>
    <row r="3146" spans="1:13">
      <c r="A3146" s="17">
        <v>42941</v>
      </c>
      <c r="B3146" s="18">
        <v>0.4375</v>
      </c>
      <c r="C3146" s="16" t="str">
        <f>"FES1162564459"</f>
        <v>FES1162564459</v>
      </c>
      <c r="D3146" s="16" t="s">
        <v>19</v>
      </c>
      <c r="E3146" s="16" t="s">
        <v>715</v>
      </c>
      <c r="F3146" s="16" t="str">
        <f>"2170581007 "</f>
        <v xml:space="preserve">2170581007 </v>
      </c>
      <c r="G3146" s="16" t="str">
        <f t="shared" si="137"/>
        <v>ON1</v>
      </c>
      <c r="H3146" s="16" t="s">
        <v>21</v>
      </c>
      <c r="I3146" s="16" t="s">
        <v>32</v>
      </c>
      <c r="J3146" s="16" t="str">
        <f>""</f>
        <v/>
      </c>
      <c r="K3146" s="16" t="str">
        <f>"PFES1162564459_0001"</f>
        <v>PFES1162564459_0001</v>
      </c>
      <c r="L3146" s="16">
        <v>1</v>
      </c>
      <c r="M3146" s="16">
        <v>2</v>
      </c>
    </row>
    <row r="3147" spans="1:13">
      <c r="A3147" s="17">
        <v>42941</v>
      </c>
      <c r="B3147" s="18">
        <v>0.4368055555555555</v>
      </c>
      <c r="C3147" s="16" t="str">
        <f>"FES1162564456"</f>
        <v>FES1162564456</v>
      </c>
      <c r="D3147" s="16" t="s">
        <v>19</v>
      </c>
      <c r="E3147" s="16" t="s">
        <v>715</v>
      </c>
      <c r="F3147" s="16" t="str">
        <f>"2170581004 "</f>
        <v xml:space="preserve">2170581004 </v>
      </c>
      <c r="G3147" s="16" t="str">
        <f t="shared" si="137"/>
        <v>ON1</v>
      </c>
      <c r="H3147" s="16" t="s">
        <v>21</v>
      </c>
      <c r="I3147" s="16" t="s">
        <v>32</v>
      </c>
      <c r="J3147" s="16" t="str">
        <f>""</f>
        <v/>
      </c>
      <c r="K3147" s="16" t="str">
        <f>"PFES1162564456_0001"</f>
        <v>PFES1162564456_0001</v>
      </c>
      <c r="L3147" s="16">
        <v>1</v>
      </c>
      <c r="M3147" s="16">
        <v>0</v>
      </c>
    </row>
    <row r="3148" spans="1:13">
      <c r="A3148" s="17">
        <v>42941</v>
      </c>
      <c r="B3148" s="18">
        <v>0.43472222222222223</v>
      </c>
      <c r="C3148" s="16" t="str">
        <f>"FES1162564431"</f>
        <v>FES1162564431</v>
      </c>
      <c r="D3148" s="16" t="s">
        <v>19</v>
      </c>
      <c r="E3148" s="16" t="s">
        <v>610</v>
      </c>
      <c r="F3148" s="16" t="str">
        <f>"2170580966 "</f>
        <v xml:space="preserve">2170580966 </v>
      </c>
      <c r="G3148" s="16" t="str">
        <f t="shared" si="137"/>
        <v>ON1</v>
      </c>
      <c r="H3148" s="16" t="s">
        <v>21</v>
      </c>
      <c r="I3148" s="16" t="s">
        <v>196</v>
      </c>
      <c r="J3148" s="16" t="str">
        <f>""</f>
        <v/>
      </c>
      <c r="K3148" s="16" t="str">
        <f>"PFES1162564431_0001"</f>
        <v>PFES1162564431_0001</v>
      </c>
      <c r="L3148" s="16">
        <v>1</v>
      </c>
      <c r="M3148" s="16">
        <v>3</v>
      </c>
    </row>
    <row r="3149" spans="1:13">
      <c r="A3149" s="17">
        <v>42941</v>
      </c>
      <c r="B3149" s="18">
        <v>0.43402777777777773</v>
      </c>
      <c r="C3149" s="16" t="str">
        <f>"FES1162564509"</f>
        <v>FES1162564509</v>
      </c>
      <c r="D3149" s="16" t="s">
        <v>19</v>
      </c>
      <c r="E3149" s="16" t="s">
        <v>759</v>
      </c>
      <c r="F3149" s="16" t="str">
        <f>"2170580734 "</f>
        <v xml:space="preserve">2170580734 </v>
      </c>
      <c r="G3149" s="16" t="str">
        <f t="shared" si="137"/>
        <v>ON1</v>
      </c>
      <c r="H3149" s="16" t="s">
        <v>21</v>
      </c>
      <c r="I3149" s="16" t="s">
        <v>252</v>
      </c>
      <c r="J3149" s="16" t="str">
        <f>""</f>
        <v/>
      </c>
      <c r="K3149" s="16" t="str">
        <f>"PFES1162564509_0001"</f>
        <v>PFES1162564509_0001</v>
      </c>
      <c r="L3149" s="16">
        <v>1</v>
      </c>
      <c r="M3149" s="16">
        <v>4</v>
      </c>
    </row>
    <row r="3150" spans="1:13">
      <c r="A3150" s="17">
        <v>42941</v>
      </c>
      <c r="B3150" s="18">
        <v>0.43055555555555558</v>
      </c>
      <c r="C3150" s="16" t="str">
        <f>"FES1162564172"</f>
        <v>FES1162564172</v>
      </c>
      <c r="D3150" s="16" t="s">
        <v>19</v>
      </c>
      <c r="E3150" s="16" t="s">
        <v>985</v>
      </c>
      <c r="F3150" s="16" t="str">
        <f>"2170575766 "</f>
        <v xml:space="preserve">2170575766 </v>
      </c>
      <c r="G3150" s="16" t="str">
        <f t="shared" ref="G3150" si="138">"ON1"</f>
        <v>ON1</v>
      </c>
      <c r="H3150" s="16" t="s">
        <v>21</v>
      </c>
      <c r="I3150" s="16" t="s">
        <v>412</v>
      </c>
      <c r="J3150" s="16" t="str">
        <f>""</f>
        <v/>
      </c>
      <c r="K3150" s="16" t="str">
        <f>"PFES1162564172_0001"</f>
        <v>PFES1162564172_0001</v>
      </c>
      <c r="L3150" s="16">
        <v>1</v>
      </c>
      <c r="M3150" s="16">
        <v>14</v>
      </c>
    </row>
    <row r="3151" spans="1:13">
      <c r="A3151" s="17">
        <v>42941</v>
      </c>
      <c r="B3151" s="18">
        <v>0.42777777777777781</v>
      </c>
      <c r="C3151" s="16" t="str">
        <f>"FES1162564377"</f>
        <v>FES1162564377</v>
      </c>
      <c r="D3151" s="16" t="s">
        <v>19</v>
      </c>
      <c r="E3151" s="16" t="s">
        <v>1046</v>
      </c>
      <c r="F3151" s="16" t="str">
        <f>"2170580894 "</f>
        <v xml:space="preserve">2170580894 </v>
      </c>
      <c r="G3151" s="16" t="str">
        <f>"DBC"</f>
        <v>DBC</v>
      </c>
      <c r="H3151" s="16" t="s">
        <v>21</v>
      </c>
      <c r="I3151" s="16" t="s">
        <v>92</v>
      </c>
      <c r="J3151" s="16" t="str">
        <f>""</f>
        <v/>
      </c>
      <c r="K3151" s="16" t="str">
        <f>"PFES1162564377_0001"</f>
        <v>PFES1162564377_0001</v>
      </c>
      <c r="L3151" s="16">
        <v>1</v>
      </c>
      <c r="M3151" s="16">
        <v>113</v>
      </c>
    </row>
    <row r="3152" spans="1:13">
      <c r="A3152" s="17">
        <v>42941</v>
      </c>
      <c r="B3152" s="18">
        <v>0.4236111111111111</v>
      </c>
      <c r="C3152" s="16" t="str">
        <f>"FES1162564479"</f>
        <v>FES1162564479</v>
      </c>
      <c r="D3152" s="16" t="s">
        <v>19</v>
      </c>
      <c r="E3152" s="16" t="s">
        <v>765</v>
      </c>
      <c r="F3152" s="16" t="str">
        <f>"2170575939 "</f>
        <v xml:space="preserve">2170575939 </v>
      </c>
      <c r="G3152" s="16" t="str">
        <f t="shared" ref="G3152:G3201" si="139">"ON1"</f>
        <v>ON1</v>
      </c>
      <c r="H3152" s="16" t="s">
        <v>21</v>
      </c>
      <c r="I3152" s="16" t="s">
        <v>563</v>
      </c>
      <c r="J3152" s="16" t="str">
        <f>""</f>
        <v/>
      </c>
      <c r="K3152" s="16" t="str">
        <f>"PFES1162564479_0001"</f>
        <v>PFES1162564479_0001</v>
      </c>
      <c r="L3152" s="16">
        <v>1</v>
      </c>
      <c r="M3152" s="16">
        <v>1</v>
      </c>
    </row>
    <row r="3153" spans="1:13">
      <c r="A3153" s="17">
        <v>42941</v>
      </c>
      <c r="B3153" s="18">
        <v>0.42222222222222222</v>
      </c>
      <c r="C3153" s="16" t="str">
        <f>"FES1162564478"</f>
        <v>FES1162564478</v>
      </c>
      <c r="D3153" s="16" t="s">
        <v>19</v>
      </c>
      <c r="E3153" s="16" t="s">
        <v>184</v>
      </c>
      <c r="F3153" s="16" t="str">
        <f>"2170573593 "</f>
        <v xml:space="preserve">2170573593 </v>
      </c>
      <c r="G3153" s="16" t="str">
        <f t="shared" si="139"/>
        <v>ON1</v>
      </c>
      <c r="H3153" s="16" t="s">
        <v>21</v>
      </c>
      <c r="I3153" s="16" t="s">
        <v>185</v>
      </c>
      <c r="J3153" s="16" t="str">
        <f>""</f>
        <v/>
      </c>
      <c r="K3153" s="16" t="str">
        <f>"PFES1162564478_0001"</f>
        <v>PFES1162564478_0001</v>
      </c>
      <c r="L3153" s="16">
        <v>1</v>
      </c>
      <c r="M3153" s="16">
        <v>1</v>
      </c>
    </row>
    <row r="3154" spans="1:13">
      <c r="A3154" s="17">
        <v>42941</v>
      </c>
      <c r="B3154" s="18">
        <v>0.41875000000000001</v>
      </c>
      <c r="C3154" s="16" t="str">
        <f>"FES1162564432"</f>
        <v>FES1162564432</v>
      </c>
      <c r="D3154" s="16" t="s">
        <v>19</v>
      </c>
      <c r="E3154" s="16" t="s">
        <v>1139</v>
      </c>
      <c r="F3154" s="16" t="str">
        <f>"2170580968 "</f>
        <v xml:space="preserve">2170580968 </v>
      </c>
      <c r="G3154" s="16" t="str">
        <f t="shared" si="139"/>
        <v>ON1</v>
      </c>
      <c r="H3154" s="16" t="s">
        <v>21</v>
      </c>
      <c r="I3154" s="16" t="s">
        <v>1140</v>
      </c>
      <c r="J3154" s="16" t="str">
        <f>""</f>
        <v/>
      </c>
      <c r="K3154" s="16" t="str">
        <f>"PFES1162564432_0001"</f>
        <v>PFES1162564432_0001</v>
      </c>
      <c r="L3154" s="16">
        <v>1</v>
      </c>
      <c r="M3154" s="16">
        <v>1</v>
      </c>
    </row>
    <row r="3155" spans="1:13">
      <c r="A3155" s="17">
        <v>42941</v>
      </c>
      <c r="B3155" s="18">
        <v>0.41666666666666669</v>
      </c>
      <c r="C3155" s="16" t="str">
        <f>"FES1162564519"</f>
        <v>FES1162564519</v>
      </c>
      <c r="D3155" s="16" t="s">
        <v>19</v>
      </c>
      <c r="E3155" s="16" t="s">
        <v>78</v>
      </c>
      <c r="F3155" s="16" t="str">
        <f>"2170581046 "</f>
        <v xml:space="preserve">2170581046 </v>
      </c>
      <c r="G3155" s="16" t="str">
        <f t="shared" si="139"/>
        <v>ON1</v>
      </c>
      <c r="H3155" s="16" t="s">
        <v>21</v>
      </c>
      <c r="I3155" s="16" t="s">
        <v>79</v>
      </c>
      <c r="J3155" s="16" t="str">
        <f>""</f>
        <v/>
      </c>
      <c r="K3155" s="16" t="str">
        <f>"PFES1162564519_0001"</f>
        <v>PFES1162564519_0001</v>
      </c>
      <c r="L3155" s="16">
        <v>1</v>
      </c>
      <c r="M3155" s="16">
        <v>2</v>
      </c>
    </row>
    <row r="3156" spans="1:13">
      <c r="A3156" s="17">
        <v>42941</v>
      </c>
      <c r="B3156" s="18">
        <v>0.41250000000000003</v>
      </c>
      <c r="C3156" s="16" t="str">
        <f>"FES1162561890"</f>
        <v>FES1162561890</v>
      </c>
      <c r="D3156" s="16" t="s">
        <v>19</v>
      </c>
      <c r="E3156" s="16" t="s">
        <v>1141</v>
      </c>
      <c r="F3156" s="16" t="str">
        <f>"2170573269 "</f>
        <v xml:space="preserve">2170573269 </v>
      </c>
      <c r="G3156" s="16" t="str">
        <f t="shared" si="139"/>
        <v>ON1</v>
      </c>
      <c r="H3156" s="16" t="s">
        <v>21</v>
      </c>
      <c r="I3156" s="16" t="s">
        <v>577</v>
      </c>
      <c r="J3156" s="16" t="str">
        <f>""</f>
        <v/>
      </c>
      <c r="K3156" s="16" t="str">
        <f>"PFES1162561890_0001"</f>
        <v>PFES1162561890_0001</v>
      </c>
      <c r="L3156" s="16">
        <v>1</v>
      </c>
      <c r="M3156" s="16">
        <v>1</v>
      </c>
    </row>
    <row r="3157" spans="1:13">
      <c r="A3157" s="17">
        <v>42941</v>
      </c>
      <c r="B3157" s="18">
        <v>0.41180555555555554</v>
      </c>
      <c r="C3157" s="16" t="str">
        <f>"FES1162564518"</f>
        <v>FES1162564518</v>
      </c>
      <c r="D3157" s="16" t="s">
        <v>19</v>
      </c>
      <c r="E3157" s="16" t="s">
        <v>78</v>
      </c>
      <c r="F3157" s="16" t="str">
        <f>"2170581045 "</f>
        <v xml:space="preserve">2170581045 </v>
      </c>
      <c r="G3157" s="16" t="str">
        <f t="shared" si="139"/>
        <v>ON1</v>
      </c>
      <c r="H3157" s="16" t="s">
        <v>21</v>
      </c>
      <c r="I3157" s="16" t="s">
        <v>79</v>
      </c>
      <c r="J3157" s="16" t="str">
        <f>""</f>
        <v/>
      </c>
      <c r="K3157" s="16" t="str">
        <f>"PFES1162564518_0001"</f>
        <v>PFES1162564518_0001</v>
      </c>
      <c r="L3157" s="16">
        <v>1</v>
      </c>
      <c r="M3157" s="16">
        <v>1</v>
      </c>
    </row>
    <row r="3158" spans="1:13">
      <c r="A3158" s="17">
        <v>42941</v>
      </c>
      <c r="B3158" s="18">
        <v>0.41041666666666665</v>
      </c>
      <c r="C3158" s="16" t="str">
        <f>"FES1162564501"</f>
        <v>FES1162564501</v>
      </c>
      <c r="D3158" s="16" t="s">
        <v>19</v>
      </c>
      <c r="E3158" s="16" t="s">
        <v>1142</v>
      </c>
      <c r="F3158" s="16" t="str">
        <f>"2170580511 "</f>
        <v xml:space="preserve">2170580511 </v>
      </c>
      <c r="G3158" s="16" t="str">
        <f t="shared" si="139"/>
        <v>ON1</v>
      </c>
      <c r="H3158" s="16" t="s">
        <v>21</v>
      </c>
      <c r="I3158" s="16" t="s">
        <v>26</v>
      </c>
      <c r="J3158" s="16" t="str">
        <f>""</f>
        <v/>
      </c>
      <c r="K3158" s="16" t="str">
        <f>"PFES1162564501_0001"</f>
        <v>PFES1162564501_0001</v>
      </c>
      <c r="L3158" s="16">
        <v>1</v>
      </c>
      <c r="M3158" s="16">
        <v>1</v>
      </c>
    </row>
    <row r="3159" spans="1:13">
      <c r="A3159" s="17">
        <v>42941</v>
      </c>
      <c r="B3159" s="18">
        <v>0.40972222222222227</v>
      </c>
      <c r="C3159" s="16" t="str">
        <f>"FES1162564470"</f>
        <v>FES1162564470</v>
      </c>
      <c r="D3159" s="16" t="s">
        <v>19</v>
      </c>
      <c r="E3159" s="16" t="s">
        <v>441</v>
      </c>
      <c r="F3159" s="16" t="str">
        <f>"2170575966 "</f>
        <v xml:space="preserve">2170575966 </v>
      </c>
      <c r="G3159" s="16" t="str">
        <f t="shared" si="139"/>
        <v>ON1</v>
      </c>
      <c r="H3159" s="16" t="s">
        <v>21</v>
      </c>
      <c r="I3159" s="16" t="s">
        <v>166</v>
      </c>
      <c r="J3159" s="16" t="str">
        <f>""</f>
        <v/>
      </c>
      <c r="K3159" s="16" t="str">
        <f>"PFES1162564470_0001"</f>
        <v>PFES1162564470_0001</v>
      </c>
      <c r="L3159" s="16">
        <v>1</v>
      </c>
      <c r="M3159" s="16">
        <v>1</v>
      </c>
    </row>
    <row r="3160" spans="1:13">
      <c r="A3160" s="17">
        <v>42941</v>
      </c>
      <c r="B3160" s="18">
        <v>0.40763888888888888</v>
      </c>
      <c r="C3160" s="16" t="str">
        <f>"FES1162564513"</f>
        <v>FES1162564513</v>
      </c>
      <c r="D3160" s="16" t="s">
        <v>19</v>
      </c>
      <c r="E3160" s="16" t="s">
        <v>759</v>
      </c>
      <c r="F3160" s="16" t="str">
        <f>"2170581036 "</f>
        <v xml:space="preserve">2170581036 </v>
      </c>
      <c r="G3160" s="16" t="str">
        <f t="shared" si="139"/>
        <v>ON1</v>
      </c>
      <c r="H3160" s="16" t="s">
        <v>21</v>
      </c>
      <c r="I3160" s="16" t="s">
        <v>252</v>
      </c>
      <c r="J3160" s="16" t="str">
        <f>""</f>
        <v/>
      </c>
      <c r="K3160" s="16" t="str">
        <f>"PFES1162564513_0001"</f>
        <v>PFES1162564513_0001</v>
      </c>
      <c r="L3160" s="16">
        <v>1</v>
      </c>
      <c r="M3160" s="16">
        <v>1</v>
      </c>
    </row>
    <row r="3161" spans="1:13">
      <c r="A3161" s="17">
        <v>42941</v>
      </c>
      <c r="B3161" s="18">
        <v>0.4055555555555555</v>
      </c>
      <c r="C3161" s="16" t="str">
        <f>"FES1162564474"</f>
        <v>FES1162564474</v>
      </c>
      <c r="D3161" s="16" t="s">
        <v>19</v>
      </c>
      <c r="E3161" s="16" t="s">
        <v>255</v>
      </c>
      <c r="F3161" s="16" t="str">
        <f>"2170581038 "</f>
        <v xml:space="preserve">2170581038 </v>
      </c>
      <c r="G3161" s="16" t="str">
        <f t="shared" si="139"/>
        <v>ON1</v>
      </c>
      <c r="H3161" s="16" t="s">
        <v>21</v>
      </c>
      <c r="I3161" s="16" t="s">
        <v>256</v>
      </c>
      <c r="J3161" s="16" t="str">
        <f>""</f>
        <v/>
      </c>
      <c r="K3161" s="16" t="str">
        <f>"PFES1162564474_0001"</f>
        <v>PFES1162564474_0001</v>
      </c>
      <c r="L3161" s="16">
        <v>1</v>
      </c>
      <c r="M3161" s="16">
        <v>1</v>
      </c>
    </row>
    <row r="3162" spans="1:13">
      <c r="A3162" s="17">
        <v>42941</v>
      </c>
      <c r="B3162" s="18">
        <v>0.39999999999999997</v>
      </c>
      <c r="C3162" s="16" t="str">
        <f>"FES1162564449"</f>
        <v>FES1162564449</v>
      </c>
      <c r="D3162" s="16" t="s">
        <v>19</v>
      </c>
      <c r="E3162" s="16" t="s">
        <v>288</v>
      </c>
      <c r="F3162" s="16" t="str">
        <f>"2170580992 "</f>
        <v xml:space="preserve">2170580992 </v>
      </c>
      <c r="G3162" s="16" t="str">
        <f t="shared" si="139"/>
        <v>ON1</v>
      </c>
      <c r="H3162" s="16" t="s">
        <v>21</v>
      </c>
      <c r="I3162" s="16" t="s">
        <v>84</v>
      </c>
      <c r="J3162" s="16" t="str">
        <f>""</f>
        <v/>
      </c>
      <c r="K3162" s="16" t="str">
        <f>"PFES1162564449_0001"</f>
        <v>PFES1162564449_0001</v>
      </c>
      <c r="L3162" s="16">
        <v>1</v>
      </c>
      <c r="M3162" s="16">
        <v>1</v>
      </c>
    </row>
    <row r="3163" spans="1:13">
      <c r="A3163" s="17">
        <v>42941</v>
      </c>
      <c r="B3163" s="18">
        <v>0.39861111111111108</v>
      </c>
      <c r="C3163" s="16" t="str">
        <f>"FES1162564452"</f>
        <v>FES1162564452</v>
      </c>
      <c r="D3163" s="16" t="s">
        <v>19</v>
      </c>
      <c r="E3163" s="16" t="s">
        <v>1143</v>
      </c>
      <c r="F3163" s="16" t="str">
        <f>"2170578666 "</f>
        <v xml:space="preserve">2170578666 </v>
      </c>
      <c r="G3163" s="16" t="str">
        <f t="shared" si="139"/>
        <v>ON1</v>
      </c>
      <c r="H3163" s="16" t="s">
        <v>21</v>
      </c>
      <c r="I3163" s="16" t="s">
        <v>1144</v>
      </c>
      <c r="J3163" s="16" t="str">
        <f>""</f>
        <v/>
      </c>
      <c r="K3163" s="16" t="str">
        <f>"PFES1162564452_0001"</f>
        <v>PFES1162564452_0001</v>
      </c>
      <c r="L3163" s="16">
        <v>1</v>
      </c>
      <c r="M3163" s="16">
        <v>1</v>
      </c>
    </row>
    <row r="3164" spans="1:13">
      <c r="A3164" s="8">
        <v>42941</v>
      </c>
      <c r="B3164" s="9">
        <v>0.69027777777777777</v>
      </c>
      <c r="C3164" s="10" t="str">
        <f>"FES1162564753"</f>
        <v>FES1162564753</v>
      </c>
      <c r="D3164" s="10" t="s">
        <v>19</v>
      </c>
      <c r="E3164" s="10" t="s">
        <v>195</v>
      </c>
      <c r="F3164" s="10" t="str">
        <f>"2170581278 "</f>
        <v xml:space="preserve">2170581278 </v>
      </c>
      <c r="G3164" s="10" t="str">
        <f t="shared" si="139"/>
        <v>ON1</v>
      </c>
      <c r="H3164" s="10" t="s">
        <v>21</v>
      </c>
      <c r="I3164" s="10" t="s">
        <v>196</v>
      </c>
      <c r="J3164" s="10" t="str">
        <f>""</f>
        <v/>
      </c>
      <c r="K3164" s="10" t="str">
        <f>"PFES1162564753_0001"</f>
        <v>PFES1162564753_0001</v>
      </c>
      <c r="L3164" s="10">
        <v>1</v>
      </c>
      <c r="M3164" s="10">
        <v>2</v>
      </c>
    </row>
    <row r="3165" spans="1:13">
      <c r="A3165" s="8">
        <v>42941</v>
      </c>
      <c r="B3165" s="9">
        <v>0.68958333333333333</v>
      </c>
      <c r="C3165" s="10" t="str">
        <f>"FES1162564754"</f>
        <v>FES1162564754</v>
      </c>
      <c r="D3165" s="10" t="s">
        <v>19</v>
      </c>
      <c r="E3165" s="10" t="s">
        <v>297</v>
      </c>
      <c r="F3165" s="10" t="str">
        <f>"2170581279 "</f>
        <v xml:space="preserve">2170581279 </v>
      </c>
      <c r="G3165" s="10" t="str">
        <f t="shared" si="139"/>
        <v>ON1</v>
      </c>
      <c r="H3165" s="10" t="s">
        <v>21</v>
      </c>
      <c r="I3165" s="10" t="s">
        <v>98</v>
      </c>
      <c r="J3165" s="10" t="str">
        <f>""</f>
        <v/>
      </c>
      <c r="K3165" s="10" t="str">
        <f>"PFES1162564754_0001"</f>
        <v>PFES1162564754_0001</v>
      </c>
      <c r="L3165" s="10">
        <v>1</v>
      </c>
      <c r="M3165" s="10">
        <v>1</v>
      </c>
    </row>
    <row r="3166" spans="1:13">
      <c r="A3166" s="8">
        <v>42941</v>
      </c>
      <c r="B3166" s="9">
        <v>0.68958333333333333</v>
      </c>
      <c r="C3166" s="10" t="str">
        <f>"FES1162564735"</f>
        <v>FES1162564735</v>
      </c>
      <c r="D3166" s="10" t="s">
        <v>19</v>
      </c>
      <c r="E3166" s="10" t="s">
        <v>1107</v>
      </c>
      <c r="F3166" s="10" t="str">
        <f>"2170579768 "</f>
        <v xml:space="preserve">2170579768 </v>
      </c>
      <c r="G3166" s="10" t="str">
        <f t="shared" si="139"/>
        <v>ON1</v>
      </c>
      <c r="H3166" s="10" t="s">
        <v>21</v>
      </c>
      <c r="I3166" s="10" t="s">
        <v>700</v>
      </c>
      <c r="J3166" s="10" t="str">
        <f>""</f>
        <v/>
      </c>
      <c r="K3166" s="10" t="str">
        <f>"PFES1162564735_0001"</f>
        <v>PFES1162564735_0001</v>
      </c>
      <c r="L3166" s="10">
        <v>1</v>
      </c>
      <c r="M3166" s="10">
        <v>4</v>
      </c>
    </row>
    <row r="3167" spans="1:13">
      <c r="A3167" s="8">
        <v>42941</v>
      </c>
      <c r="B3167" s="9">
        <v>0.68333333333333324</v>
      </c>
      <c r="C3167" s="10" t="str">
        <f>"FES1162564748"</f>
        <v>FES1162564748</v>
      </c>
      <c r="D3167" s="10" t="s">
        <v>19</v>
      </c>
      <c r="E3167" s="10" t="s">
        <v>672</v>
      </c>
      <c r="F3167" s="10" t="str">
        <f>"2170581269 "</f>
        <v xml:space="preserve">2170581269 </v>
      </c>
      <c r="G3167" s="10" t="str">
        <f t="shared" si="139"/>
        <v>ON1</v>
      </c>
      <c r="H3167" s="10" t="s">
        <v>21</v>
      </c>
      <c r="I3167" s="10" t="s">
        <v>673</v>
      </c>
      <c r="J3167" s="10" t="str">
        <f>""</f>
        <v/>
      </c>
      <c r="K3167" s="10" t="str">
        <f>"PFES1162564748_0001"</f>
        <v>PFES1162564748_0001</v>
      </c>
      <c r="L3167" s="10">
        <v>1</v>
      </c>
      <c r="M3167" s="10">
        <v>1</v>
      </c>
    </row>
    <row r="3168" spans="1:13">
      <c r="A3168" s="8">
        <v>42941</v>
      </c>
      <c r="B3168" s="9">
        <v>0.68333333333333324</v>
      </c>
      <c r="C3168" s="10" t="str">
        <f>"FES1162564747"</f>
        <v>FES1162564747</v>
      </c>
      <c r="D3168" s="10" t="s">
        <v>19</v>
      </c>
      <c r="E3168" s="10" t="s">
        <v>89</v>
      </c>
      <c r="F3168" s="10" t="str">
        <f>"2170581268 "</f>
        <v xml:space="preserve">2170581268 </v>
      </c>
      <c r="G3168" s="10" t="str">
        <f t="shared" si="139"/>
        <v>ON1</v>
      </c>
      <c r="H3168" s="10" t="s">
        <v>21</v>
      </c>
      <c r="I3168" s="10" t="s">
        <v>90</v>
      </c>
      <c r="J3168" s="10" t="str">
        <f>""</f>
        <v/>
      </c>
      <c r="K3168" s="10" t="str">
        <f>"PFES1162564747_0001"</f>
        <v>PFES1162564747_0001</v>
      </c>
      <c r="L3168" s="10">
        <v>1</v>
      </c>
      <c r="M3168" s="10">
        <v>1</v>
      </c>
    </row>
    <row r="3169" spans="1:13">
      <c r="A3169" s="8">
        <v>42941</v>
      </c>
      <c r="B3169" s="9">
        <v>0.68263888888888891</v>
      </c>
      <c r="C3169" s="10" t="str">
        <f>"FES1162564743"</f>
        <v>FES1162564743</v>
      </c>
      <c r="D3169" s="10" t="s">
        <v>19</v>
      </c>
      <c r="E3169" s="10" t="s">
        <v>89</v>
      </c>
      <c r="F3169" s="10" t="str">
        <f>"217058126 "</f>
        <v xml:space="preserve">217058126 </v>
      </c>
      <c r="G3169" s="10" t="str">
        <f t="shared" si="139"/>
        <v>ON1</v>
      </c>
      <c r="H3169" s="10" t="s">
        <v>21</v>
      </c>
      <c r="I3169" s="10" t="s">
        <v>90</v>
      </c>
      <c r="J3169" s="10" t="str">
        <f>""</f>
        <v/>
      </c>
      <c r="K3169" s="10" t="str">
        <f>"PFES1162564743_0001"</f>
        <v>PFES1162564743_0001</v>
      </c>
      <c r="L3169" s="10">
        <v>1</v>
      </c>
      <c r="M3169" s="10">
        <v>3</v>
      </c>
    </row>
    <row r="3170" spans="1:13">
      <c r="A3170" s="8">
        <v>42941</v>
      </c>
      <c r="B3170" s="9">
        <v>0.68194444444444446</v>
      </c>
      <c r="C3170" s="10" t="str">
        <f>"FES1162564746"</f>
        <v>FES1162564746</v>
      </c>
      <c r="D3170" s="10" t="s">
        <v>19</v>
      </c>
      <c r="E3170" s="10" t="s">
        <v>89</v>
      </c>
      <c r="F3170" s="10" t="str">
        <f>"2170581267 "</f>
        <v xml:space="preserve">2170581267 </v>
      </c>
      <c r="G3170" s="10" t="str">
        <f t="shared" si="139"/>
        <v>ON1</v>
      </c>
      <c r="H3170" s="10" t="s">
        <v>21</v>
      </c>
      <c r="I3170" s="10" t="s">
        <v>90</v>
      </c>
      <c r="J3170" s="10" t="str">
        <f>""</f>
        <v/>
      </c>
      <c r="K3170" s="10" t="str">
        <f>"PFES1162564746_0001"</f>
        <v>PFES1162564746_0001</v>
      </c>
      <c r="L3170" s="10">
        <v>1</v>
      </c>
      <c r="M3170" s="10">
        <v>3</v>
      </c>
    </row>
    <row r="3171" spans="1:13">
      <c r="A3171" s="8">
        <v>42941</v>
      </c>
      <c r="B3171" s="9">
        <v>0.68194444444444446</v>
      </c>
      <c r="C3171" s="10" t="str">
        <f>"FES1162564676"</f>
        <v>FES1162564676</v>
      </c>
      <c r="D3171" s="10" t="s">
        <v>19</v>
      </c>
      <c r="E3171" s="10" t="s">
        <v>237</v>
      </c>
      <c r="F3171" s="10" t="str">
        <f>"217057585 "</f>
        <v xml:space="preserve">217057585 </v>
      </c>
      <c r="G3171" s="10" t="str">
        <f t="shared" si="139"/>
        <v>ON1</v>
      </c>
      <c r="H3171" s="10" t="s">
        <v>21</v>
      </c>
      <c r="I3171" s="10" t="s">
        <v>238</v>
      </c>
      <c r="J3171" s="10" t="str">
        <f>""</f>
        <v/>
      </c>
      <c r="K3171" s="10" t="str">
        <f>"PFES1162564676_0001"</f>
        <v>PFES1162564676_0001</v>
      </c>
      <c r="L3171" s="10">
        <v>1</v>
      </c>
      <c r="M3171" s="10">
        <v>2</v>
      </c>
    </row>
    <row r="3172" spans="1:13">
      <c r="A3172" s="8">
        <v>42941</v>
      </c>
      <c r="B3172" s="9">
        <v>0.6777777777777777</v>
      </c>
      <c r="C3172" s="10" t="str">
        <f>"FES1162564751"</f>
        <v>FES1162564751</v>
      </c>
      <c r="D3172" s="10" t="s">
        <v>19</v>
      </c>
      <c r="E3172" s="10" t="s">
        <v>39</v>
      </c>
      <c r="F3172" s="10" t="str">
        <f>"2170581276 "</f>
        <v xml:space="preserve">2170581276 </v>
      </c>
      <c r="G3172" s="10" t="str">
        <f t="shared" si="139"/>
        <v>ON1</v>
      </c>
      <c r="H3172" s="10" t="s">
        <v>21</v>
      </c>
      <c r="I3172" s="10" t="s">
        <v>40</v>
      </c>
      <c r="J3172" s="10" t="str">
        <f>""</f>
        <v/>
      </c>
      <c r="K3172" s="10" t="str">
        <f>"PFES1162564751_0001"</f>
        <v>PFES1162564751_0001</v>
      </c>
      <c r="L3172" s="10">
        <v>1</v>
      </c>
      <c r="M3172" s="10">
        <v>1</v>
      </c>
    </row>
    <row r="3173" spans="1:13">
      <c r="A3173" s="8">
        <v>42941</v>
      </c>
      <c r="B3173" s="9">
        <v>0.67708333333333337</v>
      </c>
      <c r="C3173" s="10" t="str">
        <f>"FES1162564744"</f>
        <v>FES1162564744</v>
      </c>
      <c r="D3173" s="10" t="s">
        <v>19</v>
      </c>
      <c r="E3173" s="10" t="s">
        <v>95</v>
      </c>
      <c r="F3173" s="10" t="str">
        <f>"2170581266 "</f>
        <v xml:space="preserve">2170581266 </v>
      </c>
      <c r="G3173" s="10" t="str">
        <f t="shared" si="139"/>
        <v>ON1</v>
      </c>
      <c r="H3173" s="10" t="s">
        <v>21</v>
      </c>
      <c r="I3173" s="10" t="s">
        <v>84</v>
      </c>
      <c r="J3173" s="10" t="str">
        <f>""</f>
        <v/>
      </c>
      <c r="K3173" s="10" t="str">
        <f>"PFES1162564744_0001"</f>
        <v>PFES1162564744_0001</v>
      </c>
      <c r="L3173" s="10">
        <v>1</v>
      </c>
      <c r="M3173" s="10">
        <v>2</v>
      </c>
    </row>
    <row r="3174" spans="1:13">
      <c r="A3174" s="8">
        <v>42941</v>
      </c>
      <c r="B3174" s="9">
        <v>0.67638888888888893</v>
      </c>
      <c r="C3174" s="10" t="str">
        <f>"FES1162564739"</f>
        <v>FES1162564739</v>
      </c>
      <c r="D3174" s="10" t="s">
        <v>19</v>
      </c>
      <c r="E3174" s="10" t="s">
        <v>1119</v>
      </c>
      <c r="F3174" s="10" t="str">
        <f>"2170581048 "</f>
        <v xml:space="preserve">2170581048 </v>
      </c>
      <c r="G3174" s="10" t="str">
        <f t="shared" si="139"/>
        <v>ON1</v>
      </c>
      <c r="H3174" s="10" t="s">
        <v>21</v>
      </c>
      <c r="I3174" s="10" t="s">
        <v>313</v>
      </c>
      <c r="J3174" s="10" t="str">
        <f>""</f>
        <v/>
      </c>
      <c r="K3174" s="10" t="str">
        <f>"PFES1162564739_0001"</f>
        <v>PFES1162564739_0001</v>
      </c>
      <c r="L3174" s="10">
        <v>1</v>
      </c>
      <c r="M3174" s="10">
        <v>4</v>
      </c>
    </row>
    <row r="3175" spans="1:13">
      <c r="A3175" s="8">
        <v>42941</v>
      </c>
      <c r="B3175" s="9">
        <v>0.67569444444444438</v>
      </c>
      <c r="C3175" s="10" t="str">
        <f>"FES1162564740"</f>
        <v>FES1162564740</v>
      </c>
      <c r="D3175" s="10" t="s">
        <v>19</v>
      </c>
      <c r="E3175" s="10" t="s">
        <v>301</v>
      </c>
      <c r="F3175" s="10" t="str">
        <f>"2170581230 "</f>
        <v xml:space="preserve">2170581230 </v>
      </c>
      <c r="G3175" s="10" t="str">
        <f t="shared" si="139"/>
        <v>ON1</v>
      </c>
      <c r="H3175" s="10" t="s">
        <v>21</v>
      </c>
      <c r="I3175" s="10" t="s">
        <v>302</v>
      </c>
      <c r="J3175" s="10" t="str">
        <f>""</f>
        <v/>
      </c>
      <c r="K3175" s="10" t="str">
        <f>"PFES1162564740_0001"</f>
        <v>PFES1162564740_0001</v>
      </c>
      <c r="L3175" s="10">
        <v>1</v>
      </c>
      <c r="M3175" s="10">
        <v>4</v>
      </c>
    </row>
    <row r="3176" spans="1:13">
      <c r="A3176" s="8">
        <v>42941</v>
      </c>
      <c r="B3176" s="9">
        <v>0.67499999999999993</v>
      </c>
      <c r="C3176" s="10" t="str">
        <f>"FES1162564738"</f>
        <v>FES1162564738</v>
      </c>
      <c r="D3176" s="10" t="s">
        <v>19</v>
      </c>
      <c r="E3176" s="10" t="s">
        <v>158</v>
      </c>
      <c r="F3176" s="10" t="str">
        <f>"2170580805 "</f>
        <v xml:space="preserve">2170580805 </v>
      </c>
      <c r="G3176" s="10" t="str">
        <f t="shared" si="139"/>
        <v>ON1</v>
      </c>
      <c r="H3176" s="10" t="s">
        <v>21</v>
      </c>
      <c r="I3176" s="10" t="s">
        <v>159</v>
      </c>
      <c r="J3176" s="10" t="str">
        <f>""</f>
        <v/>
      </c>
      <c r="K3176" s="10" t="str">
        <f>"PFES1162564738_0001"</f>
        <v>PFES1162564738_0001</v>
      </c>
      <c r="L3176" s="10">
        <v>1</v>
      </c>
      <c r="M3176" s="10">
        <v>1</v>
      </c>
    </row>
    <row r="3177" spans="1:13">
      <c r="A3177" s="8">
        <v>42941</v>
      </c>
      <c r="B3177" s="9">
        <v>0.6694444444444444</v>
      </c>
      <c r="C3177" s="10" t="str">
        <f>"009937591621"</f>
        <v>009937591621</v>
      </c>
      <c r="D3177" s="10" t="s">
        <v>19</v>
      </c>
      <c r="E3177" s="10" t="s">
        <v>237</v>
      </c>
      <c r="F3177" s="10" t="str">
        <f>"NICO LANDMAN "</f>
        <v xml:space="preserve">NICO LANDMAN </v>
      </c>
      <c r="G3177" s="10" t="str">
        <f t="shared" si="139"/>
        <v>ON1</v>
      </c>
      <c r="H3177" s="10" t="s">
        <v>21</v>
      </c>
      <c r="I3177" s="10" t="s">
        <v>238</v>
      </c>
      <c r="J3177" s="10" t="str">
        <f>""</f>
        <v/>
      </c>
      <c r="K3177" s="10" t="str">
        <f>"P009937591621_0001"</f>
        <v>P009937591621_0001</v>
      </c>
      <c r="L3177" s="10">
        <v>1</v>
      </c>
      <c r="M3177" s="10">
        <v>1</v>
      </c>
    </row>
    <row r="3178" spans="1:13">
      <c r="A3178" s="8">
        <v>42941</v>
      </c>
      <c r="B3178" s="9">
        <v>0.66597222222222219</v>
      </c>
      <c r="C3178" s="10" t="str">
        <f>"FES1162564736"</f>
        <v>FES1162564736</v>
      </c>
      <c r="D3178" s="10" t="s">
        <v>19</v>
      </c>
      <c r="E3178" s="10" t="s">
        <v>647</v>
      </c>
      <c r="F3178" s="10" t="str">
        <f>"2170581256 "</f>
        <v xml:space="preserve">2170581256 </v>
      </c>
      <c r="G3178" s="10" t="str">
        <f t="shared" si="139"/>
        <v>ON1</v>
      </c>
      <c r="H3178" s="10" t="s">
        <v>21</v>
      </c>
      <c r="I3178" s="10" t="s">
        <v>410</v>
      </c>
      <c r="J3178" s="10" t="str">
        <f>""</f>
        <v/>
      </c>
      <c r="K3178" s="10" t="str">
        <f>"PFES1162564736_0001"</f>
        <v>PFES1162564736_0001</v>
      </c>
      <c r="L3178" s="10">
        <v>1</v>
      </c>
      <c r="M3178" s="10">
        <v>1</v>
      </c>
    </row>
    <row r="3179" spans="1:13">
      <c r="A3179" s="8">
        <v>42941</v>
      </c>
      <c r="B3179" s="9">
        <v>0.6645833333333333</v>
      </c>
      <c r="C3179" s="10" t="str">
        <f>"FES1162564706"</f>
        <v>FES1162564706</v>
      </c>
      <c r="D3179" s="10" t="s">
        <v>19</v>
      </c>
      <c r="E3179" s="10" t="s">
        <v>355</v>
      </c>
      <c r="F3179" s="10" t="str">
        <f>"2170581216 "</f>
        <v xml:space="preserve">2170581216 </v>
      </c>
      <c r="G3179" s="10" t="str">
        <f t="shared" si="139"/>
        <v>ON1</v>
      </c>
      <c r="H3179" s="10" t="s">
        <v>21</v>
      </c>
      <c r="I3179" s="10" t="s">
        <v>330</v>
      </c>
      <c r="J3179" s="10" t="str">
        <f>""</f>
        <v/>
      </c>
      <c r="K3179" s="10" t="str">
        <f>"PFES1162564706_0001"</f>
        <v>PFES1162564706_0001</v>
      </c>
      <c r="L3179" s="10">
        <v>1</v>
      </c>
      <c r="M3179" s="10">
        <v>2</v>
      </c>
    </row>
    <row r="3180" spans="1:13">
      <c r="A3180" s="8">
        <v>42941</v>
      </c>
      <c r="B3180" s="9">
        <v>0.6645833333333333</v>
      </c>
      <c r="C3180" s="10" t="str">
        <f>"FES1162564737"</f>
        <v>FES1162564737</v>
      </c>
      <c r="D3180" s="10" t="s">
        <v>19</v>
      </c>
      <c r="E3180" s="10" t="s">
        <v>936</v>
      </c>
      <c r="F3180" s="10" t="str">
        <f>"2170580989 "</f>
        <v xml:space="preserve">2170580989 </v>
      </c>
      <c r="G3180" s="10" t="str">
        <f t="shared" si="139"/>
        <v>ON1</v>
      </c>
      <c r="H3180" s="10" t="s">
        <v>21</v>
      </c>
      <c r="I3180" s="10" t="s">
        <v>22</v>
      </c>
      <c r="J3180" s="10" t="str">
        <f>""</f>
        <v/>
      </c>
      <c r="K3180" s="10" t="str">
        <f>"PFES1162564737_0001"</f>
        <v>PFES1162564737_0001</v>
      </c>
      <c r="L3180" s="10">
        <v>1</v>
      </c>
      <c r="M3180" s="10">
        <v>2</v>
      </c>
    </row>
    <row r="3181" spans="1:13">
      <c r="A3181" s="8">
        <v>42941</v>
      </c>
      <c r="B3181" s="9">
        <v>0.66388888888888886</v>
      </c>
      <c r="C3181" s="10" t="str">
        <f>"FES1162564701"</f>
        <v>FES1162564701</v>
      </c>
      <c r="D3181" s="10" t="s">
        <v>19</v>
      </c>
      <c r="E3181" s="10" t="s">
        <v>299</v>
      </c>
      <c r="F3181" s="10" t="str">
        <f>"2170581210 "</f>
        <v xml:space="preserve">2170581210 </v>
      </c>
      <c r="G3181" s="10" t="str">
        <f t="shared" si="139"/>
        <v>ON1</v>
      </c>
      <c r="H3181" s="10" t="s">
        <v>21</v>
      </c>
      <c r="I3181" s="10" t="s">
        <v>183</v>
      </c>
      <c r="J3181" s="10" t="str">
        <f>""</f>
        <v/>
      </c>
      <c r="K3181" s="10" t="str">
        <f>"PFES1162564701_0001"</f>
        <v>PFES1162564701_0001</v>
      </c>
      <c r="L3181" s="10">
        <v>1</v>
      </c>
      <c r="M3181" s="10">
        <v>5</v>
      </c>
    </row>
    <row r="3182" spans="1:13">
      <c r="A3182" s="8">
        <v>42941</v>
      </c>
      <c r="B3182" s="9">
        <v>0.66388888888888886</v>
      </c>
      <c r="C3182" s="10" t="str">
        <f>"FES1162564718"</f>
        <v>FES1162564718</v>
      </c>
      <c r="D3182" s="10" t="s">
        <v>19</v>
      </c>
      <c r="E3182" s="10" t="s">
        <v>175</v>
      </c>
      <c r="F3182" s="10" t="str">
        <f>"2170581228 "</f>
        <v xml:space="preserve">2170581228 </v>
      </c>
      <c r="G3182" s="10" t="str">
        <f t="shared" si="139"/>
        <v>ON1</v>
      </c>
      <c r="H3182" s="10" t="s">
        <v>21</v>
      </c>
      <c r="I3182" s="10" t="s">
        <v>168</v>
      </c>
      <c r="J3182" s="10" t="str">
        <f>""</f>
        <v/>
      </c>
      <c r="K3182" s="10" t="str">
        <f>"PFES1162564718_0001"</f>
        <v>PFES1162564718_0001</v>
      </c>
      <c r="L3182" s="10">
        <v>1</v>
      </c>
      <c r="M3182" s="10">
        <v>1</v>
      </c>
    </row>
    <row r="3183" spans="1:13">
      <c r="A3183" s="8">
        <v>42941</v>
      </c>
      <c r="B3183" s="9">
        <v>0.66319444444444442</v>
      </c>
      <c r="C3183" s="10" t="str">
        <f>"FES1162564626"</f>
        <v>FES1162564626</v>
      </c>
      <c r="D3183" s="10" t="s">
        <v>19</v>
      </c>
      <c r="E3183" s="10" t="s">
        <v>1145</v>
      </c>
      <c r="F3183" s="10" t="str">
        <f>"2170580867 "</f>
        <v xml:space="preserve">2170580867 </v>
      </c>
      <c r="G3183" s="10" t="str">
        <f t="shared" si="139"/>
        <v>ON1</v>
      </c>
      <c r="H3183" s="10" t="s">
        <v>21</v>
      </c>
      <c r="I3183" s="10" t="s">
        <v>170</v>
      </c>
      <c r="J3183" s="10" t="str">
        <f>""</f>
        <v/>
      </c>
      <c r="K3183" s="10" t="str">
        <f>"PFES1162564626_0001"</f>
        <v>PFES1162564626_0001</v>
      </c>
      <c r="L3183" s="10">
        <v>1</v>
      </c>
      <c r="M3183" s="10">
        <v>1</v>
      </c>
    </row>
    <row r="3184" spans="1:13">
      <c r="A3184" s="8">
        <v>42941</v>
      </c>
      <c r="B3184" s="9">
        <v>0.66111111111111109</v>
      </c>
      <c r="C3184" s="10" t="str">
        <f>"FES1162564720"</f>
        <v>FES1162564720</v>
      </c>
      <c r="D3184" s="10" t="s">
        <v>19</v>
      </c>
      <c r="E3184" s="10" t="s">
        <v>690</v>
      </c>
      <c r="F3184" s="10" t="str">
        <f>"2170581234 "</f>
        <v xml:space="preserve">2170581234 </v>
      </c>
      <c r="G3184" s="10" t="str">
        <f t="shared" si="139"/>
        <v>ON1</v>
      </c>
      <c r="H3184" s="10" t="s">
        <v>21</v>
      </c>
      <c r="I3184" s="10" t="s">
        <v>691</v>
      </c>
      <c r="J3184" s="10" t="str">
        <f>""</f>
        <v/>
      </c>
      <c r="K3184" s="10" t="str">
        <f>"PFES1162564720_0001"</f>
        <v>PFES1162564720_0001</v>
      </c>
      <c r="L3184" s="10">
        <v>1</v>
      </c>
      <c r="M3184" s="10">
        <v>3</v>
      </c>
    </row>
    <row r="3185" spans="1:13">
      <c r="A3185" s="8">
        <v>42941</v>
      </c>
      <c r="B3185" s="9">
        <v>0.66111111111111109</v>
      </c>
      <c r="C3185" s="10" t="str">
        <f>"FES1162564694"</f>
        <v>FES1162564694</v>
      </c>
      <c r="D3185" s="10" t="s">
        <v>19</v>
      </c>
      <c r="E3185" s="10" t="s">
        <v>396</v>
      </c>
      <c r="F3185" s="10" t="str">
        <f>"2170576698 "</f>
        <v xml:space="preserve">2170576698 </v>
      </c>
      <c r="G3185" s="10" t="str">
        <f t="shared" si="139"/>
        <v>ON1</v>
      </c>
      <c r="H3185" s="10" t="s">
        <v>21</v>
      </c>
      <c r="I3185" s="10" t="s">
        <v>340</v>
      </c>
      <c r="J3185" s="10" t="str">
        <f>""</f>
        <v/>
      </c>
      <c r="K3185" s="10" t="str">
        <f>"PFES1162564694_0001"</f>
        <v>PFES1162564694_0001</v>
      </c>
      <c r="L3185" s="10">
        <v>1</v>
      </c>
      <c r="M3185" s="10">
        <v>17</v>
      </c>
    </row>
    <row r="3186" spans="1:13">
      <c r="A3186" s="8">
        <v>42941</v>
      </c>
      <c r="B3186" s="9">
        <v>0.66041666666666665</v>
      </c>
      <c r="C3186" s="10" t="str">
        <f>"FES1162564705"</f>
        <v>FES1162564705</v>
      </c>
      <c r="D3186" s="10" t="s">
        <v>19</v>
      </c>
      <c r="E3186" s="10" t="s">
        <v>33</v>
      </c>
      <c r="F3186" s="10" t="str">
        <f>"2170581214 "</f>
        <v xml:space="preserve">2170581214 </v>
      </c>
      <c r="G3186" s="10" t="str">
        <f t="shared" si="139"/>
        <v>ON1</v>
      </c>
      <c r="H3186" s="10" t="s">
        <v>21</v>
      </c>
      <c r="I3186" s="10" t="s">
        <v>34</v>
      </c>
      <c r="J3186" s="10" t="str">
        <f>""</f>
        <v/>
      </c>
      <c r="K3186" s="10" t="str">
        <f>"PFES1162564705_0001"</f>
        <v>PFES1162564705_0001</v>
      </c>
      <c r="L3186" s="10">
        <v>1</v>
      </c>
      <c r="M3186" s="10">
        <v>4</v>
      </c>
    </row>
    <row r="3187" spans="1:13">
      <c r="A3187" s="8">
        <v>42941</v>
      </c>
      <c r="B3187" s="9">
        <v>0.66041666666666665</v>
      </c>
      <c r="C3187" s="10" t="str">
        <f>"FES1162564711"</f>
        <v>FES1162564711</v>
      </c>
      <c r="D3187" s="10" t="s">
        <v>19</v>
      </c>
      <c r="E3187" s="10" t="s">
        <v>1146</v>
      </c>
      <c r="F3187" s="10" t="str">
        <f>"2170581223 "</f>
        <v xml:space="preserve">2170581223 </v>
      </c>
      <c r="G3187" s="10" t="str">
        <f t="shared" si="139"/>
        <v>ON1</v>
      </c>
      <c r="H3187" s="10" t="s">
        <v>21</v>
      </c>
      <c r="I3187" s="10" t="s">
        <v>90</v>
      </c>
      <c r="J3187" s="10" t="str">
        <f>""</f>
        <v/>
      </c>
      <c r="K3187" s="10" t="str">
        <f>"PFES1162564711_0001"</f>
        <v>PFES1162564711_0001</v>
      </c>
      <c r="L3187" s="10">
        <v>1</v>
      </c>
      <c r="M3187" s="10">
        <v>1</v>
      </c>
    </row>
    <row r="3188" spans="1:13">
      <c r="A3188" s="8">
        <v>42941</v>
      </c>
      <c r="B3188" s="9">
        <v>0.66041666666666665</v>
      </c>
      <c r="C3188" s="10" t="str">
        <f>"FES1162564717"</f>
        <v>FES1162564717</v>
      </c>
      <c r="D3188" s="10" t="s">
        <v>19</v>
      </c>
      <c r="E3188" s="10" t="s">
        <v>690</v>
      </c>
      <c r="F3188" s="10" t="str">
        <f>"2170581226 "</f>
        <v xml:space="preserve">2170581226 </v>
      </c>
      <c r="G3188" s="10" t="str">
        <f t="shared" si="139"/>
        <v>ON1</v>
      </c>
      <c r="H3188" s="10" t="s">
        <v>21</v>
      </c>
      <c r="I3188" s="10" t="s">
        <v>691</v>
      </c>
      <c r="J3188" s="10" t="str">
        <f>""</f>
        <v/>
      </c>
      <c r="K3188" s="10" t="str">
        <f>"PFES1162564717_0001"</f>
        <v>PFES1162564717_0001</v>
      </c>
      <c r="L3188" s="10">
        <v>1</v>
      </c>
      <c r="M3188" s="10">
        <v>2</v>
      </c>
    </row>
    <row r="3189" spans="1:13">
      <c r="A3189" s="8">
        <v>42941</v>
      </c>
      <c r="B3189" s="9">
        <v>0.65972222222222221</v>
      </c>
      <c r="C3189" s="10" t="str">
        <f>"FES1162564704"</f>
        <v>FES1162564704</v>
      </c>
      <c r="D3189" s="10" t="s">
        <v>19</v>
      </c>
      <c r="E3189" s="10" t="s">
        <v>39</v>
      </c>
      <c r="F3189" s="10" t="str">
        <f>"2170581213 "</f>
        <v xml:space="preserve">2170581213 </v>
      </c>
      <c r="G3189" s="10" t="str">
        <f t="shared" si="139"/>
        <v>ON1</v>
      </c>
      <c r="H3189" s="10" t="s">
        <v>21</v>
      </c>
      <c r="I3189" s="10" t="s">
        <v>40</v>
      </c>
      <c r="J3189" s="10" t="str">
        <f>""</f>
        <v/>
      </c>
      <c r="K3189" s="10" t="str">
        <f>"PFES1162564704_0001"</f>
        <v>PFES1162564704_0001</v>
      </c>
      <c r="L3189" s="10">
        <v>1</v>
      </c>
      <c r="M3189" s="10">
        <v>1</v>
      </c>
    </row>
    <row r="3190" spans="1:13">
      <c r="A3190" s="8">
        <v>42941</v>
      </c>
      <c r="B3190" s="9">
        <v>0.65972222222222221</v>
      </c>
      <c r="C3190" s="10" t="str">
        <f>"FES1162564709"</f>
        <v>FES1162564709</v>
      </c>
      <c r="D3190" s="10" t="s">
        <v>19</v>
      </c>
      <c r="E3190" s="10" t="s">
        <v>1147</v>
      </c>
      <c r="F3190" s="10" t="str">
        <f>"2170581218 "</f>
        <v xml:space="preserve">2170581218 </v>
      </c>
      <c r="G3190" s="10" t="str">
        <f t="shared" si="139"/>
        <v>ON1</v>
      </c>
      <c r="H3190" s="10" t="s">
        <v>21</v>
      </c>
      <c r="I3190" s="10" t="s">
        <v>684</v>
      </c>
      <c r="J3190" s="10" t="str">
        <f>""</f>
        <v/>
      </c>
      <c r="K3190" s="10" t="str">
        <f>"PFES1162564709_0001"</f>
        <v>PFES1162564709_0001</v>
      </c>
      <c r="L3190" s="10">
        <v>1</v>
      </c>
      <c r="M3190" s="10">
        <v>1</v>
      </c>
    </row>
    <row r="3191" spans="1:13">
      <c r="A3191" s="8">
        <v>42941</v>
      </c>
      <c r="B3191" s="9">
        <v>0.65763888888888888</v>
      </c>
      <c r="C3191" s="10" t="str">
        <f>"FES1162564732"</f>
        <v>FES1162564732</v>
      </c>
      <c r="D3191" s="10" t="s">
        <v>19</v>
      </c>
      <c r="E3191" s="10" t="s">
        <v>501</v>
      </c>
      <c r="F3191" s="10" t="str">
        <f>"2170581253 "</f>
        <v xml:space="preserve">2170581253 </v>
      </c>
      <c r="G3191" s="10" t="str">
        <f t="shared" si="139"/>
        <v>ON1</v>
      </c>
      <c r="H3191" s="10" t="s">
        <v>21</v>
      </c>
      <c r="I3191" s="10" t="s">
        <v>28</v>
      </c>
      <c r="J3191" s="10" t="str">
        <f>""</f>
        <v/>
      </c>
      <c r="K3191" s="10" t="str">
        <f>"PFES1162564732_0001"</f>
        <v>PFES1162564732_0001</v>
      </c>
      <c r="L3191" s="10">
        <v>1</v>
      </c>
      <c r="M3191" s="10">
        <v>1</v>
      </c>
    </row>
    <row r="3192" spans="1:13">
      <c r="A3192" s="8">
        <v>42941</v>
      </c>
      <c r="B3192" s="9">
        <v>0.65694444444444444</v>
      </c>
      <c r="C3192" s="10" t="str">
        <f>"FES1162564734"</f>
        <v>FES1162564734</v>
      </c>
      <c r="D3192" s="10" t="s">
        <v>19</v>
      </c>
      <c r="E3192" s="10" t="s">
        <v>190</v>
      </c>
      <c r="F3192" s="10" t="str">
        <f>"2170581241 "</f>
        <v xml:space="preserve">2170581241 </v>
      </c>
      <c r="G3192" s="10" t="str">
        <f t="shared" si="139"/>
        <v>ON1</v>
      </c>
      <c r="H3192" s="10" t="s">
        <v>21</v>
      </c>
      <c r="I3192" s="10" t="s">
        <v>52</v>
      </c>
      <c r="J3192" s="10" t="str">
        <f>""</f>
        <v/>
      </c>
      <c r="K3192" s="10" t="str">
        <f>"PFES1162564734_0001"</f>
        <v>PFES1162564734_0001</v>
      </c>
      <c r="L3192" s="10">
        <v>1</v>
      </c>
      <c r="M3192" s="10">
        <v>1</v>
      </c>
    </row>
    <row r="3193" spans="1:13">
      <c r="A3193" s="8">
        <v>42941</v>
      </c>
      <c r="B3193" s="9">
        <v>0.65555555555555556</v>
      </c>
      <c r="C3193" s="10" t="str">
        <f>"FES1162564726"</f>
        <v>FES1162564726</v>
      </c>
      <c r="D3193" s="10" t="s">
        <v>19</v>
      </c>
      <c r="E3193" s="10" t="s">
        <v>1148</v>
      </c>
      <c r="F3193" s="10" t="str">
        <f>"2170578810 "</f>
        <v xml:space="preserve">2170578810 </v>
      </c>
      <c r="G3193" s="10" t="str">
        <f t="shared" si="139"/>
        <v>ON1</v>
      </c>
      <c r="H3193" s="10" t="s">
        <v>21</v>
      </c>
      <c r="I3193" s="10" t="s">
        <v>138</v>
      </c>
      <c r="J3193" s="10" t="str">
        <f>""</f>
        <v/>
      </c>
      <c r="K3193" s="10" t="str">
        <f>"PFES1162564726_0001"</f>
        <v>PFES1162564726_0001</v>
      </c>
      <c r="L3193" s="10">
        <v>1</v>
      </c>
      <c r="M3193" s="10">
        <v>1</v>
      </c>
    </row>
    <row r="3194" spans="1:13">
      <c r="A3194" s="8">
        <v>42941</v>
      </c>
      <c r="B3194" s="9">
        <v>0.65486111111111112</v>
      </c>
      <c r="C3194" s="10" t="str">
        <f>"FES1162564713"</f>
        <v>FES1162564713</v>
      </c>
      <c r="D3194" s="10" t="s">
        <v>19</v>
      </c>
      <c r="E3194" s="10" t="s">
        <v>366</v>
      </c>
      <c r="F3194" s="10" t="str">
        <f>"2170564713 "</f>
        <v xml:space="preserve">2170564713 </v>
      </c>
      <c r="G3194" s="10" t="str">
        <f t="shared" si="139"/>
        <v>ON1</v>
      </c>
      <c r="H3194" s="10" t="s">
        <v>21</v>
      </c>
      <c r="I3194" s="10" t="s">
        <v>128</v>
      </c>
      <c r="J3194" s="10" t="str">
        <f>""</f>
        <v/>
      </c>
      <c r="K3194" s="10" t="str">
        <f>"PFES1162564713_0001"</f>
        <v>PFES1162564713_0001</v>
      </c>
      <c r="L3194" s="10">
        <v>1</v>
      </c>
      <c r="M3194" s="10">
        <v>1</v>
      </c>
    </row>
    <row r="3195" spans="1:13">
      <c r="A3195" s="8">
        <v>42941</v>
      </c>
      <c r="B3195" s="9">
        <v>0.65486111111111112</v>
      </c>
      <c r="C3195" s="10" t="str">
        <f>"FES1162564727"</f>
        <v>FES1162564727</v>
      </c>
      <c r="D3195" s="10" t="s">
        <v>19</v>
      </c>
      <c r="E3195" s="10" t="s">
        <v>1149</v>
      </c>
      <c r="F3195" s="10" t="str">
        <f>"2170581237 "</f>
        <v xml:space="preserve">2170581237 </v>
      </c>
      <c r="G3195" s="10" t="str">
        <f t="shared" si="139"/>
        <v>ON1</v>
      </c>
      <c r="H3195" s="10" t="s">
        <v>21</v>
      </c>
      <c r="I3195" s="10" t="s">
        <v>138</v>
      </c>
      <c r="J3195" s="10" t="str">
        <f>""</f>
        <v/>
      </c>
      <c r="K3195" s="10" t="str">
        <f>"PFES1162564727_0001"</f>
        <v>PFES1162564727_0001</v>
      </c>
      <c r="L3195" s="10">
        <v>1</v>
      </c>
      <c r="M3195" s="10">
        <v>1</v>
      </c>
    </row>
    <row r="3196" spans="1:13">
      <c r="A3196" s="8">
        <v>42941</v>
      </c>
      <c r="B3196" s="9">
        <v>0.65347222222222223</v>
      </c>
      <c r="C3196" s="10" t="str">
        <f>"FES1162564625"</f>
        <v>FES1162564625</v>
      </c>
      <c r="D3196" s="10" t="s">
        <v>19</v>
      </c>
      <c r="E3196" s="10" t="s">
        <v>158</v>
      </c>
      <c r="F3196" s="10" t="str">
        <f>"2170580805 "</f>
        <v xml:space="preserve">2170580805 </v>
      </c>
      <c r="G3196" s="10" t="str">
        <f t="shared" si="139"/>
        <v>ON1</v>
      </c>
      <c r="H3196" s="10" t="s">
        <v>21</v>
      </c>
      <c r="I3196" s="10" t="s">
        <v>159</v>
      </c>
      <c r="J3196" s="10" t="str">
        <f>""</f>
        <v/>
      </c>
      <c r="K3196" s="10" t="str">
        <f>"PFES1162564625_0001"</f>
        <v>PFES1162564625_0001</v>
      </c>
      <c r="L3196" s="10">
        <v>1</v>
      </c>
      <c r="M3196" s="10">
        <v>1</v>
      </c>
    </row>
    <row r="3197" spans="1:13">
      <c r="A3197" s="8">
        <v>42941</v>
      </c>
      <c r="B3197" s="9">
        <v>0.65277777777777779</v>
      </c>
      <c r="C3197" s="10" t="str">
        <f>"FES1162564723"</f>
        <v>FES1162564723</v>
      </c>
      <c r="D3197" s="10" t="s">
        <v>19</v>
      </c>
      <c r="E3197" s="10" t="s">
        <v>1127</v>
      </c>
      <c r="F3197" s="10" t="str">
        <f>"2170573376 "</f>
        <v xml:space="preserve">2170573376 </v>
      </c>
      <c r="G3197" s="10" t="str">
        <f t="shared" si="139"/>
        <v>ON1</v>
      </c>
      <c r="H3197" s="10" t="s">
        <v>21</v>
      </c>
      <c r="I3197" s="10" t="s">
        <v>248</v>
      </c>
      <c r="J3197" s="10" t="str">
        <f>""</f>
        <v/>
      </c>
      <c r="K3197" s="10" t="str">
        <f>"PFES1162564723_0001"</f>
        <v>PFES1162564723_0001</v>
      </c>
      <c r="L3197" s="10">
        <v>1</v>
      </c>
      <c r="M3197" s="10">
        <v>5</v>
      </c>
    </row>
    <row r="3198" spans="1:13">
      <c r="A3198" s="8">
        <v>42941</v>
      </c>
      <c r="B3198" s="9">
        <v>0.65208333333333335</v>
      </c>
      <c r="C3198" s="10" t="str">
        <f>"FES1162564712"</f>
        <v>FES1162564712</v>
      </c>
      <c r="D3198" s="10" t="s">
        <v>19</v>
      </c>
      <c r="E3198" s="10" t="s">
        <v>158</v>
      </c>
      <c r="F3198" s="10" t="str">
        <f>"2170581224 "</f>
        <v xml:space="preserve">2170581224 </v>
      </c>
      <c r="G3198" s="10" t="str">
        <f t="shared" si="139"/>
        <v>ON1</v>
      </c>
      <c r="H3198" s="10" t="s">
        <v>21</v>
      </c>
      <c r="I3198" s="10" t="s">
        <v>159</v>
      </c>
      <c r="J3198" s="10" t="str">
        <f>""</f>
        <v/>
      </c>
      <c r="K3198" s="10" t="str">
        <f>"PFES1162564712_0001"</f>
        <v>PFES1162564712_0001</v>
      </c>
      <c r="L3198" s="10">
        <v>1</v>
      </c>
      <c r="M3198" s="10">
        <v>1</v>
      </c>
    </row>
    <row r="3199" spans="1:13">
      <c r="A3199" s="8">
        <v>42941</v>
      </c>
      <c r="B3199" s="9">
        <v>0.65138888888888891</v>
      </c>
      <c r="C3199" s="10" t="str">
        <f>"FES1162564702"</f>
        <v>FES1162564702</v>
      </c>
      <c r="D3199" s="10" t="s">
        <v>19</v>
      </c>
      <c r="E3199" s="10" t="s">
        <v>1150</v>
      </c>
      <c r="F3199" s="10" t="str">
        <f>"2170581211 "</f>
        <v xml:space="preserve">2170581211 </v>
      </c>
      <c r="G3199" s="10" t="str">
        <f t="shared" si="139"/>
        <v>ON1</v>
      </c>
      <c r="H3199" s="10" t="s">
        <v>21</v>
      </c>
      <c r="I3199" s="10" t="s">
        <v>224</v>
      </c>
      <c r="J3199" s="10" t="str">
        <f>""</f>
        <v/>
      </c>
      <c r="K3199" s="10" t="str">
        <f>"PFES1162564702_0001"</f>
        <v>PFES1162564702_0001</v>
      </c>
      <c r="L3199" s="10">
        <v>1</v>
      </c>
      <c r="M3199" s="10">
        <v>1</v>
      </c>
    </row>
    <row r="3200" spans="1:13">
      <c r="A3200" s="8">
        <v>42941</v>
      </c>
      <c r="B3200" s="9">
        <v>0.65138888888888891</v>
      </c>
      <c r="C3200" s="10" t="str">
        <f>"FES1162564733"</f>
        <v>FES1162564733</v>
      </c>
      <c r="D3200" s="10" t="s">
        <v>19</v>
      </c>
      <c r="E3200" s="10" t="s">
        <v>664</v>
      </c>
      <c r="F3200" s="10" t="str">
        <f>"2170581248 "</f>
        <v xml:space="preserve">2170581248 </v>
      </c>
      <c r="G3200" s="10" t="str">
        <f t="shared" si="139"/>
        <v>ON1</v>
      </c>
      <c r="H3200" s="10" t="s">
        <v>21</v>
      </c>
      <c r="I3200" s="10" t="s">
        <v>665</v>
      </c>
      <c r="J3200" s="10" t="str">
        <f>""</f>
        <v/>
      </c>
      <c r="K3200" s="10" t="str">
        <f>"PFES1162564733_0001"</f>
        <v>PFES1162564733_0001</v>
      </c>
      <c r="L3200" s="10">
        <v>1</v>
      </c>
      <c r="M3200" s="10">
        <v>7</v>
      </c>
    </row>
    <row r="3201" spans="1:13">
      <c r="A3201" s="8">
        <v>42941</v>
      </c>
      <c r="B3201" s="9">
        <v>0.65</v>
      </c>
      <c r="C3201" s="10" t="str">
        <f>"FES1162564700"</f>
        <v>FES1162564700</v>
      </c>
      <c r="D3201" s="10" t="s">
        <v>19</v>
      </c>
      <c r="E3201" s="10" t="s">
        <v>237</v>
      </c>
      <c r="F3201" s="10" t="str">
        <f>"2170581209 "</f>
        <v xml:space="preserve">2170581209 </v>
      </c>
      <c r="G3201" s="10" t="str">
        <f t="shared" si="139"/>
        <v>ON1</v>
      </c>
      <c r="H3201" s="10" t="s">
        <v>21</v>
      </c>
      <c r="I3201" s="10" t="s">
        <v>238</v>
      </c>
      <c r="J3201" s="10" t="str">
        <f>""</f>
        <v/>
      </c>
      <c r="K3201" s="10" t="str">
        <f>"PFES1162564700_0001"</f>
        <v>PFES1162564700_0001</v>
      </c>
      <c r="L3201" s="10">
        <v>1</v>
      </c>
      <c r="M3201" s="10">
        <v>10</v>
      </c>
    </row>
    <row r="3202" spans="1:13">
      <c r="A3202" s="8">
        <v>42941</v>
      </c>
      <c r="B3202" s="9">
        <v>0.64930555555555558</v>
      </c>
      <c r="C3202" s="10" t="str">
        <f>"FES1162564672"</f>
        <v>FES1162564672</v>
      </c>
      <c r="D3202" s="10" t="s">
        <v>19</v>
      </c>
      <c r="E3202" s="10" t="s">
        <v>341</v>
      </c>
      <c r="F3202" s="10" t="str">
        <f>"2170581188 "</f>
        <v xml:space="preserve">2170581188 </v>
      </c>
      <c r="G3202" s="10" t="str">
        <f>"ON2"</f>
        <v>ON2</v>
      </c>
      <c r="H3202" s="10" t="s">
        <v>21</v>
      </c>
      <c r="I3202" s="10" t="s">
        <v>342</v>
      </c>
      <c r="J3202" s="10" t="str">
        <f>""</f>
        <v/>
      </c>
      <c r="K3202" s="10" t="str">
        <f>"PFES1162564672_0001"</f>
        <v>PFES1162564672_0001</v>
      </c>
      <c r="L3202" s="10">
        <v>1</v>
      </c>
      <c r="M3202" s="10">
        <v>11</v>
      </c>
    </row>
    <row r="3203" spans="1:13">
      <c r="A3203" s="8">
        <v>42941</v>
      </c>
      <c r="B3203" s="9">
        <v>0.64861111111111114</v>
      </c>
      <c r="C3203" s="10" t="str">
        <f>"FES1162564697"</f>
        <v>FES1162564697</v>
      </c>
      <c r="D3203" s="10" t="s">
        <v>19</v>
      </c>
      <c r="E3203" s="10" t="s">
        <v>436</v>
      </c>
      <c r="F3203" s="10" t="str">
        <f>"2170580524 "</f>
        <v xml:space="preserve">2170580524 </v>
      </c>
      <c r="G3203" s="10" t="str">
        <f t="shared" ref="G3203:G3221" si="140">"ON1"</f>
        <v>ON1</v>
      </c>
      <c r="H3203" s="10" t="s">
        <v>21</v>
      </c>
      <c r="I3203" s="10" t="s">
        <v>252</v>
      </c>
      <c r="J3203" s="10" t="str">
        <f>""</f>
        <v/>
      </c>
      <c r="K3203" s="10" t="str">
        <f>"PFES1162564697_0001"</f>
        <v>PFES1162564697_0001</v>
      </c>
      <c r="L3203" s="10">
        <v>1</v>
      </c>
      <c r="M3203" s="10">
        <v>3</v>
      </c>
    </row>
    <row r="3204" spans="1:13">
      <c r="A3204" s="8">
        <v>42941</v>
      </c>
      <c r="B3204" s="9">
        <v>0.64722222222222225</v>
      </c>
      <c r="C3204" s="10" t="str">
        <f>"FES1162564715"</f>
        <v>FES1162564715</v>
      </c>
      <c r="D3204" s="10" t="s">
        <v>19</v>
      </c>
      <c r="E3204" s="10" t="s">
        <v>1148</v>
      </c>
      <c r="F3204" s="10" t="str">
        <f>"2170579585 "</f>
        <v xml:space="preserve">2170579585 </v>
      </c>
      <c r="G3204" s="10" t="str">
        <f t="shared" si="140"/>
        <v>ON1</v>
      </c>
      <c r="H3204" s="10" t="s">
        <v>21</v>
      </c>
      <c r="I3204" s="10" t="s">
        <v>138</v>
      </c>
      <c r="J3204" s="10" t="str">
        <f>""</f>
        <v/>
      </c>
      <c r="K3204" s="10" t="str">
        <f>"PFES1162564715_0001"</f>
        <v>PFES1162564715_0001</v>
      </c>
      <c r="L3204" s="10">
        <v>1</v>
      </c>
      <c r="M3204" s="10">
        <v>1</v>
      </c>
    </row>
    <row r="3205" spans="1:13">
      <c r="A3205" s="8">
        <v>42941</v>
      </c>
      <c r="B3205" s="9">
        <v>0.64652777777777781</v>
      </c>
      <c r="C3205" s="10" t="str">
        <f>"FES1162564716"</f>
        <v>FES1162564716</v>
      </c>
      <c r="D3205" s="10" t="s">
        <v>19</v>
      </c>
      <c r="E3205" s="10" t="s">
        <v>1148</v>
      </c>
      <c r="F3205" s="10" t="str">
        <f>"2170580506 "</f>
        <v xml:space="preserve">2170580506 </v>
      </c>
      <c r="G3205" s="10" t="str">
        <f t="shared" si="140"/>
        <v>ON1</v>
      </c>
      <c r="H3205" s="10" t="s">
        <v>21</v>
      </c>
      <c r="I3205" s="10" t="s">
        <v>138</v>
      </c>
      <c r="J3205" s="10" t="str">
        <f>""</f>
        <v/>
      </c>
      <c r="K3205" s="10" t="str">
        <f>"PFES1162564716_0001"</f>
        <v>PFES1162564716_0001</v>
      </c>
      <c r="L3205" s="10">
        <v>1</v>
      </c>
      <c r="M3205" s="10">
        <v>1</v>
      </c>
    </row>
    <row r="3206" spans="1:13">
      <c r="A3206" s="8">
        <v>42941</v>
      </c>
      <c r="B3206" s="9">
        <v>0.64583333333333337</v>
      </c>
      <c r="C3206" s="10" t="str">
        <f>"FES1162564728"</f>
        <v>FES1162564728</v>
      </c>
      <c r="D3206" s="10" t="s">
        <v>19</v>
      </c>
      <c r="E3206" s="10" t="s">
        <v>754</v>
      </c>
      <c r="F3206" s="10" t="str">
        <f>"2170581243 "</f>
        <v xml:space="preserve">2170581243 </v>
      </c>
      <c r="G3206" s="10" t="str">
        <f t="shared" si="140"/>
        <v>ON1</v>
      </c>
      <c r="H3206" s="10" t="s">
        <v>21</v>
      </c>
      <c r="I3206" s="10" t="s">
        <v>711</v>
      </c>
      <c r="J3206" s="10" t="str">
        <f>""</f>
        <v/>
      </c>
      <c r="K3206" s="10" t="str">
        <f>"PFES1162564728_0001"</f>
        <v>PFES1162564728_0001</v>
      </c>
      <c r="L3206" s="10">
        <v>1</v>
      </c>
      <c r="M3206" s="10">
        <v>1</v>
      </c>
    </row>
    <row r="3207" spans="1:13">
      <c r="A3207" s="8">
        <v>42941</v>
      </c>
      <c r="B3207" s="9">
        <v>0.64236111111111105</v>
      </c>
      <c r="C3207" s="10" t="str">
        <f>"FES1162564729"</f>
        <v>FES1162564729</v>
      </c>
      <c r="D3207" s="10" t="s">
        <v>19</v>
      </c>
      <c r="E3207" s="10" t="s">
        <v>282</v>
      </c>
      <c r="F3207" s="10" t="str">
        <f>"2170581244 "</f>
        <v xml:space="preserve">2170581244 </v>
      </c>
      <c r="G3207" s="10" t="str">
        <f t="shared" si="140"/>
        <v>ON1</v>
      </c>
      <c r="H3207" s="10" t="s">
        <v>21</v>
      </c>
      <c r="I3207" s="10" t="s">
        <v>252</v>
      </c>
      <c r="J3207" s="10" t="str">
        <f>""</f>
        <v/>
      </c>
      <c r="K3207" s="10" t="str">
        <f>"PFES1162564729_0001"</f>
        <v>PFES1162564729_0001</v>
      </c>
      <c r="L3207" s="10">
        <v>1</v>
      </c>
      <c r="M3207" s="10">
        <v>1</v>
      </c>
    </row>
    <row r="3208" spans="1:13">
      <c r="A3208" s="8">
        <v>42941</v>
      </c>
      <c r="B3208" s="9">
        <v>0.64097222222222217</v>
      </c>
      <c r="C3208" s="10" t="str">
        <f>"FES1162564698"</f>
        <v>FES1162564698</v>
      </c>
      <c r="D3208" s="10" t="s">
        <v>19</v>
      </c>
      <c r="E3208" s="10" t="s">
        <v>190</v>
      </c>
      <c r="F3208" s="10" t="str">
        <f>"2170580816 "</f>
        <v xml:space="preserve">2170580816 </v>
      </c>
      <c r="G3208" s="10" t="str">
        <f t="shared" si="140"/>
        <v>ON1</v>
      </c>
      <c r="H3208" s="10" t="s">
        <v>21</v>
      </c>
      <c r="I3208" s="10" t="s">
        <v>52</v>
      </c>
      <c r="J3208" s="10" t="str">
        <f>""</f>
        <v/>
      </c>
      <c r="K3208" s="10" t="str">
        <f>"PFES1162564698_0001"</f>
        <v>PFES1162564698_0001</v>
      </c>
      <c r="L3208" s="10">
        <v>1</v>
      </c>
      <c r="M3208" s="10">
        <v>10</v>
      </c>
    </row>
    <row r="3209" spans="1:13">
      <c r="A3209" s="8">
        <v>42942</v>
      </c>
      <c r="B3209" s="9">
        <v>0.60138888888888886</v>
      </c>
      <c r="C3209" s="10" t="str">
        <f>"FES1162564938"</f>
        <v>FES1162564938</v>
      </c>
      <c r="D3209" s="10" t="s">
        <v>362</v>
      </c>
      <c r="E3209" s="10" t="s">
        <v>324</v>
      </c>
      <c r="F3209" s="10" t="str">
        <f>"2170581284 "</f>
        <v xml:space="preserve">2170581284 </v>
      </c>
      <c r="G3209" s="10" t="str">
        <f t="shared" si="140"/>
        <v>ON1</v>
      </c>
      <c r="H3209" s="10" t="s">
        <v>21</v>
      </c>
      <c r="I3209" s="10" t="s">
        <v>325</v>
      </c>
      <c r="J3209" s="10" t="str">
        <f>""</f>
        <v/>
      </c>
      <c r="K3209" s="10" t="str">
        <f>"PFES1162564938_0001"</f>
        <v>PFES1162564938_0001</v>
      </c>
      <c r="L3209" s="10">
        <v>1</v>
      </c>
      <c r="M3209" s="10">
        <v>5</v>
      </c>
    </row>
    <row r="3210" spans="1:13">
      <c r="A3210" s="8">
        <v>42942</v>
      </c>
      <c r="B3210" s="9">
        <v>0.59722222222222221</v>
      </c>
      <c r="C3210" s="10" t="str">
        <f>"FES1162564931"</f>
        <v>FES1162564931</v>
      </c>
      <c r="D3210" s="10" t="s">
        <v>362</v>
      </c>
      <c r="E3210" s="10" t="s">
        <v>369</v>
      </c>
      <c r="F3210" s="10" t="str">
        <f>"2170581289 "</f>
        <v xml:space="preserve">2170581289 </v>
      </c>
      <c r="G3210" s="10" t="str">
        <f t="shared" si="140"/>
        <v>ON1</v>
      </c>
      <c r="H3210" s="10" t="s">
        <v>21</v>
      </c>
      <c r="I3210" s="10" t="s">
        <v>183</v>
      </c>
      <c r="J3210" s="10" t="str">
        <f>""</f>
        <v/>
      </c>
      <c r="K3210" s="10" t="str">
        <f>"PFES1162564931_0001"</f>
        <v>PFES1162564931_0001</v>
      </c>
      <c r="L3210" s="10">
        <v>1</v>
      </c>
      <c r="M3210" s="10">
        <v>1</v>
      </c>
    </row>
    <row r="3211" spans="1:13">
      <c r="A3211" s="8">
        <v>42942</v>
      </c>
      <c r="B3211" s="9">
        <v>0.59652777777777777</v>
      </c>
      <c r="C3211" s="10" t="str">
        <f>"FES1162564876"</f>
        <v>FES1162564876</v>
      </c>
      <c r="D3211" s="10" t="s">
        <v>362</v>
      </c>
      <c r="E3211" s="10" t="s">
        <v>884</v>
      </c>
      <c r="F3211" s="10" t="str">
        <f>"2170579291 "</f>
        <v xml:space="preserve">2170579291 </v>
      </c>
      <c r="G3211" s="10" t="str">
        <f t="shared" si="140"/>
        <v>ON1</v>
      </c>
      <c r="H3211" s="10" t="s">
        <v>21</v>
      </c>
      <c r="I3211" s="10" t="s">
        <v>885</v>
      </c>
      <c r="J3211" s="10" t="str">
        <f>""</f>
        <v/>
      </c>
      <c r="K3211" s="10" t="str">
        <f>"PFES1162564876_0001"</f>
        <v>PFES1162564876_0001</v>
      </c>
      <c r="L3211" s="10">
        <v>1</v>
      </c>
      <c r="M3211" s="10">
        <v>1</v>
      </c>
    </row>
    <row r="3212" spans="1:13">
      <c r="A3212" s="8">
        <v>42942</v>
      </c>
      <c r="B3212" s="9">
        <v>0.59583333333333333</v>
      </c>
      <c r="C3212" s="10" t="str">
        <f>"FES1162565048"</f>
        <v>FES1162565048</v>
      </c>
      <c r="D3212" s="10" t="s">
        <v>362</v>
      </c>
      <c r="E3212" s="10" t="s">
        <v>89</v>
      </c>
      <c r="F3212" s="10" t="str">
        <f>"2170581437 "</f>
        <v xml:space="preserve">2170581437 </v>
      </c>
      <c r="G3212" s="10" t="str">
        <f t="shared" si="140"/>
        <v>ON1</v>
      </c>
      <c r="H3212" s="10" t="s">
        <v>21</v>
      </c>
      <c r="I3212" s="10" t="s">
        <v>90</v>
      </c>
      <c r="J3212" s="10" t="str">
        <f>""</f>
        <v/>
      </c>
      <c r="K3212" s="10" t="str">
        <f>"PFES1162565048_0001"</f>
        <v>PFES1162565048_0001</v>
      </c>
      <c r="L3212" s="10">
        <v>1</v>
      </c>
      <c r="M3212" s="10">
        <v>1</v>
      </c>
    </row>
    <row r="3213" spans="1:13">
      <c r="A3213" s="8">
        <v>42942</v>
      </c>
      <c r="B3213" s="9">
        <v>0.59513888888888888</v>
      </c>
      <c r="C3213" s="10" t="str">
        <f>"FES1162564858"</f>
        <v>FES1162564858</v>
      </c>
      <c r="D3213" s="10" t="s">
        <v>362</v>
      </c>
      <c r="E3213" s="10" t="s">
        <v>610</v>
      </c>
      <c r="F3213" s="10" t="str">
        <f>"2170579097 "</f>
        <v xml:space="preserve">2170579097 </v>
      </c>
      <c r="G3213" s="10" t="str">
        <f t="shared" si="140"/>
        <v>ON1</v>
      </c>
      <c r="H3213" s="10" t="s">
        <v>21</v>
      </c>
      <c r="I3213" s="10" t="s">
        <v>196</v>
      </c>
      <c r="J3213" s="10" t="str">
        <f>""</f>
        <v/>
      </c>
      <c r="K3213" s="10" t="str">
        <f>"PFES1162564858_0001"</f>
        <v>PFES1162564858_0001</v>
      </c>
      <c r="L3213" s="10">
        <v>1</v>
      </c>
      <c r="M3213" s="10">
        <v>1</v>
      </c>
    </row>
    <row r="3214" spans="1:13">
      <c r="A3214" s="8">
        <v>42942</v>
      </c>
      <c r="B3214" s="9">
        <v>0.59444444444444444</v>
      </c>
      <c r="C3214" s="10" t="str">
        <f>"FES1162564833"</f>
        <v>FES1162564833</v>
      </c>
      <c r="D3214" s="10" t="s">
        <v>362</v>
      </c>
      <c r="E3214" s="10" t="s">
        <v>659</v>
      </c>
      <c r="F3214" s="10" t="str">
        <f>"2170578853 "</f>
        <v xml:space="preserve">2170578853 </v>
      </c>
      <c r="G3214" s="10" t="str">
        <f t="shared" si="140"/>
        <v>ON1</v>
      </c>
      <c r="H3214" s="10" t="s">
        <v>21</v>
      </c>
      <c r="I3214" s="10" t="s">
        <v>183</v>
      </c>
      <c r="J3214" s="10" t="str">
        <f>""</f>
        <v/>
      </c>
      <c r="K3214" s="10" t="str">
        <f>"PFES1162564833_0001"</f>
        <v>PFES1162564833_0001</v>
      </c>
      <c r="L3214" s="10">
        <v>1</v>
      </c>
      <c r="M3214" s="10">
        <v>1</v>
      </c>
    </row>
    <row r="3215" spans="1:13">
      <c r="A3215" s="8">
        <v>42942</v>
      </c>
      <c r="B3215" s="9">
        <v>0.59375</v>
      </c>
      <c r="C3215" s="10" t="str">
        <f>"FES1162564797"</f>
        <v>FES1162564797</v>
      </c>
      <c r="D3215" s="10" t="s">
        <v>362</v>
      </c>
      <c r="E3215" s="10" t="s">
        <v>912</v>
      </c>
      <c r="F3215" s="10" t="str">
        <f>"2170578347 "</f>
        <v xml:space="preserve">2170578347 </v>
      </c>
      <c r="G3215" s="10" t="str">
        <f t="shared" si="140"/>
        <v>ON1</v>
      </c>
      <c r="H3215" s="10" t="s">
        <v>21</v>
      </c>
      <c r="I3215" s="10" t="s">
        <v>387</v>
      </c>
      <c r="J3215" s="10" t="str">
        <f>""</f>
        <v/>
      </c>
      <c r="K3215" s="10" t="str">
        <f>"PFES1162564797_0001"</f>
        <v>PFES1162564797_0001</v>
      </c>
      <c r="L3215" s="10">
        <v>1</v>
      </c>
      <c r="M3215" s="10">
        <v>1</v>
      </c>
    </row>
    <row r="3216" spans="1:13">
      <c r="A3216" s="8">
        <v>42942</v>
      </c>
      <c r="B3216" s="9">
        <v>0.59236111111111112</v>
      </c>
      <c r="C3216" s="10" t="str">
        <f>"FES1162564976"</f>
        <v>FES1162564976</v>
      </c>
      <c r="D3216" s="10" t="s">
        <v>362</v>
      </c>
      <c r="E3216" s="10" t="s">
        <v>731</v>
      </c>
      <c r="F3216" s="10" t="str">
        <f>"2170581353 "</f>
        <v xml:space="preserve">2170581353 </v>
      </c>
      <c r="G3216" s="10" t="str">
        <f t="shared" si="140"/>
        <v>ON1</v>
      </c>
      <c r="H3216" s="10" t="s">
        <v>21</v>
      </c>
      <c r="I3216" s="10" t="s">
        <v>22</v>
      </c>
      <c r="J3216" s="10" t="str">
        <f>""</f>
        <v/>
      </c>
      <c r="K3216" s="10" t="str">
        <f>"PFES1162564976_0001"</f>
        <v>PFES1162564976_0001</v>
      </c>
      <c r="L3216" s="10">
        <v>1</v>
      </c>
      <c r="M3216" s="10">
        <v>1</v>
      </c>
    </row>
    <row r="3217" spans="1:13">
      <c r="A3217" s="8">
        <v>42942</v>
      </c>
      <c r="B3217" s="9">
        <v>0.59236111111111112</v>
      </c>
      <c r="C3217" s="10" t="str">
        <f>"FES1162564920"</f>
        <v>FES1162564920</v>
      </c>
      <c r="D3217" s="10" t="s">
        <v>362</v>
      </c>
      <c r="E3217" s="10" t="s">
        <v>154</v>
      </c>
      <c r="F3217" s="10" t="str">
        <f>"2170581231 "</f>
        <v xml:space="preserve">2170581231 </v>
      </c>
      <c r="G3217" s="10" t="str">
        <f t="shared" si="140"/>
        <v>ON1</v>
      </c>
      <c r="H3217" s="10" t="s">
        <v>21</v>
      </c>
      <c r="I3217" s="10" t="s">
        <v>130</v>
      </c>
      <c r="J3217" s="10" t="str">
        <f>""</f>
        <v/>
      </c>
      <c r="K3217" s="10" t="str">
        <f>"PFES1162564920_0001"</f>
        <v>PFES1162564920_0001</v>
      </c>
      <c r="L3217" s="10">
        <v>1</v>
      </c>
      <c r="M3217" s="10">
        <v>2</v>
      </c>
    </row>
    <row r="3218" spans="1:13">
      <c r="A3218" s="8">
        <v>42942</v>
      </c>
      <c r="B3218" s="9">
        <v>0.59166666666666667</v>
      </c>
      <c r="C3218" s="10" t="str">
        <f>"FES1162564765"</f>
        <v>FES1162564765</v>
      </c>
      <c r="D3218" s="10" t="s">
        <v>362</v>
      </c>
      <c r="E3218" s="10" t="s">
        <v>129</v>
      </c>
      <c r="F3218" s="10" t="str">
        <f>"2170575453 "</f>
        <v xml:space="preserve">2170575453 </v>
      </c>
      <c r="G3218" s="10" t="str">
        <f t="shared" si="140"/>
        <v>ON1</v>
      </c>
      <c r="H3218" s="10" t="s">
        <v>21</v>
      </c>
      <c r="I3218" s="10" t="s">
        <v>130</v>
      </c>
      <c r="J3218" s="10" t="str">
        <f>""</f>
        <v/>
      </c>
      <c r="K3218" s="10" t="str">
        <f>"PFES1162564765_0001"</f>
        <v>PFES1162564765_0001</v>
      </c>
      <c r="L3218" s="10">
        <v>1</v>
      </c>
      <c r="M3218" s="10">
        <v>11</v>
      </c>
    </row>
    <row r="3219" spans="1:13">
      <c r="A3219" s="8">
        <v>42942</v>
      </c>
      <c r="B3219" s="9">
        <v>0.59097222222222223</v>
      </c>
      <c r="C3219" s="10" t="str">
        <f>"FES1162564824"</f>
        <v>FES1162564824</v>
      </c>
      <c r="D3219" s="10" t="s">
        <v>362</v>
      </c>
      <c r="E3219" s="10" t="s">
        <v>245</v>
      </c>
      <c r="F3219" s="10" t="str">
        <f>"2170578769 "</f>
        <v xml:space="preserve">2170578769 </v>
      </c>
      <c r="G3219" s="10" t="str">
        <f t="shared" si="140"/>
        <v>ON1</v>
      </c>
      <c r="H3219" s="10" t="s">
        <v>21</v>
      </c>
      <c r="I3219" s="10" t="s">
        <v>246</v>
      </c>
      <c r="J3219" s="10" t="str">
        <f>""</f>
        <v/>
      </c>
      <c r="K3219" s="10" t="str">
        <f>"PFES1162564824_0001"</f>
        <v>PFES1162564824_0001</v>
      </c>
      <c r="L3219" s="10">
        <v>1</v>
      </c>
      <c r="M3219" s="10">
        <v>3</v>
      </c>
    </row>
    <row r="3220" spans="1:13">
      <c r="A3220" s="8">
        <v>42942</v>
      </c>
      <c r="B3220" s="9">
        <v>0.59027777777777779</v>
      </c>
      <c r="C3220" s="10" t="str">
        <f>"FES1162564776"</f>
        <v>FES1162564776</v>
      </c>
      <c r="D3220" s="10" t="s">
        <v>362</v>
      </c>
      <c r="E3220" s="10" t="s">
        <v>604</v>
      </c>
      <c r="F3220" s="10" t="str">
        <f>"2170577210 "</f>
        <v xml:space="preserve">2170577210 </v>
      </c>
      <c r="G3220" s="10" t="str">
        <f t="shared" si="140"/>
        <v>ON1</v>
      </c>
      <c r="H3220" s="10" t="s">
        <v>21</v>
      </c>
      <c r="I3220" s="10" t="s">
        <v>121</v>
      </c>
      <c r="J3220" s="10" t="str">
        <f>""</f>
        <v/>
      </c>
      <c r="K3220" s="10" t="str">
        <f>"PFES1162564776_0001"</f>
        <v>PFES1162564776_0001</v>
      </c>
      <c r="L3220" s="10">
        <v>1</v>
      </c>
      <c r="M3220" s="10">
        <v>3</v>
      </c>
    </row>
    <row r="3221" spans="1:13">
      <c r="A3221" s="8">
        <v>42942</v>
      </c>
      <c r="B3221" s="9">
        <v>0.58888888888888891</v>
      </c>
      <c r="C3221" s="10" t="str">
        <f>"FES1162564956"</f>
        <v>FES1162564956</v>
      </c>
      <c r="D3221" s="10" t="s">
        <v>362</v>
      </c>
      <c r="E3221" s="10" t="s">
        <v>659</v>
      </c>
      <c r="F3221" s="10" t="str">
        <f>"2170581317 "</f>
        <v xml:space="preserve">2170581317 </v>
      </c>
      <c r="G3221" s="10" t="str">
        <f t="shared" si="140"/>
        <v>ON1</v>
      </c>
      <c r="H3221" s="10" t="s">
        <v>21</v>
      </c>
      <c r="I3221" s="10" t="s">
        <v>183</v>
      </c>
      <c r="J3221" s="10" t="str">
        <f>""</f>
        <v/>
      </c>
      <c r="K3221" s="10" t="str">
        <f>"PFES1162564956_0001"</f>
        <v>PFES1162564956_0001</v>
      </c>
      <c r="L3221" s="10">
        <v>1</v>
      </c>
      <c r="M3221" s="10">
        <v>6</v>
      </c>
    </row>
    <row r="3222" spans="1:13">
      <c r="A3222" s="8">
        <v>42942</v>
      </c>
      <c r="B3222" s="9">
        <v>0.58680555555555558</v>
      </c>
      <c r="C3222" s="10" t="str">
        <f>"FES1162564935"</f>
        <v>FES1162564935</v>
      </c>
      <c r="D3222" s="10" t="s">
        <v>362</v>
      </c>
      <c r="E3222" s="10" t="s">
        <v>1151</v>
      </c>
      <c r="F3222" s="10" t="str">
        <f>"2170581295 "</f>
        <v xml:space="preserve">2170581295 </v>
      </c>
      <c r="G3222" s="10" t="str">
        <f>"DBC"</f>
        <v>DBC</v>
      </c>
      <c r="H3222" s="10" t="s">
        <v>21</v>
      </c>
      <c r="I3222" s="10" t="s">
        <v>1049</v>
      </c>
      <c r="J3222" s="10" t="str">
        <f>"FRAGILE OIL"</f>
        <v>FRAGILE OIL</v>
      </c>
      <c r="K3222" s="10" t="str">
        <f>"PFES1162564935_0001"</f>
        <v>PFES1162564935_0001</v>
      </c>
      <c r="L3222" s="10">
        <v>2</v>
      </c>
      <c r="M3222" s="10">
        <v>4</v>
      </c>
    </row>
    <row r="3223" spans="1:13">
      <c r="A3223" s="8">
        <v>42942</v>
      </c>
      <c r="B3223" s="9">
        <v>0.58680555555555558</v>
      </c>
      <c r="C3223" s="10" t="str">
        <f>"FES1162564935"</f>
        <v>FES1162564935</v>
      </c>
      <c r="D3223" s="10" t="s">
        <v>362</v>
      </c>
      <c r="E3223" s="10" t="s">
        <v>1151</v>
      </c>
      <c r="F3223" s="10" t="str">
        <f>"2170581295 "</f>
        <v xml:space="preserve">2170581295 </v>
      </c>
      <c r="G3223" s="10" t="str">
        <f>"DBC"</f>
        <v>DBC</v>
      </c>
      <c r="H3223" s="10" t="s">
        <v>21</v>
      </c>
      <c r="I3223" s="10" t="s">
        <v>1049</v>
      </c>
      <c r="J3223" s="10" t="str">
        <f>"FRAGILE OIL"</f>
        <v>FRAGILE OIL</v>
      </c>
      <c r="K3223" s="10" t="str">
        <f>"PFES1162564935_0002"</f>
        <v>PFES1162564935_0002</v>
      </c>
      <c r="L3223" s="10">
        <v>2</v>
      </c>
      <c r="M3223" s="10">
        <v>4</v>
      </c>
    </row>
    <row r="3224" spans="1:13">
      <c r="A3224" s="8">
        <v>42942</v>
      </c>
      <c r="B3224" s="9">
        <v>0.58472222222222225</v>
      </c>
      <c r="C3224" s="10" t="str">
        <f>"FES1162564834"</f>
        <v>FES1162564834</v>
      </c>
      <c r="D3224" s="10" t="s">
        <v>362</v>
      </c>
      <c r="E3224" s="10" t="s">
        <v>1082</v>
      </c>
      <c r="F3224" s="10" t="str">
        <f>"2170578861 "</f>
        <v xml:space="preserve">2170578861 </v>
      </c>
      <c r="G3224" s="10" t="str">
        <f t="shared" ref="G3224:G3247" si="141">"ON1"</f>
        <v>ON1</v>
      </c>
      <c r="H3224" s="10" t="s">
        <v>21</v>
      </c>
      <c r="I3224" s="10" t="s">
        <v>22</v>
      </c>
      <c r="J3224" s="10" t="str">
        <f>""</f>
        <v/>
      </c>
      <c r="K3224" s="10" t="str">
        <f>"PFES1162564834_0001"</f>
        <v>PFES1162564834_0001</v>
      </c>
      <c r="L3224" s="10">
        <v>1</v>
      </c>
      <c r="M3224" s="10">
        <v>1</v>
      </c>
    </row>
    <row r="3225" spans="1:13">
      <c r="A3225" s="8">
        <v>42942</v>
      </c>
      <c r="B3225" s="9">
        <v>0.58263888888888882</v>
      </c>
      <c r="C3225" s="10" t="str">
        <f>"FES1162564964"</f>
        <v>FES1162564964</v>
      </c>
      <c r="D3225" s="10" t="s">
        <v>362</v>
      </c>
      <c r="E3225" s="10" t="s">
        <v>366</v>
      </c>
      <c r="F3225" s="10" t="str">
        <f>"2170581336 "</f>
        <v xml:space="preserve">2170581336 </v>
      </c>
      <c r="G3225" s="10" t="str">
        <f t="shared" si="141"/>
        <v>ON1</v>
      </c>
      <c r="H3225" s="10" t="s">
        <v>21</v>
      </c>
      <c r="I3225" s="10" t="s">
        <v>234</v>
      </c>
      <c r="J3225" s="10" t="str">
        <f>""</f>
        <v/>
      </c>
      <c r="K3225" s="10" t="str">
        <f>"PFES1162564964_0001"</f>
        <v>PFES1162564964_0001</v>
      </c>
      <c r="L3225" s="10">
        <v>1</v>
      </c>
      <c r="M3225" s="10">
        <v>6</v>
      </c>
    </row>
    <row r="3226" spans="1:13">
      <c r="A3226" s="8">
        <v>42942</v>
      </c>
      <c r="B3226" s="9">
        <v>0.57777777777777783</v>
      </c>
      <c r="C3226" s="10" t="str">
        <f>"FES1162564762"</f>
        <v>FES1162564762</v>
      </c>
      <c r="D3226" s="10" t="s">
        <v>362</v>
      </c>
      <c r="E3226" s="10" t="s">
        <v>249</v>
      </c>
      <c r="F3226" s="10" t="str">
        <f>"2170574772 "</f>
        <v xml:space="preserve">2170574772 </v>
      </c>
      <c r="G3226" s="10" t="str">
        <f t="shared" si="141"/>
        <v>ON1</v>
      </c>
      <c r="H3226" s="10" t="s">
        <v>21</v>
      </c>
      <c r="I3226" s="10" t="s">
        <v>166</v>
      </c>
      <c r="J3226" s="10" t="str">
        <f>""</f>
        <v/>
      </c>
      <c r="K3226" s="10" t="str">
        <f>"PFES1162564762_0001"</f>
        <v>PFES1162564762_0001</v>
      </c>
      <c r="L3226" s="10">
        <v>1</v>
      </c>
      <c r="M3226" s="10">
        <v>1</v>
      </c>
    </row>
    <row r="3227" spans="1:13">
      <c r="A3227" s="8">
        <v>42942</v>
      </c>
      <c r="B3227" s="9">
        <v>0.57708333333333328</v>
      </c>
      <c r="C3227" s="10" t="str">
        <f>"FES1162564810"</f>
        <v>FES1162564810</v>
      </c>
      <c r="D3227" s="10" t="s">
        <v>362</v>
      </c>
      <c r="E3227" s="10" t="s">
        <v>78</v>
      </c>
      <c r="F3227" s="10" t="str">
        <f>"2170578640 "</f>
        <v xml:space="preserve">2170578640 </v>
      </c>
      <c r="G3227" s="10" t="str">
        <f t="shared" si="141"/>
        <v>ON1</v>
      </c>
      <c r="H3227" s="10" t="s">
        <v>21</v>
      </c>
      <c r="I3227" s="10" t="s">
        <v>79</v>
      </c>
      <c r="J3227" s="10" t="str">
        <f>""</f>
        <v/>
      </c>
      <c r="K3227" s="10" t="str">
        <f>"PFES1162564810_0001"</f>
        <v>PFES1162564810_0001</v>
      </c>
      <c r="L3227" s="10">
        <v>1</v>
      </c>
      <c r="M3227" s="10">
        <v>2</v>
      </c>
    </row>
    <row r="3228" spans="1:13">
      <c r="A3228" s="8">
        <v>42942</v>
      </c>
      <c r="B3228" s="9">
        <v>0.57638888888888895</v>
      </c>
      <c r="C3228" s="10" t="str">
        <f>"FES1162565049"</f>
        <v>FES1162565049</v>
      </c>
      <c r="D3228" s="10" t="s">
        <v>362</v>
      </c>
      <c r="E3228" s="10" t="s">
        <v>78</v>
      </c>
      <c r="F3228" s="10" t="str">
        <f>"2170581440 "</f>
        <v xml:space="preserve">2170581440 </v>
      </c>
      <c r="G3228" s="10" t="str">
        <f t="shared" si="141"/>
        <v>ON1</v>
      </c>
      <c r="H3228" s="10" t="s">
        <v>21</v>
      </c>
      <c r="I3228" s="10" t="s">
        <v>79</v>
      </c>
      <c r="J3228" s="10" t="str">
        <f>""</f>
        <v/>
      </c>
      <c r="K3228" s="10" t="str">
        <f>"PFES1162565049_0001"</f>
        <v>PFES1162565049_0001</v>
      </c>
      <c r="L3228" s="10">
        <v>1</v>
      </c>
      <c r="M3228" s="10">
        <v>1</v>
      </c>
    </row>
    <row r="3229" spans="1:13">
      <c r="A3229" s="8">
        <v>42942</v>
      </c>
      <c r="B3229" s="9">
        <v>0.57361111111111118</v>
      </c>
      <c r="C3229" s="10" t="str">
        <f>"FES1162564974"</f>
        <v>FES1162564974</v>
      </c>
      <c r="D3229" s="10" t="s">
        <v>362</v>
      </c>
      <c r="E3229" s="10" t="s">
        <v>255</v>
      </c>
      <c r="F3229" s="10" t="str">
        <f>"2170581349 "</f>
        <v xml:space="preserve">2170581349 </v>
      </c>
      <c r="G3229" s="10" t="str">
        <f t="shared" si="141"/>
        <v>ON1</v>
      </c>
      <c r="H3229" s="10" t="s">
        <v>21</v>
      </c>
      <c r="I3229" s="10" t="s">
        <v>256</v>
      </c>
      <c r="J3229" s="10" t="str">
        <f>""</f>
        <v/>
      </c>
      <c r="K3229" s="10" t="str">
        <f>"PFES1162564974_0001"</f>
        <v>PFES1162564974_0001</v>
      </c>
      <c r="L3229" s="10">
        <v>1</v>
      </c>
      <c r="M3229" s="10">
        <v>1</v>
      </c>
    </row>
    <row r="3230" spans="1:13">
      <c r="A3230" s="8">
        <v>42942</v>
      </c>
      <c r="B3230" s="9">
        <v>0.57361111111111118</v>
      </c>
      <c r="C3230" s="10" t="str">
        <f>"FES1162564900"</f>
        <v>FES1162564900</v>
      </c>
      <c r="D3230" s="10" t="s">
        <v>362</v>
      </c>
      <c r="E3230" s="10" t="s">
        <v>255</v>
      </c>
      <c r="F3230" s="10" t="str">
        <f>"2170580566 "</f>
        <v xml:space="preserve">2170580566 </v>
      </c>
      <c r="G3230" s="10" t="str">
        <f t="shared" si="141"/>
        <v>ON1</v>
      </c>
      <c r="H3230" s="10" t="s">
        <v>21</v>
      </c>
      <c r="I3230" s="10" t="s">
        <v>256</v>
      </c>
      <c r="J3230" s="10" t="str">
        <f>""</f>
        <v/>
      </c>
      <c r="K3230" s="10" t="str">
        <f>"PFES1162564900_0001"</f>
        <v>PFES1162564900_0001</v>
      </c>
      <c r="L3230" s="10">
        <v>1</v>
      </c>
      <c r="M3230" s="10">
        <v>1</v>
      </c>
    </row>
    <row r="3231" spans="1:13">
      <c r="A3231" s="8">
        <v>42942</v>
      </c>
      <c r="B3231" s="9">
        <v>0.57291666666666663</v>
      </c>
      <c r="C3231" s="10" t="str">
        <f>"FES1162564843"</f>
        <v>FES1162564843</v>
      </c>
      <c r="D3231" s="10" t="s">
        <v>362</v>
      </c>
      <c r="E3231" s="10" t="s">
        <v>765</v>
      </c>
      <c r="F3231" s="10" t="str">
        <f>"2170578984 "</f>
        <v xml:space="preserve">2170578984 </v>
      </c>
      <c r="G3231" s="10" t="str">
        <f t="shared" si="141"/>
        <v>ON1</v>
      </c>
      <c r="H3231" s="10" t="s">
        <v>21</v>
      </c>
      <c r="I3231" s="10" t="s">
        <v>563</v>
      </c>
      <c r="J3231" s="10" t="str">
        <f>""</f>
        <v/>
      </c>
      <c r="K3231" s="10" t="str">
        <f>"PFES1162564843_0001"</f>
        <v>PFES1162564843_0001</v>
      </c>
      <c r="L3231" s="10">
        <v>1</v>
      </c>
      <c r="M3231" s="10">
        <v>1</v>
      </c>
    </row>
    <row r="3232" spans="1:13">
      <c r="A3232" s="8">
        <v>42942</v>
      </c>
      <c r="B3232" s="9">
        <v>0.57152777777777775</v>
      </c>
      <c r="C3232" s="10" t="str">
        <f>"FES1162564757"</f>
        <v>FES1162564757</v>
      </c>
      <c r="D3232" s="10" t="s">
        <v>362</v>
      </c>
      <c r="E3232" s="10" t="s">
        <v>184</v>
      </c>
      <c r="F3232" s="10" t="str">
        <f>"2170573418 "</f>
        <v xml:space="preserve">2170573418 </v>
      </c>
      <c r="G3232" s="10" t="str">
        <f t="shared" si="141"/>
        <v>ON1</v>
      </c>
      <c r="H3232" s="10" t="s">
        <v>21</v>
      </c>
      <c r="I3232" s="10" t="s">
        <v>185</v>
      </c>
      <c r="J3232" s="10" t="str">
        <f>""</f>
        <v/>
      </c>
      <c r="K3232" s="10" t="str">
        <f>"PFES1162564757_0001"</f>
        <v>PFES1162564757_0001</v>
      </c>
      <c r="L3232" s="10">
        <v>1</v>
      </c>
      <c r="M3232" s="10">
        <v>1</v>
      </c>
    </row>
    <row r="3233" spans="1:13">
      <c r="A3233" s="8">
        <v>42942</v>
      </c>
      <c r="B3233" s="9">
        <v>0.5708333333333333</v>
      </c>
      <c r="C3233" s="10" t="str">
        <f>"FES1162564860"</f>
        <v>FES1162564860</v>
      </c>
      <c r="D3233" s="10" t="s">
        <v>362</v>
      </c>
      <c r="E3233" s="10" t="s">
        <v>1075</v>
      </c>
      <c r="F3233" s="10" t="str">
        <f>"2170579103 "</f>
        <v xml:space="preserve">2170579103 </v>
      </c>
      <c r="G3233" s="10" t="str">
        <f t="shared" si="141"/>
        <v>ON1</v>
      </c>
      <c r="H3233" s="10" t="s">
        <v>21</v>
      </c>
      <c r="I3233" s="10" t="s">
        <v>455</v>
      </c>
      <c r="J3233" s="10" t="str">
        <f>""</f>
        <v/>
      </c>
      <c r="K3233" s="10" t="str">
        <f>"PFES1162564860_0001"</f>
        <v>PFES1162564860_0001</v>
      </c>
      <c r="L3233" s="10">
        <v>1</v>
      </c>
      <c r="M3233" s="10">
        <v>1</v>
      </c>
    </row>
    <row r="3234" spans="1:13">
      <c r="A3234" s="8">
        <v>42942</v>
      </c>
      <c r="B3234" s="9">
        <v>0.56944444444444442</v>
      </c>
      <c r="C3234" s="10" t="str">
        <f>"FES1162564835"</f>
        <v>FES1162564835</v>
      </c>
      <c r="D3234" s="10" t="s">
        <v>362</v>
      </c>
      <c r="E3234" s="10" t="s">
        <v>173</v>
      </c>
      <c r="F3234" s="10" t="str">
        <f>"2170578863 "</f>
        <v xml:space="preserve">2170578863 </v>
      </c>
      <c r="G3234" s="10" t="str">
        <f t="shared" si="141"/>
        <v>ON1</v>
      </c>
      <c r="H3234" s="10" t="s">
        <v>21</v>
      </c>
      <c r="I3234" s="10" t="s">
        <v>174</v>
      </c>
      <c r="J3234" s="10" t="str">
        <f>""</f>
        <v/>
      </c>
      <c r="K3234" s="10" t="str">
        <f>"PFES1162564835_0001"</f>
        <v>PFES1162564835_0001</v>
      </c>
      <c r="L3234" s="10">
        <v>1</v>
      </c>
      <c r="M3234" s="10">
        <v>4</v>
      </c>
    </row>
    <row r="3235" spans="1:13">
      <c r="A3235" s="8">
        <v>42942</v>
      </c>
      <c r="B3235" s="9">
        <v>0.56805555555555554</v>
      </c>
      <c r="C3235" s="10" t="str">
        <f>"FES1162564901"</f>
        <v>FES1162564901</v>
      </c>
      <c r="D3235" s="10" t="s">
        <v>362</v>
      </c>
      <c r="E3235" s="10" t="s">
        <v>180</v>
      </c>
      <c r="F3235" s="10" t="str">
        <f>"2170580604 "</f>
        <v xml:space="preserve">2170580604 </v>
      </c>
      <c r="G3235" s="10" t="str">
        <f t="shared" si="141"/>
        <v>ON1</v>
      </c>
      <c r="H3235" s="10" t="s">
        <v>21</v>
      </c>
      <c r="I3235" s="10" t="s">
        <v>168</v>
      </c>
      <c r="J3235" s="10" t="str">
        <f>""</f>
        <v/>
      </c>
      <c r="K3235" s="10" t="str">
        <f>"PFES1162564901_0001"</f>
        <v>PFES1162564901_0001</v>
      </c>
      <c r="L3235" s="10">
        <v>1</v>
      </c>
      <c r="M3235" s="10">
        <v>1</v>
      </c>
    </row>
    <row r="3236" spans="1:13">
      <c r="A3236" s="8">
        <v>42942</v>
      </c>
      <c r="B3236" s="9">
        <v>0.56736111111111109</v>
      </c>
      <c r="C3236" s="10" t="str">
        <f>"FES1162564889"</f>
        <v>FES1162564889</v>
      </c>
      <c r="D3236" s="10" t="s">
        <v>362</v>
      </c>
      <c r="E3236" s="10" t="s">
        <v>295</v>
      </c>
      <c r="F3236" s="10" t="str">
        <f>"2170579925 "</f>
        <v xml:space="preserve">2170579925 </v>
      </c>
      <c r="G3236" s="10" t="str">
        <f t="shared" si="141"/>
        <v>ON1</v>
      </c>
      <c r="H3236" s="10" t="s">
        <v>21</v>
      </c>
      <c r="I3236" s="10" t="s">
        <v>179</v>
      </c>
      <c r="J3236" s="10" t="str">
        <f>""</f>
        <v/>
      </c>
      <c r="K3236" s="10" t="str">
        <f>"PFES1162564889_0001"</f>
        <v>PFES1162564889_0001</v>
      </c>
      <c r="L3236" s="10">
        <v>1</v>
      </c>
      <c r="M3236" s="10">
        <v>1</v>
      </c>
    </row>
    <row r="3237" spans="1:13">
      <c r="A3237" s="8">
        <v>42942</v>
      </c>
      <c r="B3237" s="9">
        <v>0.56666666666666665</v>
      </c>
      <c r="C3237" s="10" t="str">
        <f>"FES1162564808"</f>
        <v>FES1162564808</v>
      </c>
      <c r="D3237" s="10" t="s">
        <v>362</v>
      </c>
      <c r="E3237" s="10" t="s">
        <v>180</v>
      </c>
      <c r="F3237" s="10" t="str">
        <f>"2170578622 "</f>
        <v xml:space="preserve">2170578622 </v>
      </c>
      <c r="G3237" s="10" t="str">
        <f t="shared" si="141"/>
        <v>ON1</v>
      </c>
      <c r="H3237" s="10" t="s">
        <v>21</v>
      </c>
      <c r="I3237" s="10" t="s">
        <v>168</v>
      </c>
      <c r="J3237" s="10" t="str">
        <f>""</f>
        <v/>
      </c>
      <c r="K3237" s="10" t="str">
        <f>"PFES1162564808_0001"</f>
        <v>PFES1162564808_0001</v>
      </c>
      <c r="L3237" s="10">
        <v>1</v>
      </c>
      <c r="M3237" s="10">
        <v>1</v>
      </c>
    </row>
    <row r="3238" spans="1:13">
      <c r="A3238" s="8">
        <v>42942</v>
      </c>
      <c r="B3238" s="9">
        <v>0.56597222222222221</v>
      </c>
      <c r="C3238" s="10" t="str">
        <f>"FES1162564845"</f>
        <v>FES1162564845</v>
      </c>
      <c r="D3238" s="10" t="s">
        <v>362</v>
      </c>
      <c r="E3238" s="10" t="s">
        <v>422</v>
      </c>
      <c r="F3238" s="10" t="str">
        <f>"2170579011 "</f>
        <v xml:space="preserve">2170579011 </v>
      </c>
      <c r="G3238" s="10" t="str">
        <f t="shared" si="141"/>
        <v>ON1</v>
      </c>
      <c r="H3238" s="10" t="s">
        <v>21</v>
      </c>
      <c r="I3238" s="10" t="s">
        <v>330</v>
      </c>
      <c r="J3238" s="10" t="str">
        <f>""</f>
        <v/>
      </c>
      <c r="K3238" s="10" t="str">
        <f>"PFES1162564845_0001"</f>
        <v>PFES1162564845_0001</v>
      </c>
      <c r="L3238" s="10">
        <v>1</v>
      </c>
      <c r="M3238" s="10">
        <v>1</v>
      </c>
    </row>
    <row r="3239" spans="1:13">
      <c r="A3239" s="8">
        <v>42942</v>
      </c>
      <c r="B3239" s="9">
        <v>0.56527777777777777</v>
      </c>
      <c r="C3239" s="10" t="str">
        <f>"FES1162564811"</f>
        <v>FES1162564811</v>
      </c>
      <c r="D3239" s="10" t="s">
        <v>362</v>
      </c>
      <c r="E3239" s="10" t="s">
        <v>795</v>
      </c>
      <c r="F3239" s="10" t="str">
        <f>"2170578645 "</f>
        <v xml:space="preserve">2170578645 </v>
      </c>
      <c r="G3239" s="10" t="str">
        <f t="shared" si="141"/>
        <v>ON1</v>
      </c>
      <c r="H3239" s="10" t="s">
        <v>21</v>
      </c>
      <c r="I3239" s="10" t="s">
        <v>58</v>
      </c>
      <c r="J3239" s="10" t="str">
        <f>""</f>
        <v/>
      </c>
      <c r="K3239" s="10" t="str">
        <f>"PFES1162564811_0001"</f>
        <v>PFES1162564811_0001</v>
      </c>
      <c r="L3239" s="10">
        <v>1</v>
      </c>
      <c r="M3239" s="10">
        <v>1</v>
      </c>
    </row>
    <row r="3240" spans="1:13">
      <c r="A3240" s="8">
        <v>42942</v>
      </c>
      <c r="B3240" s="9">
        <v>0.56458333333333333</v>
      </c>
      <c r="C3240" s="10" t="str">
        <f>"FES1162564957"</f>
        <v>FES1162564957</v>
      </c>
      <c r="D3240" s="10" t="s">
        <v>362</v>
      </c>
      <c r="E3240" s="10" t="s">
        <v>835</v>
      </c>
      <c r="F3240" s="10" t="str">
        <f>"2170581320 "</f>
        <v xml:space="preserve">2170581320 </v>
      </c>
      <c r="G3240" s="10" t="str">
        <f t="shared" si="141"/>
        <v>ON1</v>
      </c>
      <c r="H3240" s="10" t="s">
        <v>21</v>
      </c>
      <c r="I3240" s="10" t="s">
        <v>330</v>
      </c>
      <c r="J3240" s="10" t="str">
        <f>""</f>
        <v/>
      </c>
      <c r="K3240" s="10" t="str">
        <f>"PFES1162564957_0001"</f>
        <v>PFES1162564957_0001</v>
      </c>
      <c r="L3240" s="10">
        <v>1</v>
      </c>
      <c r="M3240" s="10">
        <v>1</v>
      </c>
    </row>
    <row r="3241" spans="1:13">
      <c r="A3241" s="8">
        <v>42942</v>
      </c>
      <c r="B3241" s="9">
        <v>0.56319444444444444</v>
      </c>
      <c r="C3241" s="10" t="str">
        <f>"FES1162564796"</f>
        <v>FES1162564796</v>
      </c>
      <c r="D3241" s="10" t="s">
        <v>362</v>
      </c>
      <c r="E3241" s="10" t="s">
        <v>746</v>
      </c>
      <c r="F3241" s="10" t="str">
        <f>"2170578309 "</f>
        <v xml:space="preserve">2170578309 </v>
      </c>
      <c r="G3241" s="10" t="str">
        <f t="shared" si="141"/>
        <v>ON1</v>
      </c>
      <c r="H3241" s="10" t="s">
        <v>21</v>
      </c>
      <c r="I3241" s="10" t="s">
        <v>747</v>
      </c>
      <c r="J3241" s="10" t="str">
        <f>""</f>
        <v/>
      </c>
      <c r="K3241" s="10" t="str">
        <f>"PFES1162564796_0001"</f>
        <v>PFES1162564796_0001</v>
      </c>
      <c r="L3241" s="10">
        <v>1</v>
      </c>
      <c r="M3241" s="10">
        <v>1</v>
      </c>
    </row>
    <row r="3242" spans="1:13">
      <c r="A3242" s="8">
        <v>42942</v>
      </c>
      <c r="B3242" s="9">
        <v>0.5493055555555556</v>
      </c>
      <c r="C3242" s="10" t="str">
        <f>"FES1162564888"</f>
        <v>FES1162564888</v>
      </c>
      <c r="D3242" s="10" t="s">
        <v>362</v>
      </c>
      <c r="E3242" s="10" t="s">
        <v>129</v>
      </c>
      <c r="F3242" s="10" t="str">
        <f>"2170579901 "</f>
        <v xml:space="preserve">2170579901 </v>
      </c>
      <c r="G3242" s="10" t="str">
        <f t="shared" si="141"/>
        <v>ON1</v>
      </c>
      <c r="H3242" s="10" t="s">
        <v>21</v>
      </c>
      <c r="I3242" s="10" t="s">
        <v>130</v>
      </c>
      <c r="J3242" s="10" t="str">
        <f>""</f>
        <v/>
      </c>
      <c r="K3242" s="10" t="str">
        <f>"PFES1162564888_0001"</f>
        <v>PFES1162564888_0001</v>
      </c>
      <c r="L3242" s="10">
        <v>1</v>
      </c>
      <c r="M3242" s="10">
        <v>1</v>
      </c>
    </row>
    <row r="3243" spans="1:13">
      <c r="A3243" s="8">
        <v>42942</v>
      </c>
      <c r="B3243" s="9">
        <v>0.54861111111111105</v>
      </c>
      <c r="C3243" s="10" t="str">
        <f>"FES1162546840"</f>
        <v>FES1162546840</v>
      </c>
      <c r="D3243" s="10" t="s">
        <v>362</v>
      </c>
      <c r="E3243" s="10" t="s">
        <v>1129</v>
      </c>
      <c r="F3243" s="10" t="str">
        <f>"2170578920 "</f>
        <v xml:space="preserve">2170578920 </v>
      </c>
      <c r="G3243" s="10" t="str">
        <f t="shared" si="141"/>
        <v>ON1</v>
      </c>
      <c r="H3243" s="10" t="s">
        <v>21</v>
      </c>
      <c r="I3243" s="10" t="s">
        <v>400</v>
      </c>
      <c r="J3243" s="10" t="str">
        <f>""</f>
        <v/>
      </c>
      <c r="K3243" s="10" t="str">
        <f>"PFES1162546840_0001"</f>
        <v>PFES1162546840_0001</v>
      </c>
      <c r="L3243" s="10">
        <v>1</v>
      </c>
      <c r="M3243" s="10">
        <v>1</v>
      </c>
    </row>
    <row r="3244" spans="1:13">
      <c r="A3244" s="8">
        <v>42942</v>
      </c>
      <c r="B3244" s="9">
        <v>0.54791666666666672</v>
      </c>
      <c r="C3244" s="10" t="str">
        <f>"FES1162564801"</f>
        <v>FES1162564801</v>
      </c>
      <c r="D3244" s="10" t="s">
        <v>362</v>
      </c>
      <c r="E3244" s="10" t="s">
        <v>1130</v>
      </c>
      <c r="F3244" s="10" t="str">
        <f>"2170578560 "</f>
        <v xml:space="preserve">2170578560 </v>
      </c>
      <c r="G3244" s="10" t="str">
        <f t="shared" si="141"/>
        <v>ON1</v>
      </c>
      <c r="H3244" s="10" t="s">
        <v>21</v>
      </c>
      <c r="I3244" s="10" t="s">
        <v>230</v>
      </c>
      <c r="J3244" s="10" t="str">
        <f>""</f>
        <v/>
      </c>
      <c r="K3244" s="10" t="str">
        <f>"PFES1162564801_0001"</f>
        <v>PFES1162564801_0001</v>
      </c>
      <c r="L3244" s="10">
        <v>1</v>
      </c>
      <c r="M3244" s="10">
        <v>1</v>
      </c>
    </row>
    <row r="3245" spans="1:13">
      <c r="A3245" s="8">
        <v>42942</v>
      </c>
      <c r="B3245" s="9">
        <v>0.54722222222222217</v>
      </c>
      <c r="C3245" s="10" t="str">
        <f>"FES1162564852"</f>
        <v>FES1162564852</v>
      </c>
      <c r="D3245" s="10" t="s">
        <v>362</v>
      </c>
      <c r="E3245" s="10" t="s">
        <v>499</v>
      </c>
      <c r="F3245" s="10" t="str">
        <f>"2170579048 "</f>
        <v xml:space="preserve">2170579048 </v>
      </c>
      <c r="G3245" s="10" t="str">
        <f t="shared" si="141"/>
        <v>ON1</v>
      </c>
      <c r="H3245" s="10" t="s">
        <v>21</v>
      </c>
      <c r="I3245" s="10" t="s">
        <v>500</v>
      </c>
      <c r="J3245" s="10" t="str">
        <f>""</f>
        <v/>
      </c>
      <c r="K3245" s="10" t="str">
        <f>"PFES1162564852_0001"</f>
        <v>PFES1162564852_0001</v>
      </c>
      <c r="L3245" s="10">
        <v>1</v>
      </c>
      <c r="M3245" s="10">
        <v>1</v>
      </c>
    </row>
    <row r="3246" spans="1:13">
      <c r="A3246" s="8">
        <v>42942</v>
      </c>
      <c r="B3246" s="9">
        <v>0.54652777777777783</v>
      </c>
      <c r="C3246" s="10" t="str">
        <f>"FES1162564829"</f>
        <v>FES1162564829</v>
      </c>
      <c r="D3246" s="10" t="s">
        <v>362</v>
      </c>
      <c r="E3246" s="10" t="s">
        <v>550</v>
      </c>
      <c r="F3246" s="10" t="str">
        <f>"2170578826 "</f>
        <v xml:space="preserve">2170578826 </v>
      </c>
      <c r="G3246" s="10" t="str">
        <f t="shared" si="141"/>
        <v>ON1</v>
      </c>
      <c r="H3246" s="10" t="s">
        <v>21</v>
      </c>
      <c r="I3246" s="10" t="s">
        <v>161</v>
      </c>
      <c r="J3246" s="10" t="str">
        <f>""</f>
        <v/>
      </c>
      <c r="K3246" s="10" t="str">
        <f>"PFES1162564829_0001"</f>
        <v>PFES1162564829_0001</v>
      </c>
      <c r="L3246" s="10">
        <v>1</v>
      </c>
      <c r="M3246" s="10">
        <v>1</v>
      </c>
    </row>
    <row r="3247" spans="1:13">
      <c r="A3247" s="8">
        <v>42942</v>
      </c>
      <c r="B3247" s="9">
        <v>0.54305555555555551</v>
      </c>
      <c r="C3247" s="10" t="str">
        <f>"FES1162564761"</f>
        <v>FES1162564761</v>
      </c>
      <c r="D3247" s="10" t="s">
        <v>19</v>
      </c>
      <c r="E3247" s="10" t="s">
        <v>471</v>
      </c>
      <c r="F3247" s="10" t="str">
        <f>"2170574688 "</f>
        <v xml:space="preserve">2170574688 </v>
      </c>
      <c r="G3247" s="10" t="str">
        <f t="shared" si="141"/>
        <v>ON1</v>
      </c>
      <c r="H3247" s="10" t="s">
        <v>21</v>
      </c>
      <c r="I3247" s="10" t="s">
        <v>138</v>
      </c>
      <c r="J3247" s="10" t="str">
        <f>""</f>
        <v/>
      </c>
      <c r="K3247" s="10" t="str">
        <f>"PFES1162564761_0001"</f>
        <v>PFES1162564761_0001</v>
      </c>
      <c r="L3247" s="10">
        <v>1</v>
      </c>
      <c r="M3247" s="10">
        <v>3</v>
      </c>
    </row>
    <row r="3248" spans="1:13">
      <c r="A3248" s="8">
        <v>42942</v>
      </c>
      <c r="B3248" s="9">
        <v>0.54236111111111118</v>
      </c>
      <c r="C3248" s="10" t="str">
        <f>"FES1162564894"</f>
        <v>FES1162564894</v>
      </c>
      <c r="D3248" s="10" t="s">
        <v>19</v>
      </c>
      <c r="E3248" s="10" t="s">
        <v>288</v>
      </c>
      <c r="F3248" s="10" t="str">
        <f>"2170580398 "</f>
        <v xml:space="preserve">2170580398 </v>
      </c>
      <c r="G3248" s="10" t="str">
        <f>"DBC"</f>
        <v>DBC</v>
      </c>
      <c r="H3248" s="10" t="s">
        <v>21</v>
      </c>
      <c r="I3248" s="10" t="s">
        <v>177</v>
      </c>
      <c r="J3248" s="10" t="str">
        <f>""</f>
        <v/>
      </c>
      <c r="K3248" s="10" t="str">
        <f>"PFES1162564894_0001"</f>
        <v>PFES1162564894_0001</v>
      </c>
      <c r="L3248" s="10">
        <v>1</v>
      </c>
      <c r="M3248" s="10">
        <v>5</v>
      </c>
    </row>
    <row r="3249" spans="1:13">
      <c r="A3249" s="8">
        <v>42942</v>
      </c>
      <c r="B3249" s="9">
        <v>0.54236111111111118</v>
      </c>
      <c r="C3249" s="10" t="str">
        <f>"FES1162564803"</f>
        <v>FES1162564803</v>
      </c>
      <c r="D3249" s="10" t="s">
        <v>19</v>
      </c>
      <c r="E3249" s="10" t="s">
        <v>419</v>
      </c>
      <c r="F3249" s="10" t="str">
        <f>"2170578567 "</f>
        <v xml:space="preserve">2170578567 </v>
      </c>
      <c r="G3249" s="10" t="str">
        <f>"DBC"</f>
        <v>DBC</v>
      </c>
      <c r="H3249" s="10" t="s">
        <v>21</v>
      </c>
      <c r="I3249" s="10" t="s">
        <v>177</v>
      </c>
      <c r="J3249" s="10" t="str">
        <f>""</f>
        <v/>
      </c>
      <c r="K3249" s="10" t="str">
        <f>"PFES1162564803_0001"</f>
        <v>PFES1162564803_0001</v>
      </c>
      <c r="L3249" s="10">
        <v>2</v>
      </c>
      <c r="M3249" s="10">
        <v>7</v>
      </c>
    </row>
    <row r="3250" spans="1:13">
      <c r="A3250" s="8">
        <v>42942</v>
      </c>
      <c r="B3250" s="9">
        <v>0.54236111111111118</v>
      </c>
      <c r="C3250" s="10" t="str">
        <f>"FES1162564803"</f>
        <v>FES1162564803</v>
      </c>
      <c r="D3250" s="10" t="s">
        <v>19</v>
      </c>
      <c r="E3250" s="10" t="s">
        <v>419</v>
      </c>
      <c r="F3250" s="10" t="str">
        <f>"2170578567 "</f>
        <v xml:space="preserve">2170578567 </v>
      </c>
      <c r="G3250" s="10" t="str">
        <f>"DBC"</f>
        <v>DBC</v>
      </c>
      <c r="H3250" s="10" t="s">
        <v>21</v>
      </c>
      <c r="I3250" s="10" t="s">
        <v>177</v>
      </c>
      <c r="J3250" s="10"/>
      <c r="K3250" s="10" t="str">
        <f>"PFES1162564803_0002"</f>
        <v>PFES1162564803_0002</v>
      </c>
      <c r="L3250" s="10">
        <v>2</v>
      </c>
      <c r="M3250" s="10">
        <v>7</v>
      </c>
    </row>
    <row r="3251" spans="1:13">
      <c r="A3251" s="8">
        <v>42942</v>
      </c>
      <c r="B3251" s="9">
        <v>0.54166666666666663</v>
      </c>
      <c r="C3251" s="10" t="str">
        <f>"FES1162564798"</f>
        <v>FES1162564798</v>
      </c>
      <c r="D3251" s="10" t="s">
        <v>362</v>
      </c>
      <c r="E3251" s="10" t="s">
        <v>647</v>
      </c>
      <c r="F3251" s="10" t="str">
        <f>"2170578511 "</f>
        <v xml:space="preserve">2170578511 </v>
      </c>
      <c r="G3251" s="10" t="str">
        <f t="shared" ref="G3251:G3313" si="142">"ON1"</f>
        <v>ON1</v>
      </c>
      <c r="H3251" s="10" t="s">
        <v>21</v>
      </c>
      <c r="I3251" s="10" t="s">
        <v>410</v>
      </c>
      <c r="J3251" s="10" t="str">
        <f>""</f>
        <v/>
      </c>
      <c r="K3251" s="10" t="str">
        <f>"PFES1162564798_0001"</f>
        <v>PFES1162564798_0001</v>
      </c>
      <c r="L3251" s="10">
        <v>1</v>
      </c>
      <c r="M3251" s="10">
        <v>1</v>
      </c>
    </row>
    <row r="3252" spans="1:13">
      <c r="A3252" s="8">
        <v>42942</v>
      </c>
      <c r="B3252" s="9">
        <v>0.54097222222222219</v>
      </c>
      <c r="C3252" s="10" t="str">
        <f>"FES1162564915"</f>
        <v>FES1162564915</v>
      </c>
      <c r="D3252" s="10" t="s">
        <v>19</v>
      </c>
      <c r="E3252" s="10" t="s">
        <v>651</v>
      </c>
      <c r="F3252" s="10" t="str">
        <f>"2170581102 "</f>
        <v xml:space="preserve">2170581102 </v>
      </c>
      <c r="G3252" s="10" t="str">
        <f t="shared" si="142"/>
        <v>ON1</v>
      </c>
      <c r="H3252" s="10" t="s">
        <v>21</v>
      </c>
      <c r="I3252" s="10" t="s">
        <v>652</v>
      </c>
      <c r="J3252" s="10" t="str">
        <f>""</f>
        <v/>
      </c>
      <c r="K3252" s="10" t="str">
        <f>"PFES1162564915_0001"</f>
        <v>PFES1162564915_0001</v>
      </c>
      <c r="L3252" s="10">
        <v>1</v>
      </c>
      <c r="M3252" s="10">
        <v>1</v>
      </c>
    </row>
    <row r="3253" spans="1:13">
      <c r="A3253" s="8">
        <v>42942</v>
      </c>
      <c r="B3253" s="9">
        <v>0.54097222222222219</v>
      </c>
      <c r="C3253" s="10" t="str">
        <f>"FES1162564984"</f>
        <v>FES1162564984</v>
      </c>
      <c r="D3253" s="10" t="s">
        <v>362</v>
      </c>
      <c r="E3253" s="10" t="s">
        <v>39</v>
      </c>
      <c r="F3253" s="10" t="str">
        <f>"2170581360 "</f>
        <v xml:space="preserve">2170581360 </v>
      </c>
      <c r="G3253" s="10" t="str">
        <f t="shared" si="142"/>
        <v>ON1</v>
      </c>
      <c r="H3253" s="10" t="s">
        <v>21</v>
      </c>
      <c r="I3253" s="10" t="s">
        <v>40</v>
      </c>
      <c r="J3253" s="10" t="str">
        <f>""</f>
        <v/>
      </c>
      <c r="K3253" s="10" t="str">
        <f>"PFES1162564984_0001"</f>
        <v>PFES1162564984_0001</v>
      </c>
      <c r="L3253" s="10">
        <v>1</v>
      </c>
      <c r="M3253" s="10">
        <v>1</v>
      </c>
    </row>
    <row r="3254" spans="1:13">
      <c r="A3254" s="8">
        <v>42942</v>
      </c>
      <c r="B3254" s="9">
        <v>0.54097222222222219</v>
      </c>
      <c r="C3254" s="10" t="str">
        <f>"FES1162564883"</f>
        <v>FES1162564883</v>
      </c>
      <c r="D3254" s="10" t="s">
        <v>19</v>
      </c>
      <c r="E3254" s="10" t="s">
        <v>212</v>
      </c>
      <c r="F3254" s="10" t="str">
        <f>"2170579597 "</f>
        <v xml:space="preserve">2170579597 </v>
      </c>
      <c r="G3254" s="10" t="str">
        <f t="shared" si="142"/>
        <v>ON1</v>
      </c>
      <c r="H3254" s="10" t="s">
        <v>21</v>
      </c>
      <c r="I3254" s="10" t="s">
        <v>213</v>
      </c>
      <c r="J3254" s="10" t="str">
        <f>""</f>
        <v/>
      </c>
      <c r="K3254" s="10" t="str">
        <f>"PFES1162564883_0001"</f>
        <v>PFES1162564883_0001</v>
      </c>
      <c r="L3254" s="10">
        <v>1</v>
      </c>
      <c r="M3254" s="10">
        <v>1</v>
      </c>
    </row>
    <row r="3255" spans="1:13">
      <c r="A3255" s="8">
        <v>42942</v>
      </c>
      <c r="B3255" s="9">
        <v>0.54027777777777775</v>
      </c>
      <c r="C3255" s="10" t="str">
        <f>"FES1162564987"</f>
        <v>FES1162564987</v>
      </c>
      <c r="D3255" s="10" t="s">
        <v>362</v>
      </c>
      <c r="E3255" s="10" t="s">
        <v>62</v>
      </c>
      <c r="F3255" s="10" t="str">
        <f>"2170581366 "</f>
        <v xml:space="preserve">2170581366 </v>
      </c>
      <c r="G3255" s="10" t="str">
        <f t="shared" si="142"/>
        <v>ON1</v>
      </c>
      <c r="H3255" s="10" t="s">
        <v>21</v>
      </c>
      <c r="I3255" s="10" t="s">
        <v>40</v>
      </c>
      <c r="J3255" s="10" t="str">
        <f>""</f>
        <v/>
      </c>
      <c r="K3255" s="10" t="str">
        <f>"PFES1162564987_0001"</f>
        <v>PFES1162564987_0001</v>
      </c>
      <c r="L3255" s="10">
        <v>1</v>
      </c>
      <c r="M3255" s="10">
        <v>1</v>
      </c>
    </row>
    <row r="3256" spans="1:13">
      <c r="A3256" s="8">
        <v>42942</v>
      </c>
      <c r="B3256" s="9">
        <v>0.54027777777777775</v>
      </c>
      <c r="C3256" s="10" t="str">
        <f>"FES1162564925"</f>
        <v>FES1162564925</v>
      </c>
      <c r="D3256" s="10" t="s">
        <v>19</v>
      </c>
      <c r="E3256" s="10" t="s">
        <v>99</v>
      </c>
      <c r="F3256" s="10" t="str">
        <f>"2170578828 "</f>
        <v xml:space="preserve">2170578828 </v>
      </c>
      <c r="G3256" s="10" t="str">
        <f t="shared" si="142"/>
        <v>ON1</v>
      </c>
      <c r="H3256" s="10" t="s">
        <v>21</v>
      </c>
      <c r="I3256" s="10" t="s">
        <v>100</v>
      </c>
      <c r="J3256" s="10" t="str">
        <f>""</f>
        <v/>
      </c>
      <c r="K3256" s="10" t="str">
        <f>"PFES1162564925_0001"</f>
        <v>PFES1162564925_0001</v>
      </c>
      <c r="L3256" s="10">
        <v>1</v>
      </c>
      <c r="M3256" s="10">
        <v>1</v>
      </c>
    </row>
    <row r="3257" spans="1:13">
      <c r="A3257" s="8">
        <v>42942</v>
      </c>
      <c r="B3257" s="9">
        <v>0.5395833333333333</v>
      </c>
      <c r="C3257" s="10" t="str">
        <f>"FES1162564906"</f>
        <v>FES1162564906</v>
      </c>
      <c r="D3257" s="10" t="s">
        <v>19</v>
      </c>
      <c r="E3257" s="10" t="s">
        <v>1119</v>
      </c>
      <c r="F3257" s="10" t="str">
        <f>"21705808592 "</f>
        <v xml:space="preserve">21705808592 </v>
      </c>
      <c r="G3257" s="10" t="str">
        <f t="shared" si="142"/>
        <v>ON1</v>
      </c>
      <c r="H3257" s="10" t="s">
        <v>21</v>
      </c>
      <c r="I3257" s="10" t="s">
        <v>313</v>
      </c>
      <c r="J3257" s="10" t="str">
        <f>""</f>
        <v/>
      </c>
      <c r="K3257" s="10" t="str">
        <f>"PFES1162564906_0001"</f>
        <v>PFES1162564906_0001</v>
      </c>
      <c r="L3257" s="10">
        <v>1</v>
      </c>
      <c r="M3257" s="10">
        <v>1</v>
      </c>
    </row>
    <row r="3258" spans="1:13">
      <c r="A3258" s="8">
        <v>42942</v>
      </c>
      <c r="B3258" s="9">
        <v>0.5395833333333333</v>
      </c>
      <c r="C3258" s="10" t="str">
        <f>"FES1162564934"</f>
        <v>FES1162564934</v>
      </c>
      <c r="D3258" s="10" t="s">
        <v>19</v>
      </c>
      <c r="E3258" s="10" t="s">
        <v>1152</v>
      </c>
      <c r="F3258" s="10" t="str">
        <f>"2170581293 "</f>
        <v xml:space="preserve">2170581293 </v>
      </c>
      <c r="G3258" s="10" t="str">
        <f t="shared" si="142"/>
        <v>ON1</v>
      </c>
      <c r="H3258" s="10" t="s">
        <v>21</v>
      </c>
      <c r="I3258" s="10" t="s">
        <v>61</v>
      </c>
      <c r="J3258" s="10" t="str">
        <f>""</f>
        <v/>
      </c>
      <c r="K3258" s="10" t="str">
        <f>"PFES1162564934_0001"</f>
        <v>PFES1162564934_0001</v>
      </c>
      <c r="L3258" s="10">
        <v>1</v>
      </c>
      <c r="M3258" s="10">
        <v>1</v>
      </c>
    </row>
    <row r="3259" spans="1:13">
      <c r="A3259" s="8">
        <v>42942</v>
      </c>
      <c r="B3259" s="9">
        <v>0.5395833333333333</v>
      </c>
      <c r="C3259" s="10" t="str">
        <f>"FES1162564866"</f>
        <v>FES1162564866</v>
      </c>
      <c r="D3259" s="10" t="s">
        <v>362</v>
      </c>
      <c r="E3259" s="10" t="s">
        <v>154</v>
      </c>
      <c r="F3259" s="10" t="str">
        <f>"2170579202 "</f>
        <v xml:space="preserve">2170579202 </v>
      </c>
      <c r="G3259" s="10" t="str">
        <f t="shared" si="142"/>
        <v>ON1</v>
      </c>
      <c r="H3259" s="10" t="s">
        <v>21</v>
      </c>
      <c r="I3259" s="10" t="s">
        <v>130</v>
      </c>
      <c r="J3259" s="10" t="str">
        <f>""</f>
        <v/>
      </c>
      <c r="K3259" s="10" t="str">
        <f>"PFES1162564866_0001"</f>
        <v>PFES1162564866_0001</v>
      </c>
      <c r="L3259" s="10">
        <v>1</v>
      </c>
      <c r="M3259" s="10">
        <v>1</v>
      </c>
    </row>
    <row r="3260" spans="1:13">
      <c r="A3260" s="8">
        <v>42942</v>
      </c>
      <c r="B3260" s="9">
        <v>0.5395833333333333</v>
      </c>
      <c r="C3260" s="10" t="str">
        <f>"FES1162564919"</f>
        <v>FES1162564919</v>
      </c>
      <c r="D3260" s="10" t="s">
        <v>19</v>
      </c>
      <c r="E3260" s="10" t="s">
        <v>33</v>
      </c>
      <c r="F3260" s="10" t="str">
        <f>"2170581214 "</f>
        <v xml:space="preserve">2170581214 </v>
      </c>
      <c r="G3260" s="10" t="str">
        <f t="shared" si="142"/>
        <v>ON1</v>
      </c>
      <c r="H3260" s="10" t="s">
        <v>21</v>
      </c>
      <c r="I3260" s="10" t="s">
        <v>34</v>
      </c>
      <c r="J3260" s="10" t="str">
        <f>""</f>
        <v/>
      </c>
      <c r="K3260" s="10" t="str">
        <f>"PFES1162564919_0001"</f>
        <v>PFES1162564919_0001</v>
      </c>
      <c r="L3260" s="10">
        <v>1</v>
      </c>
      <c r="M3260" s="10">
        <v>1</v>
      </c>
    </row>
    <row r="3261" spans="1:13">
      <c r="A3261" s="8">
        <v>42942</v>
      </c>
      <c r="B3261" s="9">
        <v>0.53888888888888886</v>
      </c>
      <c r="C3261" s="10" t="str">
        <f>"FES1162564937"</f>
        <v>FES1162564937</v>
      </c>
      <c r="D3261" s="10" t="s">
        <v>19</v>
      </c>
      <c r="E3261" s="10" t="s">
        <v>1153</v>
      </c>
      <c r="F3261" s="10" t="str">
        <f>"2170581282 "</f>
        <v xml:space="preserve">2170581282 </v>
      </c>
      <c r="G3261" s="10" t="str">
        <f t="shared" si="142"/>
        <v>ON1</v>
      </c>
      <c r="H3261" s="10" t="s">
        <v>21</v>
      </c>
      <c r="I3261" s="10" t="s">
        <v>68</v>
      </c>
      <c r="J3261" s="10" t="str">
        <f>""</f>
        <v/>
      </c>
      <c r="K3261" s="10" t="str">
        <f>"PFES1162564937_0001"</f>
        <v>PFES1162564937_0001</v>
      </c>
      <c r="L3261" s="10">
        <v>1</v>
      </c>
      <c r="M3261" s="10">
        <v>1</v>
      </c>
    </row>
    <row r="3262" spans="1:13">
      <c r="A3262" s="8">
        <v>42942</v>
      </c>
      <c r="B3262" s="9">
        <v>0.53819444444444442</v>
      </c>
      <c r="C3262" s="10" t="str">
        <f>"FES1162564872"</f>
        <v>FES1162564872</v>
      </c>
      <c r="D3262" s="10" t="s">
        <v>362</v>
      </c>
      <c r="E3262" s="10" t="s">
        <v>1154</v>
      </c>
      <c r="F3262" s="10" t="str">
        <f>"2170579277 "</f>
        <v xml:space="preserve">2170579277 </v>
      </c>
      <c r="G3262" s="10" t="str">
        <f t="shared" si="142"/>
        <v>ON1</v>
      </c>
      <c r="H3262" s="10" t="s">
        <v>21</v>
      </c>
      <c r="I3262" s="10" t="s">
        <v>1155</v>
      </c>
      <c r="J3262" s="10" t="str">
        <f>""</f>
        <v/>
      </c>
      <c r="K3262" s="10" t="str">
        <f>"PFES1162564872_0001"</f>
        <v>PFES1162564872_0001</v>
      </c>
      <c r="L3262" s="10">
        <v>1</v>
      </c>
      <c r="M3262" s="10">
        <v>1</v>
      </c>
    </row>
    <row r="3263" spans="1:13">
      <c r="A3263" s="8">
        <v>42942</v>
      </c>
      <c r="B3263" s="9">
        <v>0.53680555555555554</v>
      </c>
      <c r="C3263" s="10" t="str">
        <f>"FES1162564864"</f>
        <v>FES1162564864</v>
      </c>
      <c r="D3263" s="10" t="s">
        <v>362</v>
      </c>
      <c r="E3263" s="10" t="s">
        <v>1156</v>
      </c>
      <c r="F3263" s="10" t="str">
        <f>"2170579132 "</f>
        <v xml:space="preserve">2170579132 </v>
      </c>
      <c r="G3263" s="10" t="str">
        <f t="shared" si="142"/>
        <v>ON1</v>
      </c>
      <c r="H3263" s="10" t="s">
        <v>21</v>
      </c>
      <c r="I3263" s="10" t="s">
        <v>318</v>
      </c>
      <c r="J3263" s="10" t="str">
        <f>""</f>
        <v/>
      </c>
      <c r="K3263" s="10" t="str">
        <f>"PFES1162564864_0001"</f>
        <v>PFES1162564864_0001</v>
      </c>
      <c r="L3263" s="10">
        <v>1</v>
      </c>
      <c r="M3263" s="10">
        <v>1</v>
      </c>
    </row>
    <row r="3264" spans="1:13">
      <c r="A3264" s="8">
        <v>42942</v>
      </c>
      <c r="B3264" s="9">
        <v>0.53680555555555554</v>
      </c>
      <c r="C3264" s="10" t="str">
        <f>"FES1162564791"</f>
        <v>FES1162564791</v>
      </c>
      <c r="D3264" s="10" t="s">
        <v>19</v>
      </c>
      <c r="E3264" s="10" t="s">
        <v>108</v>
      </c>
      <c r="F3264" s="10" t="str">
        <f>"217058104 "</f>
        <v xml:space="preserve">217058104 </v>
      </c>
      <c r="G3264" s="10" t="str">
        <f t="shared" si="142"/>
        <v>ON1</v>
      </c>
      <c r="H3264" s="10" t="s">
        <v>21</v>
      </c>
      <c r="I3264" s="10" t="s">
        <v>109</v>
      </c>
      <c r="J3264" s="10" t="str">
        <f>""</f>
        <v/>
      </c>
      <c r="K3264" s="10" t="str">
        <f>"PFES1162564791_0001"</f>
        <v>PFES1162564791_0001</v>
      </c>
      <c r="L3264" s="10">
        <v>1</v>
      </c>
      <c r="M3264" s="10">
        <v>1</v>
      </c>
    </row>
    <row r="3265" spans="1:13">
      <c r="A3265" s="8">
        <v>42942</v>
      </c>
      <c r="B3265" s="9">
        <v>0.53680555555555554</v>
      </c>
      <c r="C3265" s="10" t="str">
        <f>"FES1162564868"</f>
        <v>FES1162564868</v>
      </c>
      <c r="D3265" s="10" t="s">
        <v>19</v>
      </c>
      <c r="E3265" s="10" t="s">
        <v>323</v>
      </c>
      <c r="F3265" s="10" t="str">
        <f>"2170579252 "</f>
        <v xml:space="preserve">2170579252 </v>
      </c>
      <c r="G3265" s="10" t="str">
        <f t="shared" si="142"/>
        <v>ON1</v>
      </c>
      <c r="H3265" s="10" t="s">
        <v>21</v>
      </c>
      <c r="I3265" s="10" t="s">
        <v>75</v>
      </c>
      <c r="J3265" s="10" t="str">
        <f>""</f>
        <v/>
      </c>
      <c r="K3265" s="10" t="str">
        <f>"PFES1162564868_0001"</f>
        <v>PFES1162564868_0001</v>
      </c>
      <c r="L3265" s="10">
        <v>1</v>
      </c>
      <c r="M3265" s="10">
        <v>1</v>
      </c>
    </row>
    <row r="3266" spans="1:13">
      <c r="A3266" s="8">
        <v>42942</v>
      </c>
      <c r="B3266" s="9">
        <v>0.53611111111111109</v>
      </c>
      <c r="C3266" s="10" t="str">
        <f>"FES1162564795"</f>
        <v>FES1162564795</v>
      </c>
      <c r="D3266" s="10" t="s">
        <v>19</v>
      </c>
      <c r="E3266" s="10" t="s">
        <v>140</v>
      </c>
      <c r="F3266" s="10" t="str">
        <f>"2170578253 "</f>
        <v xml:space="preserve">2170578253 </v>
      </c>
      <c r="G3266" s="10" t="str">
        <f t="shared" si="142"/>
        <v>ON1</v>
      </c>
      <c r="H3266" s="10" t="s">
        <v>21</v>
      </c>
      <c r="I3266" s="10" t="s">
        <v>109</v>
      </c>
      <c r="J3266" s="10" t="str">
        <f>""</f>
        <v/>
      </c>
      <c r="K3266" s="10" t="str">
        <f>"PFES1162564795_0001"</f>
        <v>PFES1162564795_0001</v>
      </c>
      <c r="L3266" s="10">
        <v>1</v>
      </c>
      <c r="M3266" s="10">
        <v>1</v>
      </c>
    </row>
    <row r="3267" spans="1:13">
      <c r="A3267" s="8">
        <v>42942</v>
      </c>
      <c r="B3267" s="9">
        <v>0.53611111111111109</v>
      </c>
      <c r="C3267" s="10" t="str">
        <f>"FES1162564921"</f>
        <v>FES1162564921</v>
      </c>
      <c r="D3267" s="10" t="s">
        <v>19</v>
      </c>
      <c r="E3267" s="10" t="s">
        <v>361</v>
      </c>
      <c r="F3267" s="10" t="str">
        <f>"2170581235 "</f>
        <v xml:space="preserve">2170581235 </v>
      </c>
      <c r="G3267" s="10" t="str">
        <f t="shared" si="142"/>
        <v>ON1</v>
      </c>
      <c r="H3267" s="10" t="s">
        <v>21</v>
      </c>
      <c r="I3267" s="10" t="s">
        <v>106</v>
      </c>
      <c r="J3267" s="10" t="str">
        <f>""</f>
        <v/>
      </c>
      <c r="K3267" s="10" t="str">
        <f>"PFES1162564921_0001"</f>
        <v>PFES1162564921_0001</v>
      </c>
      <c r="L3267" s="10">
        <v>1</v>
      </c>
      <c r="M3267" s="10">
        <v>1</v>
      </c>
    </row>
    <row r="3268" spans="1:13">
      <c r="A3268" s="8">
        <v>42942</v>
      </c>
      <c r="B3268" s="9">
        <v>0.53611111111111109</v>
      </c>
      <c r="C3268" s="10" t="str">
        <f>"FES1162564787"</f>
        <v>FES1162564787</v>
      </c>
      <c r="D3268" s="10" t="s">
        <v>19</v>
      </c>
      <c r="E3268" s="10" t="s">
        <v>661</v>
      </c>
      <c r="F3268" s="10" t="str">
        <f>"2170577980 "</f>
        <v xml:space="preserve">2170577980 </v>
      </c>
      <c r="G3268" s="10" t="str">
        <f t="shared" si="142"/>
        <v>ON1</v>
      </c>
      <c r="H3268" s="10" t="s">
        <v>21</v>
      </c>
      <c r="I3268" s="10" t="s">
        <v>177</v>
      </c>
      <c r="J3268" s="10" t="str">
        <f>""</f>
        <v/>
      </c>
      <c r="K3268" s="10" t="str">
        <f>"PFES1162564787_0001"</f>
        <v>PFES1162564787_0001</v>
      </c>
      <c r="L3268" s="10">
        <v>1</v>
      </c>
      <c r="M3268" s="10">
        <v>1</v>
      </c>
    </row>
    <row r="3269" spans="1:13">
      <c r="A3269" s="8">
        <v>42942</v>
      </c>
      <c r="B3269" s="9">
        <v>0.53541666666666665</v>
      </c>
      <c r="C3269" s="10" t="str">
        <f>"FES1162564759"</f>
        <v>FES1162564759</v>
      </c>
      <c r="D3269" s="10" t="s">
        <v>19</v>
      </c>
      <c r="E3269" s="10" t="s">
        <v>181</v>
      </c>
      <c r="F3269" s="10" t="str">
        <f>"2170573461 "</f>
        <v xml:space="preserve">2170573461 </v>
      </c>
      <c r="G3269" s="10" t="str">
        <f t="shared" si="142"/>
        <v>ON1</v>
      </c>
      <c r="H3269" s="10" t="s">
        <v>21</v>
      </c>
      <c r="I3269" s="10" t="s">
        <v>179</v>
      </c>
      <c r="J3269" s="10" t="str">
        <f>""</f>
        <v/>
      </c>
      <c r="K3269" s="10" t="str">
        <f>"PFES1162564759_0001"</f>
        <v>PFES1162564759_0001</v>
      </c>
      <c r="L3269" s="10">
        <v>1</v>
      </c>
      <c r="M3269" s="10">
        <v>1</v>
      </c>
    </row>
    <row r="3270" spans="1:13">
      <c r="A3270" s="8">
        <v>42942</v>
      </c>
      <c r="B3270" s="9">
        <v>0.53541666666666665</v>
      </c>
      <c r="C3270" s="10" t="str">
        <f>"FES1162564756"</f>
        <v>FES1162564756</v>
      </c>
      <c r="D3270" s="10" t="s">
        <v>19</v>
      </c>
      <c r="E3270" s="10" t="s">
        <v>181</v>
      </c>
      <c r="F3270" s="10" t="str">
        <f>"2170573135 "</f>
        <v xml:space="preserve">2170573135 </v>
      </c>
      <c r="G3270" s="10" t="str">
        <f t="shared" si="142"/>
        <v>ON1</v>
      </c>
      <c r="H3270" s="10" t="s">
        <v>21</v>
      </c>
      <c r="I3270" s="10" t="s">
        <v>179</v>
      </c>
      <c r="J3270" s="10" t="str">
        <f>""</f>
        <v/>
      </c>
      <c r="K3270" s="10" t="str">
        <f>"PFES1162564756_0001"</f>
        <v>PFES1162564756_0001</v>
      </c>
      <c r="L3270" s="10">
        <v>1</v>
      </c>
      <c r="M3270" s="10">
        <v>1</v>
      </c>
    </row>
    <row r="3271" spans="1:13">
      <c r="A3271" s="8">
        <v>42942</v>
      </c>
      <c r="B3271" s="9">
        <v>0.53472222222222221</v>
      </c>
      <c r="C3271" s="10" t="str">
        <f>"FES1162564818"</f>
        <v>FES1162564818</v>
      </c>
      <c r="D3271" s="10" t="s">
        <v>19</v>
      </c>
      <c r="E3271" s="10" t="s">
        <v>329</v>
      </c>
      <c r="F3271" s="10" t="str">
        <f>"2170578703 "</f>
        <v xml:space="preserve">2170578703 </v>
      </c>
      <c r="G3271" s="10" t="str">
        <f t="shared" si="142"/>
        <v>ON1</v>
      </c>
      <c r="H3271" s="10" t="s">
        <v>21</v>
      </c>
      <c r="I3271" s="10" t="s">
        <v>330</v>
      </c>
      <c r="J3271" s="10" t="str">
        <f>""</f>
        <v/>
      </c>
      <c r="K3271" s="10" t="str">
        <f>"PFES1162564818_0001"</f>
        <v>PFES1162564818_0001</v>
      </c>
      <c r="L3271" s="10">
        <v>1</v>
      </c>
      <c r="M3271" s="10">
        <v>1</v>
      </c>
    </row>
    <row r="3272" spans="1:13">
      <c r="A3272" s="8">
        <v>42942</v>
      </c>
      <c r="B3272" s="9">
        <v>0.53472222222222221</v>
      </c>
      <c r="C3272" s="10" t="str">
        <f>"FES1162564877"</f>
        <v>FES1162564877</v>
      </c>
      <c r="D3272" s="10" t="s">
        <v>19</v>
      </c>
      <c r="E3272" s="10" t="s">
        <v>450</v>
      </c>
      <c r="F3272" s="10" t="str">
        <f>"217057930 "</f>
        <v xml:space="preserve">217057930 </v>
      </c>
      <c r="G3272" s="10" t="str">
        <f t="shared" si="142"/>
        <v>ON1</v>
      </c>
      <c r="H3272" s="10" t="s">
        <v>21</v>
      </c>
      <c r="I3272" s="10" t="s">
        <v>259</v>
      </c>
      <c r="J3272" s="10" t="str">
        <f>""</f>
        <v/>
      </c>
      <c r="K3272" s="10" t="str">
        <f>"PFES1162564877_0001"</f>
        <v>PFES1162564877_0001</v>
      </c>
      <c r="L3272" s="10">
        <v>1</v>
      </c>
      <c r="M3272" s="10">
        <v>1</v>
      </c>
    </row>
    <row r="3273" spans="1:13">
      <c r="A3273" s="8">
        <v>42942</v>
      </c>
      <c r="B3273" s="9">
        <v>0.53472222222222221</v>
      </c>
      <c r="C3273" s="10" t="str">
        <f>"FES1162564780"</f>
        <v>FES1162564780</v>
      </c>
      <c r="D3273" s="10" t="s">
        <v>19</v>
      </c>
      <c r="E3273" s="10" t="s">
        <v>1157</v>
      </c>
      <c r="F3273" s="10" t="str">
        <f>"2170577588 "</f>
        <v xml:space="preserve">2170577588 </v>
      </c>
      <c r="G3273" s="10" t="str">
        <f t="shared" si="142"/>
        <v>ON1</v>
      </c>
      <c r="H3273" s="10" t="s">
        <v>21</v>
      </c>
      <c r="I3273" s="10" t="s">
        <v>330</v>
      </c>
      <c r="J3273" s="10" t="str">
        <f>""</f>
        <v/>
      </c>
      <c r="K3273" s="10" t="str">
        <f>"PFES1162564780_0001"</f>
        <v>PFES1162564780_0001</v>
      </c>
      <c r="L3273" s="10">
        <v>1</v>
      </c>
      <c r="M3273" s="10">
        <v>1</v>
      </c>
    </row>
    <row r="3274" spans="1:13">
      <c r="A3274" s="8">
        <v>42942</v>
      </c>
      <c r="B3274" s="9">
        <v>0.53402777777777777</v>
      </c>
      <c r="C3274" s="10" t="str">
        <f>"FES1162564804"</f>
        <v>FES1162564804</v>
      </c>
      <c r="D3274" s="10" t="s">
        <v>19</v>
      </c>
      <c r="E3274" s="10" t="s">
        <v>211</v>
      </c>
      <c r="F3274" s="10" t="str">
        <f>"2170578569 "</f>
        <v xml:space="preserve">2170578569 </v>
      </c>
      <c r="G3274" s="10" t="str">
        <f t="shared" si="142"/>
        <v>ON1</v>
      </c>
      <c r="H3274" s="10" t="s">
        <v>21</v>
      </c>
      <c r="I3274" s="10" t="s">
        <v>56</v>
      </c>
      <c r="J3274" s="10" t="str">
        <f>""</f>
        <v/>
      </c>
      <c r="K3274" s="10" t="str">
        <f>"PFES1162564804_0001"</f>
        <v>PFES1162564804_0001</v>
      </c>
      <c r="L3274" s="10">
        <v>1</v>
      </c>
      <c r="M3274" s="10">
        <v>1</v>
      </c>
    </row>
    <row r="3275" spans="1:13">
      <c r="A3275" s="8">
        <v>42942</v>
      </c>
      <c r="B3275" s="9">
        <v>0.53402777777777777</v>
      </c>
      <c r="C3275" s="10" t="str">
        <f>"FES1162564799"</f>
        <v>FES1162564799</v>
      </c>
      <c r="D3275" s="10" t="s">
        <v>362</v>
      </c>
      <c r="E3275" s="10" t="s">
        <v>1158</v>
      </c>
      <c r="F3275" s="10" t="str">
        <f>"2170578521 "</f>
        <v xml:space="preserve">2170578521 </v>
      </c>
      <c r="G3275" s="10" t="str">
        <f t="shared" si="142"/>
        <v>ON1</v>
      </c>
      <c r="H3275" s="10" t="s">
        <v>21</v>
      </c>
      <c r="I3275" s="10" t="s">
        <v>261</v>
      </c>
      <c r="J3275" s="10" t="str">
        <f>""</f>
        <v/>
      </c>
      <c r="K3275" s="10" t="str">
        <f>"PFES1162564799_0001"</f>
        <v>PFES1162564799_0001</v>
      </c>
      <c r="L3275" s="10">
        <v>1</v>
      </c>
      <c r="M3275" s="10">
        <v>1</v>
      </c>
    </row>
    <row r="3276" spans="1:13">
      <c r="A3276" s="8">
        <v>42942</v>
      </c>
      <c r="B3276" s="9">
        <v>0.53333333333333333</v>
      </c>
      <c r="C3276" s="10" t="str">
        <f>"FES1162564783"</f>
        <v>FES1162564783</v>
      </c>
      <c r="D3276" s="10" t="s">
        <v>19</v>
      </c>
      <c r="E3276" s="10" t="s">
        <v>180</v>
      </c>
      <c r="F3276" s="10" t="str">
        <f>"2170577867 "</f>
        <v xml:space="preserve">2170577867 </v>
      </c>
      <c r="G3276" s="10" t="str">
        <f t="shared" si="142"/>
        <v>ON1</v>
      </c>
      <c r="H3276" s="10" t="s">
        <v>21</v>
      </c>
      <c r="I3276" s="10" t="s">
        <v>168</v>
      </c>
      <c r="J3276" s="10" t="str">
        <f>""</f>
        <v/>
      </c>
      <c r="K3276" s="10" t="str">
        <f>"PFES1162564783_0001"</f>
        <v>PFES1162564783_0001</v>
      </c>
      <c r="L3276" s="10">
        <v>1</v>
      </c>
      <c r="M3276" s="10">
        <v>1</v>
      </c>
    </row>
    <row r="3277" spans="1:13">
      <c r="A3277" s="8">
        <v>42942</v>
      </c>
      <c r="B3277" s="9">
        <v>0.53333333333333333</v>
      </c>
      <c r="C3277" s="10" t="str">
        <f>"FES1162564758"</f>
        <v>FES1162564758</v>
      </c>
      <c r="D3277" s="10" t="s">
        <v>19</v>
      </c>
      <c r="E3277" s="10" t="s">
        <v>181</v>
      </c>
      <c r="F3277" s="10" t="str">
        <f>"2170573459 "</f>
        <v xml:space="preserve">2170573459 </v>
      </c>
      <c r="G3277" s="10" t="str">
        <f t="shared" si="142"/>
        <v>ON1</v>
      </c>
      <c r="H3277" s="10" t="s">
        <v>21</v>
      </c>
      <c r="I3277" s="10" t="s">
        <v>179</v>
      </c>
      <c r="J3277" s="10" t="str">
        <f>""</f>
        <v/>
      </c>
      <c r="K3277" s="10" t="str">
        <f>"PFES1162564758_0001"</f>
        <v>PFES1162564758_0001</v>
      </c>
      <c r="L3277" s="10">
        <v>1</v>
      </c>
      <c r="M3277" s="10">
        <v>1</v>
      </c>
    </row>
    <row r="3278" spans="1:13">
      <c r="A3278" s="8">
        <v>42942</v>
      </c>
      <c r="B3278" s="9">
        <v>0.53263888888888888</v>
      </c>
      <c r="C3278" s="10" t="str">
        <f>"FES1162564914"</f>
        <v>FES1162564914</v>
      </c>
      <c r="D3278" s="10" t="s">
        <v>19</v>
      </c>
      <c r="E3278" s="10" t="s">
        <v>295</v>
      </c>
      <c r="F3278" s="10" t="str">
        <f>"2170581078 "</f>
        <v xml:space="preserve">2170581078 </v>
      </c>
      <c r="G3278" s="10" t="str">
        <f t="shared" si="142"/>
        <v>ON1</v>
      </c>
      <c r="H3278" s="10" t="s">
        <v>21</v>
      </c>
      <c r="I3278" s="10" t="s">
        <v>179</v>
      </c>
      <c r="J3278" s="10" t="str">
        <f>""</f>
        <v/>
      </c>
      <c r="K3278" s="10" t="str">
        <f>"PFES1162564914_0001"</f>
        <v>PFES1162564914_0001</v>
      </c>
      <c r="L3278" s="10">
        <v>1</v>
      </c>
      <c r="M3278" s="10">
        <v>1</v>
      </c>
    </row>
    <row r="3279" spans="1:13">
      <c r="A3279" s="8">
        <v>42942</v>
      </c>
      <c r="B3279" s="9">
        <v>0.53263888888888888</v>
      </c>
      <c r="C3279" s="10" t="str">
        <f>"FES1162564870"</f>
        <v>FES1162564870</v>
      </c>
      <c r="D3279" s="10" t="s">
        <v>19</v>
      </c>
      <c r="E3279" s="10" t="s">
        <v>288</v>
      </c>
      <c r="F3279" s="10" t="str">
        <f>"2170579263 "</f>
        <v xml:space="preserve">2170579263 </v>
      </c>
      <c r="G3279" s="10" t="str">
        <f t="shared" si="142"/>
        <v>ON1</v>
      </c>
      <c r="H3279" s="10" t="s">
        <v>21</v>
      </c>
      <c r="I3279" s="10" t="s">
        <v>177</v>
      </c>
      <c r="J3279" s="10" t="str">
        <f>""</f>
        <v/>
      </c>
      <c r="K3279" s="10" t="str">
        <f>"PFES1162564870_0001"</f>
        <v>PFES1162564870_0001</v>
      </c>
      <c r="L3279" s="10">
        <v>1</v>
      </c>
      <c r="M3279" s="10">
        <v>1</v>
      </c>
    </row>
    <row r="3280" spans="1:13">
      <c r="A3280" s="8">
        <v>42942</v>
      </c>
      <c r="B3280" s="9">
        <v>0.53194444444444444</v>
      </c>
      <c r="C3280" s="10" t="str">
        <f>"FES1162564847"</f>
        <v>FES1162564847</v>
      </c>
      <c r="D3280" s="10" t="s">
        <v>19</v>
      </c>
      <c r="E3280" s="10" t="s">
        <v>698</v>
      </c>
      <c r="F3280" s="10" t="str">
        <f>"2170579087 "</f>
        <v xml:space="preserve">2170579087 </v>
      </c>
      <c r="G3280" s="10" t="str">
        <f t="shared" si="142"/>
        <v>ON1</v>
      </c>
      <c r="H3280" s="10" t="s">
        <v>21</v>
      </c>
      <c r="I3280" s="10" t="s">
        <v>234</v>
      </c>
      <c r="J3280" s="10" t="str">
        <f>""</f>
        <v/>
      </c>
      <c r="K3280" s="10" t="str">
        <f>"PFES1162564847_0001"</f>
        <v>PFES1162564847_0001</v>
      </c>
      <c r="L3280" s="10">
        <v>1</v>
      </c>
      <c r="M3280" s="10">
        <v>2</v>
      </c>
    </row>
    <row r="3281" spans="1:13">
      <c r="A3281" s="8">
        <v>42942</v>
      </c>
      <c r="B3281" s="9">
        <v>0.53194444444444444</v>
      </c>
      <c r="C3281" s="10" t="str">
        <f>"FES1162564826"</f>
        <v>FES1162564826</v>
      </c>
      <c r="D3281" s="10" t="s">
        <v>362</v>
      </c>
      <c r="E3281" s="10" t="s">
        <v>1159</v>
      </c>
      <c r="F3281" s="10" t="str">
        <f>"2170578805 "</f>
        <v xml:space="preserve">2170578805 </v>
      </c>
      <c r="G3281" s="10" t="str">
        <f t="shared" si="142"/>
        <v>ON1</v>
      </c>
      <c r="H3281" s="10" t="s">
        <v>21</v>
      </c>
      <c r="I3281" s="10" t="s">
        <v>94</v>
      </c>
      <c r="J3281" s="10" t="str">
        <f>""</f>
        <v/>
      </c>
      <c r="K3281" s="10" t="str">
        <f>"PFES1162564826_0001"</f>
        <v>PFES1162564826_0001</v>
      </c>
      <c r="L3281" s="10">
        <v>1</v>
      </c>
      <c r="M3281" s="10">
        <v>1</v>
      </c>
    </row>
    <row r="3282" spans="1:13">
      <c r="A3282" s="8">
        <v>42942</v>
      </c>
      <c r="B3282" s="9">
        <v>0.53194444444444444</v>
      </c>
      <c r="C3282" s="10" t="str">
        <f>"FES1162564890"</f>
        <v>FES1162564890</v>
      </c>
      <c r="D3282" s="10" t="s">
        <v>19</v>
      </c>
      <c r="E3282" s="10" t="s">
        <v>1119</v>
      </c>
      <c r="F3282" s="10" t="str">
        <f>"2170580037 "</f>
        <v xml:space="preserve">2170580037 </v>
      </c>
      <c r="G3282" s="10" t="str">
        <f t="shared" si="142"/>
        <v>ON1</v>
      </c>
      <c r="H3282" s="10" t="s">
        <v>21</v>
      </c>
      <c r="I3282" s="10" t="s">
        <v>313</v>
      </c>
      <c r="J3282" s="10" t="str">
        <f>""</f>
        <v/>
      </c>
      <c r="K3282" s="10" t="str">
        <f>"PFES1162564890_0001"</f>
        <v>PFES1162564890_0001</v>
      </c>
      <c r="L3282" s="10">
        <v>1</v>
      </c>
      <c r="M3282" s="10">
        <v>7</v>
      </c>
    </row>
    <row r="3283" spans="1:13">
      <c r="A3283" s="8">
        <v>42942</v>
      </c>
      <c r="B3283" s="9">
        <v>0.53125</v>
      </c>
      <c r="C3283" s="10" t="str">
        <f>"FES1162564881"</f>
        <v>FES1162564881</v>
      </c>
      <c r="D3283" s="10" t="s">
        <v>362</v>
      </c>
      <c r="E3283" s="10" t="s">
        <v>129</v>
      </c>
      <c r="F3283" s="10" t="str">
        <f>"2170579356 "</f>
        <v xml:space="preserve">2170579356 </v>
      </c>
      <c r="G3283" s="10" t="str">
        <f t="shared" si="142"/>
        <v>ON1</v>
      </c>
      <c r="H3283" s="10" t="s">
        <v>21</v>
      </c>
      <c r="I3283" s="10" t="s">
        <v>130</v>
      </c>
      <c r="J3283" s="10" t="str">
        <f>""</f>
        <v/>
      </c>
      <c r="K3283" s="10" t="str">
        <f>"PFES1162564881_0001"</f>
        <v>PFES1162564881_0001</v>
      </c>
      <c r="L3283" s="10">
        <v>1</v>
      </c>
      <c r="M3283" s="10">
        <v>1</v>
      </c>
    </row>
    <row r="3284" spans="1:13">
      <c r="A3284" s="8">
        <v>42942</v>
      </c>
      <c r="B3284" s="9">
        <v>0.52986111111111112</v>
      </c>
      <c r="C3284" s="10" t="str">
        <f>"FES1162564853"</f>
        <v>FES1162564853</v>
      </c>
      <c r="D3284" s="10" t="s">
        <v>362</v>
      </c>
      <c r="E3284" s="10" t="s">
        <v>952</v>
      </c>
      <c r="F3284" s="10" t="str">
        <f>"2170579050 "</f>
        <v xml:space="preserve">2170579050 </v>
      </c>
      <c r="G3284" s="10" t="str">
        <f t="shared" si="142"/>
        <v>ON1</v>
      </c>
      <c r="H3284" s="10" t="s">
        <v>21</v>
      </c>
      <c r="I3284" s="10" t="s">
        <v>364</v>
      </c>
      <c r="J3284" s="10" t="str">
        <f>""</f>
        <v/>
      </c>
      <c r="K3284" s="10" t="str">
        <f>"PFES1162564853_0001"</f>
        <v>PFES1162564853_0001</v>
      </c>
      <c r="L3284" s="10">
        <v>1</v>
      </c>
      <c r="M3284" s="10">
        <v>1</v>
      </c>
    </row>
    <row r="3285" spans="1:13">
      <c r="A3285" s="8">
        <v>42942</v>
      </c>
      <c r="B3285" s="9">
        <v>0.52847222222222223</v>
      </c>
      <c r="C3285" s="10" t="str">
        <f>"FES1162564806"</f>
        <v>FES1162564806</v>
      </c>
      <c r="D3285" s="10" t="s">
        <v>362</v>
      </c>
      <c r="E3285" s="10" t="s">
        <v>812</v>
      </c>
      <c r="F3285" s="10" t="str">
        <f>"2170578614 "</f>
        <v xml:space="preserve">2170578614 </v>
      </c>
      <c r="G3285" s="10" t="str">
        <f t="shared" si="142"/>
        <v>ON1</v>
      </c>
      <c r="H3285" s="10" t="s">
        <v>21</v>
      </c>
      <c r="I3285" s="10" t="s">
        <v>142</v>
      </c>
      <c r="J3285" s="10" t="str">
        <f>""</f>
        <v/>
      </c>
      <c r="K3285" s="10" t="str">
        <f>"PFES1162564806_0001"</f>
        <v>PFES1162564806_0001</v>
      </c>
      <c r="L3285" s="10">
        <v>1</v>
      </c>
      <c r="M3285" s="10">
        <v>1</v>
      </c>
    </row>
    <row r="3286" spans="1:13">
      <c r="A3286" s="8">
        <v>42942</v>
      </c>
      <c r="B3286" s="9">
        <v>0.52847222222222223</v>
      </c>
      <c r="C3286" s="10" t="str">
        <f>"FES1162564885"</f>
        <v>FES1162564885</v>
      </c>
      <c r="D3286" s="10" t="s">
        <v>19</v>
      </c>
      <c r="E3286" s="10" t="s">
        <v>436</v>
      </c>
      <c r="F3286" s="10" t="str">
        <f>"2170579851 "</f>
        <v xml:space="preserve">2170579851 </v>
      </c>
      <c r="G3286" s="10" t="str">
        <f t="shared" si="142"/>
        <v>ON1</v>
      </c>
      <c r="H3286" s="10" t="s">
        <v>21</v>
      </c>
      <c r="I3286" s="10" t="s">
        <v>252</v>
      </c>
      <c r="J3286" s="10" t="str">
        <f>""</f>
        <v/>
      </c>
      <c r="K3286" s="10" t="str">
        <f>"PFES1162564885_0001"</f>
        <v>PFES1162564885_0001</v>
      </c>
      <c r="L3286" s="10">
        <v>1</v>
      </c>
      <c r="M3286" s="10">
        <v>1</v>
      </c>
    </row>
    <row r="3287" spans="1:13">
      <c r="A3287" s="8">
        <v>42942</v>
      </c>
      <c r="B3287" s="9">
        <v>0.52777777777777779</v>
      </c>
      <c r="C3287" s="10" t="str">
        <f>"FES1162564809"</f>
        <v>FES1162564809</v>
      </c>
      <c r="D3287" s="10" t="s">
        <v>19</v>
      </c>
      <c r="E3287" s="10" t="s">
        <v>773</v>
      </c>
      <c r="F3287" s="10" t="str">
        <f>"2170578623 "</f>
        <v xml:space="preserve">2170578623 </v>
      </c>
      <c r="G3287" s="10" t="str">
        <f t="shared" si="142"/>
        <v>ON1</v>
      </c>
      <c r="H3287" s="10" t="s">
        <v>21</v>
      </c>
      <c r="I3287" s="10" t="s">
        <v>52</v>
      </c>
      <c r="J3287" s="10" t="str">
        <f>""</f>
        <v/>
      </c>
      <c r="K3287" s="10" t="str">
        <f>"PFES1162564809_0001"</f>
        <v>PFES1162564809_0001</v>
      </c>
      <c r="L3287" s="10">
        <v>1</v>
      </c>
      <c r="M3287" s="10">
        <v>1</v>
      </c>
    </row>
    <row r="3288" spans="1:13">
      <c r="A3288" s="8">
        <v>42942</v>
      </c>
      <c r="B3288" s="9">
        <v>0.52777777777777779</v>
      </c>
      <c r="C3288" s="10" t="str">
        <f>"FES1162564836"</f>
        <v>FES1162564836</v>
      </c>
      <c r="D3288" s="10" t="s">
        <v>19</v>
      </c>
      <c r="E3288" s="10" t="s">
        <v>184</v>
      </c>
      <c r="F3288" s="10" t="str">
        <f>"2170578876 "</f>
        <v xml:space="preserve">2170578876 </v>
      </c>
      <c r="G3288" s="10" t="str">
        <f t="shared" si="142"/>
        <v>ON1</v>
      </c>
      <c r="H3288" s="10" t="s">
        <v>21</v>
      </c>
      <c r="I3288" s="10" t="s">
        <v>185</v>
      </c>
      <c r="J3288" s="10" t="str">
        <f>""</f>
        <v/>
      </c>
      <c r="K3288" s="10" t="str">
        <f>"PFES1162564836_0001"</f>
        <v>PFES1162564836_0001</v>
      </c>
      <c r="L3288" s="10">
        <v>1</v>
      </c>
      <c r="M3288" s="10">
        <v>1</v>
      </c>
    </row>
    <row r="3289" spans="1:13">
      <c r="A3289" s="8">
        <v>42942</v>
      </c>
      <c r="B3289" s="9">
        <v>0.52708333333333335</v>
      </c>
      <c r="C3289" s="10" t="str">
        <f>"FES1162564981"</f>
        <v>FES1162564981</v>
      </c>
      <c r="D3289" s="10" t="s">
        <v>19</v>
      </c>
      <c r="E3289" s="10" t="s">
        <v>62</v>
      </c>
      <c r="F3289" s="10" t="str">
        <f>"2170581356 "</f>
        <v xml:space="preserve">2170581356 </v>
      </c>
      <c r="G3289" s="10" t="str">
        <f t="shared" si="142"/>
        <v>ON1</v>
      </c>
      <c r="H3289" s="10" t="s">
        <v>21</v>
      </c>
      <c r="I3289" s="10" t="s">
        <v>40</v>
      </c>
      <c r="J3289" s="10" t="str">
        <f>""</f>
        <v/>
      </c>
      <c r="K3289" s="10" t="str">
        <f>"PFES1162564981_0001"</f>
        <v>PFES1162564981_0001</v>
      </c>
      <c r="L3289" s="10">
        <v>1</v>
      </c>
      <c r="M3289" s="10">
        <v>6</v>
      </c>
    </row>
    <row r="3290" spans="1:13">
      <c r="A3290" s="8">
        <v>42942</v>
      </c>
      <c r="B3290" s="9">
        <v>0.52708333333333335</v>
      </c>
      <c r="C3290" s="10" t="str">
        <f>"FES1162564794"</f>
        <v>FES1162564794</v>
      </c>
      <c r="D3290" s="10" t="s">
        <v>19</v>
      </c>
      <c r="E3290" s="10" t="s">
        <v>162</v>
      </c>
      <c r="F3290" s="10" t="str">
        <f>"2170578200 "</f>
        <v xml:space="preserve">2170578200 </v>
      </c>
      <c r="G3290" s="10" t="str">
        <f t="shared" si="142"/>
        <v>ON1</v>
      </c>
      <c r="H3290" s="10" t="s">
        <v>21</v>
      </c>
      <c r="I3290" s="10" t="s">
        <v>163</v>
      </c>
      <c r="J3290" s="10" t="str">
        <f>""</f>
        <v/>
      </c>
      <c r="K3290" s="10" t="str">
        <f>"PFES1162564794_0001"</f>
        <v>PFES1162564794_0001</v>
      </c>
      <c r="L3290" s="10">
        <v>1</v>
      </c>
      <c r="M3290" s="10">
        <v>3</v>
      </c>
    </row>
    <row r="3291" spans="1:13">
      <c r="A3291" s="8">
        <v>42942</v>
      </c>
      <c r="B3291" s="9">
        <v>0.52708333333333335</v>
      </c>
      <c r="C3291" s="10" t="str">
        <f>"FES1162564871"</f>
        <v>FES1162564871</v>
      </c>
      <c r="D3291" s="10" t="s">
        <v>362</v>
      </c>
      <c r="E3291" s="10" t="s">
        <v>288</v>
      </c>
      <c r="F3291" s="10" t="str">
        <f>"2170579265 "</f>
        <v xml:space="preserve">2170579265 </v>
      </c>
      <c r="G3291" s="10" t="str">
        <f t="shared" si="142"/>
        <v>ON1</v>
      </c>
      <c r="H3291" s="10" t="s">
        <v>21</v>
      </c>
      <c r="I3291" s="10" t="s">
        <v>177</v>
      </c>
      <c r="J3291" s="10" t="str">
        <f>""</f>
        <v/>
      </c>
      <c r="K3291" s="10" t="str">
        <f>"PFES1162564871_0001"</f>
        <v>PFES1162564871_0001</v>
      </c>
      <c r="L3291" s="10">
        <v>1</v>
      </c>
      <c r="M3291" s="10">
        <v>1</v>
      </c>
    </row>
    <row r="3292" spans="1:13">
      <c r="A3292" s="8">
        <v>42942</v>
      </c>
      <c r="B3292" s="9">
        <v>0.52638888888888891</v>
      </c>
      <c r="C3292" s="10" t="str">
        <f>"FES1162564854"</f>
        <v>FES1162564854</v>
      </c>
      <c r="D3292" s="10" t="s">
        <v>19</v>
      </c>
      <c r="E3292" s="10" t="s">
        <v>162</v>
      </c>
      <c r="F3292" s="10" t="str">
        <f>"2170579504 "</f>
        <v xml:space="preserve">2170579504 </v>
      </c>
      <c r="G3292" s="10" t="str">
        <f t="shared" si="142"/>
        <v>ON1</v>
      </c>
      <c r="H3292" s="10" t="s">
        <v>21</v>
      </c>
      <c r="I3292" s="10" t="s">
        <v>163</v>
      </c>
      <c r="J3292" s="10" t="str">
        <f>""</f>
        <v/>
      </c>
      <c r="K3292" s="10" t="str">
        <f>"PFES1162564854_0001"</f>
        <v>PFES1162564854_0001</v>
      </c>
      <c r="L3292" s="10">
        <v>1</v>
      </c>
      <c r="M3292" s="10">
        <v>2</v>
      </c>
    </row>
    <row r="3293" spans="1:13">
      <c r="A3293" s="8">
        <v>42942</v>
      </c>
      <c r="B3293" s="9">
        <v>0.52638888888888891</v>
      </c>
      <c r="C3293" s="10" t="str">
        <f>"FES1162564767"</f>
        <v>FES1162564767</v>
      </c>
      <c r="D3293" s="10" t="s">
        <v>19</v>
      </c>
      <c r="E3293" s="10" t="s">
        <v>1150</v>
      </c>
      <c r="F3293" s="10" t="str">
        <f>"2170575986 "</f>
        <v xml:space="preserve">2170575986 </v>
      </c>
      <c r="G3293" s="10" t="str">
        <f t="shared" si="142"/>
        <v>ON1</v>
      </c>
      <c r="H3293" s="10" t="s">
        <v>21</v>
      </c>
      <c r="I3293" s="10" t="s">
        <v>224</v>
      </c>
      <c r="J3293" s="10" t="str">
        <f>""</f>
        <v/>
      </c>
      <c r="K3293" s="10" t="str">
        <f>"PFES1162564767_0001"</f>
        <v>PFES1162564767_0001</v>
      </c>
      <c r="L3293" s="10">
        <v>1</v>
      </c>
      <c r="M3293" s="10">
        <v>1</v>
      </c>
    </row>
    <row r="3294" spans="1:13">
      <c r="A3294" s="8">
        <v>42942</v>
      </c>
      <c r="B3294" s="9">
        <v>0.52569444444444446</v>
      </c>
      <c r="C3294" s="10" t="str">
        <f>"FES1162564830"</f>
        <v>FES1162564830</v>
      </c>
      <c r="D3294" s="10" t="s">
        <v>362</v>
      </c>
      <c r="E3294" s="10" t="s">
        <v>99</v>
      </c>
      <c r="F3294" s="10" t="str">
        <f>"21170578828 "</f>
        <v xml:space="preserve">21170578828 </v>
      </c>
      <c r="G3294" s="10" t="str">
        <f t="shared" si="142"/>
        <v>ON1</v>
      </c>
      <c r="H3294" s="10" t="s">
        <v>21</v>
      </c>
      <c r="I3294" s="10" t="s">
        <v>100</v>
      </c>
      <c r="J3294" s="10" t="str">
        <f>""</f>
        <v/>
      </c>
      <c r="K3294" s="10" t="str">
        <f>"PFES1162564830_0001"</f>
        <v>PFES1162564830_0001</v>
      </c>
      <c r="L3294" s="10">
        <v>1</v>
      </c>
      <c r="M3294" s="10">
        <v>1</v>
      </c>
    </row>
    <row r="3295" spans="1:13">
      <c r="A3295" s="8">
        <v>42942</v>
      </c>
      <c r="B3295" s="9">
        <v>0.52569444444444446</v>
      </c>
      <c r="C3295" s="10" t="str">
        <f>"FES1162564819"</f>
        <v>FES1162564819</v>
      </c>
      <c r="D3295" s="10" t="s">
        <v>19</v>
      </c>
      <c r="E3295" s="10" t="s">
        <v>62</v>
      </c>
      <c r="F3295" s="10" t="str">
        <f>"2170578722 "</f>
        <v xml:space="preserve">2170578722 </v>
      </c>
      <c r="G3295" s="10" t="str">
        <f t="shared" si="142"/>
        <v>ON1</v>
      </c>
      <c r="H3295" s="10" t="s">
        <v>21</v>
      </c>
      <c r="I3295" s="10" t="s">
        <v>402</v>
      </c>
      <c r="J3295" s="10" t="str">
        <f>""</f>
        <v/>
      </c>
      <c r="K3295" s="10" t="str">
        <f>"PFES1162564819_0001"</f>
        <v>PFES1162564819_0001</v>
      </c>
      <c r="L3295" s="10">
        <v>1</v>
      </c>
      <c r="M3295" s="10">
        <v>1</v>
      </c>
    </row>
    <row r="3296" spans="1:13">
      <c r="A3296" s="8">
        <v>42942</v>
      </c>
      <c r="B3296" s="9">
        <v>0.52569444444444446</v>
      </c>
      <c r="C3296" s="10" t="str">
        <f>"FES1162564775"</f>
        <v>FES1162564775</v>
      </c>
      <c r="D3296" s="10" t="s">
        <v>362</v>
      </c>
      <c r="E3296" s="10" t="s">
        <v>1160</v>
      </c>
      <c r="F3296" s="10" t="str">
        <f>"2170577122 "</f>
        <v xml:space="preserve">2170577122 </v>
      </c>
      <c r="G3296" s="10" t="str">
        <f t="shared" si="142"/>
        <v>ON1</v>
      </c>
      <c r="H3296" s="10" t="s">
        <v>21</v>
      </c>
      <c r="I3296" s="10" t="s">
        <v>949</v>
      </c>
      <c r="J3296" s="10" t="str">
        <f>""</f>
        <v/>
      </c>
      <c r="K3296" s="10" t="str">
        <f>"PFES1162564775_0001"</f>
        <v>PFES1162564775_0001</v>
      </c>
      <c r="L3296" s="10">
        <v>1</v>
      </c>
      <c r="M3296" s="10">
        <v>1</v>
      </c>
    </row>
    <row r="3297" spans="1:13">
      <c r="A3297" s="8">
        <v>42942</v>
      </c>
      <c r="B3297" s="9">
        <v>0.52569444444444446</v>
      </c>
      <c r="C3297" s="10" t="str">
        <f>"FES1162564785"</f>
        <v>FES1162564785</v>
      </c>
      <c r="D3297" s="10" t="s">
        <v>19</v>
      </c>
      <c r="E3297" s="10" t="s">
        <v>549</v>
      </c>
      <c r="F3297" s="10" t="str">
        <f>"2170577935 "</f>
        <v xml:space="preserve">2170577935 </v>
      </c>
      <c r="G3297" s="10" t="str">
        <f t="shared" si="142"/>
        <v>ON1</v>
      </c>
      <c r="H3297" s="10" t="s">
        <v>21</v>
      </c>
      <c r="I3297" s="10" t="s">
        <v>224</v>
      </c>
      <c r="J3297" s="10" t="str">
        <f>""</f>
        <v/>
      </c>
      <c r="K3297" s="10" t="str">
        <f>"PFES1162564785_0001"</f>
        <v>PFES1162564785_0001</v>
      </c>
      <c r="L3297" s="10">
        <v>1</v>
      </c>
      <c r="M3297" s="10">
        <v>1</v>
      </c>
    </row>
    <row r="3298" spans="1:13">
      <c r="A3298" s="8">
        <v>42942</v>
      </c>
      <c r="B3298" s="9">
        <v>0.52500000000000002</v>
      </c>
      <c r="C3298" s="10" t="str">
        <f>"FES1162564962"</f>
        <v>FES1162564962</v>
      </c>
      <c r="D3298" s="10" t="s">
        <v>19</v>
      </c>
      <c r="E3298" s="10" t="s">
        <v>39</v>
      </c>
      <c r="F3298" s="10" t="str">
        <f>"2170581328 "</f>
        <v xml:space="preserve">2170581328 </v>
      </c>
      <c r="G3298" s="10" t="str">
        <f t="shared" si="142"/>
        <v>ON1</v>
      </c>
      <c r="H3298" s="10" t="s">
        <v>21</v>
      </c>
      <c r="I3298" s="10" t="s">
        <v>40</v>
      </c>
      <c r="J3298" s="10" t="str">
        <f>""</f>
        <v/>
      </c>
      <c r="K3298" s="10" t="str">
        <f>"PFES1162564962_0001"</f>
        <v>PFES1162564962_0001</v>
      </c>
      <c r="L3298" s="10">
        <v>1</v>
      </c>
      <c r="M3298" s="10">
        <v>1</v>
      </c>
    </row>
    <row r="3299" spans="1:13">
      <c r="A3299" s="8">
        <v>42942</v>
      </c>
      <c r="B3299" s="9">
        <v>0.52500000000000002</v>
      </c>
      <c r="C3299" s="10" t="str">
        <f>"FES1162564816"</f>
        <v>FES1162564816</v>
      </c>
      <c r="D3299" s="10" t="s">
        <v>19</v>
      </c>
      <c r="E3299" s="10" t="s">
        <v>277</v>
      </c>
      <c r="F3299" s="10" t="str">
        <f>"217057876 "</f>
        <v xml:space="preserve">217057876 </v>
      </c>
      <c r="G3299" s="10" t="str">
        <f t="shared" si="142"/>
        <v>ON1</v>
      </c>
      <c r="H3299" s="10" t="s">
        <v>21</v>
      </c>
      <c r="I3299" s="10" t="s">
        <v>234</v>
      </c>
      <c r="J3299" s="10" t="str">
        <f>""</f>
        <v/>
      </c>
      <c r="K3299" s="10" t="str">
        <f>"PFES1162564816_0001"</f>
        <v>PFES1162564816_0001</v>
      </c>
      <c r="L3299" s="10">
        <v>1</v>
      </c>
      <c r="M3299" s="10">
        <v>1</v>
      </c>
    </row>
    <row r="3300" spans="1:13">
      <c r="A3300" s="8">
        <v>42942</v>
      </c>
      <c r="B3300" s="9">
        <v>0.52430555555555558</v>
      </c>
      <c r="C3300" s="10" t="str">
        <f>"FES1162565029"</f>
        <v>FES1162565029</v>
      </c>
      <c r="D3300" s="10" t="s">
        <v>19</v>
      </c>
      <c r="E3300" s="10" t="s">
        <v>535</v>
      </c>
      <c r="F3300" s="10" t="str">
        <f>"2170581411 "</f>
        <v xml:space="preserve">2170581411 </v>
      </c>
      <c r="G3300" s="10" t="str">
        <f t="shared" si="142"/>
        <v>ON1</v>
      </c>
      <c r="H3300" s="10" t="s">
        <v>21</v>
      </c>
      <c r="I3300" s="10" t="s">
        <v>240</v>
      </c>
      <c r="J3300" s="10" t="str">
        <f>""</f>
        <v/>
      </c>
      <c r="K3300" s="10" t="str">
        <f>"PFES1162565029_0001"</f>
        <v>PFES1162565029_0001</v>
      </c>
      <c r="L3300" s="10">
        <v>1</v>
      </c>
      <c r="M3300" s="10">
        <v>1</v>
      </c>
    </row>
    <row r="3301" spans="1:13">
      <c r="A3301" s="8">
        <v>42942</v>
      </c>
      <c r="B3301" s="9">
        <v>0.52430555555555558</v>
      </c>
      <c r="C3301" s="10" t="str">
        <f>"FES1162564865"</f>
        <v>FES1162564865</v>
      </c>
      <c r="D3301" s="10" t="s">
        <v>19</v>
      </c>
      <c r="E3301" s="10" t="s">
        <v>41</v>
      </c>
      <c r="F3301" s="10" t="str">
        <f>"2170579142 "</f>
        <v xml:space="preserve">2170579142 </v>
      </c>
      <c r="G3301" s="10" t="str">
        <f t="shared" si="142"/>
        <v>ON1</v>
      </c>
      <c r="H3301" s="10" t="s">
        <v>21</v>
      </c>
      <c r="I3301" s="10" t="s">
        <v>42</v>
      </c>
      <c r="J3301" s="10" t="str">
        <f>""</f>
        <v/>
      </c>
      <c r="K3301" s="10" t="str">
        <f>"PFES1162564865_0001"</f>
        <v>PFES1162564865_0001</v>
      </c>
      <c r="L3301" s="10">
        <v>1</v>
      </c>
      <c r="M3301" s="10">
        <v>1</v>
      </c>
    </row>
    <row r="3302" spans="1:13">
      <c r="A3302" s="8">
        <v>42942</v>
      </c>
      <c r="B3302" s="9">
        <v>0.52430555555555558</v>
      </c>
      <c r="C3302" s="10" t="str">
        <f>"FES1162564969"</f>
        <v>FES1162564969</v>
      </c>
      <c r="D3302" s="10" t="s">
        <v>362</v>
      </c>
      <c r="E3302" s="10" t="s">
        <v>164</v>
      </c>
      <c r="F3302" s="10" t="str">
        <f>"2170581343 "</f>
        <v xml:space="preserve">2170581343 </v>
      </c>
      <c r="G3302" s="10" t="str">
        <f t="shared" si="142"/>
        <v>ON1</v>
      </c>
      <c r="H3302" s="10" t="s">
        <v>21</v>
      </c>
      <c r="I3302" s="10" t="s">
        <v>147</v>
      </c>
      <c r="J3302" s="10" t="str">
        <f>""</f>
        <v/>
      </c>
      <c r="K3302" s="10" t="str">
        <f>"PFES1162564969_0001"</f>
        <v>PFES1162564969_0001</v>
      </c>
      <c r="L3302" s="10">
        <v>1</v>
      </c>
      <c r="M3302" s="10">
        <v>1</v>
      </c>
    </row>
    <row r="3303" spans="1:13">
      <c r="A3303" s="8">
        <v>42942</v>
      </c>
      <c r="B3303" s="9">
        <v>0.52430555555555558</v>
      </c>
      <c r="C3303" s="10" t="str">
        <f>"FES1162564781"</f>
        <v>FES1162564781</v>
      </c>
      <c r="D3303" s="10" t="s">
        <v>19</v>
      </c>
      <c r="E3303" s="10" t="s">
        <v>255</v>
      </c>
      <c r="F3303" s="10" t="str">
        <f>"2170577846 "</f>
        <v xml:space="preserve">2170577846 </v>
      </c>
      <c r="G3303" s="10" t="str">
        <f t="shared" si="142"/>
        <v>ON1</v>
      </c>
      <c r="H3303" s="10" t="s">
        <v>21</v>
      </c>
      <c r="I3303" s="10" t="s">
        <v>256</v>
      </c>
      <c r="J3303" s="10" t="str">
        <f>""</f>
        <v/>
      </c>
      <c r="K3303" s="10" t="str">
        <f>"PFES1162564781_0001"</f>
        <v>PFES1162564781_0001</v>
      </c>
      <c r="L3303" s="10">
        <v>1</v>
      </c>
      <c r="M3303" s="10">
        <v>3</v>
      </c>
    </row>
    <row r="3304" spans="1:13">
      <c r="A3304" s="8">
        <v>42942</v>
      </c>
      <c r="B3304" s="9">
        <v>0.52361111111111114</v>
      </c>
      <c r="C3304" s="10" t="str">
        <f>"FES1162564782"</f>
        <v>FES1162564782</v>
      </c>
      <c r="D3304" s="10" t="s">
        <v>19</v>
      </c>
      <c r="E3304" s="10" t="s">
        <v>255</v>
      </c>
      <c r="F3304" s="10" t="str">
        <f>"2170577580 "</f>
        <v xml:space="preserve">2170577580 </v>
      </c>
      <c r="G3304" s="10" t="str">
        <f t="shared" si="142"/>
        <v>ON1</v>
      </c>
      <c r="H3304" s="10" t="s">
        <v>21</v>
      </c>
      <c r="I3304" s="10" t="s">
        <v>256</v>
      </c>
      <c r="J3304" s="10" t="str">
        <f>""</f>
        <v/>
      </c>
      <c r="K3304" s="10" t="str">
        <f>"PFES1162564782_0001"</f>
        <v>PFES1162564782_0001</v>
      </c>
      <c r="L3304" s="10">
        <v>1</v>
      </c>
      <c r="M3304" s="10">
        <v>3</v>
      </c>
    </row>
    <row r="3305" spans="1:13">
      <c r="A3305" s="8">
        <v>42942</v>
      </c>
      <c r="B3305" s="9">
        <v>0.5229166666666667</v>
      </c>
      <c r="C3305" s="10" t="str">
        <f>"FES1162564772"</f>
        <v>FES1162564772</v>
      </c>
      <c r="D3305" s="10" t="s">
        <v>19</v>
      </c>
      <c r="E3305" s="10" t="s">
        <v>1161</v>
      </c>
      <c r="F3305" s="10" t="str">
        <f>"2170576730 "</f>
        <v xml:space="preserve">2170576730 </v>
      </c>
      <c r="G3305" s="10" t="str">
        <f t="shared" si="142"/>
        <v>ON1</v>
      </c>
      <c r="H3305" s="10" t="s">
        <v>21</v>
      </c>
      <c r="I3305" s="10" t="s">
        <v>48</v>
      </c>
      <c r="J3305" s="10" t="str">
        <f>""</f>
        <v/>
      </c>
      <c r="K3305" s="10" t="str">
        <f>"PFES1162564772_0001"</f>
        <v>PFES1162564772_0001</v>
      </c>
      <c r="L3305" s="10">
        <v>1</v>
      </c>
      <c r="M3305" s="10">
        <v>5</v>
      </c>
    </row>
    <row r="3306" spans="1:13">
      <c r="A3306" s="8">
        <v>42942</v>
      </c>
      <c r="B3306" s="9">
        <v>0.5229166666666667</v>
      </c>
      <c r="C3306" s="10" t="str">
        <f>"FES1162564817"</f>
        <v>FES1162564817</v>
      </c>
      <c r="D3306" s="10" t="s">
        <v>19</v>
      </c>
      <c r="E3306" s="10" t="s">
        <v>99</v>
      </c>
      <c r="F3306" s="10" t="str">
        <f>"2170578695 "</f>
        <v xml:space="preserve">2170578695 </v>
      </c>
      <c r="G3306" s="10" t="str">
        <f t="shared" si="142"/>
        <v>ON1</v>
      </c>
      <c r="H3306" s="10" t="s">
        <v>21</v>
      </c>
      <c r="I3306" s="10" t="s">
        <v>100</v>
      </c>
      <c r="J3306" s="10" t="str">
        <f>""</f>
        <v/>
      </c>
      <c r="K3306" s="10" t="str">
        <f>"PFES1162564817_0001"</f>
        <v>PFES1162564817_0001</v>
      </c>
      <c r="L3306" s="10">
        <v>1</v>
      </c>
      <c r="M3306" s="10">
        <v>4</v>
      </c>
    </row>
    <row r="3307" spans="1:13">
      <c r="A3307" s="8">
        <v>42942</v>
      </c>
      <c r="B3307" s="9">
        <v>0.52222222222222225</v>
      </c>
      <c r="C3307" s="10" t="str">
        <f>"FES1162564955"</f>
        <v>FES1162564955</v>
      </c>
      <c r="D3307" s="10" t="s">
        <v>19</v>
      </c>
      <c r="E3307" s="10" t="s">
        <v>210</v>
      </c>
      <c r="F3307" s="10" t="str">
        <f>"2170581324 "</f>
        <v xml:space="preserve">2170581324 </v>
      </c>
      <c r="G3307" s="10" t="str">
        <f t="shared" si="142"/>
        <v>ON1</v>
      </c>
      <c r="H3307" s="10" t="s">
        <v>21</v>
      </c>
      <c r="I3307" s="10" t="s">
        <v>32</v>
      </c>
      <c r="J3307" s="10" t="str">
        <f>""</f>
        <v/>
      </c>
      <c r="K3307" s="10" t="str">
        <f>"PFES1162564955_0001"</f>
        <v>PFES1162564955_0001</v>
      </c>
      <c r="L3307" s="10">
        <v>1</v>
      </c>
      <c r="M3307" s="10">
        <v>4</v>
      </c>
    </row>
    <row r="3308" spans="1:13">
      <c r="A3308" s="8">
        <v>42942</v>
      </c>
      <c r="B3308" s="9">
        <v>0.52222222222222225</v>
      </c>
      <c r="C3308" s="10" t="str">
        <f>"FES1162564842"</f>
        <v>FES1162564842</v>
      </c>
      <c r="D3308" s="10" t="s">
        <v>362</v>
      </c>
      <c r="E3308" s="10" t="s">
        <v>494</v>
      </c>
      <c r="F3308" s="10" t="str">
        <f>"2170578942 "</f>
        <v xml:space="preserve">2170578942 </v>
      </c>
      <c r="G3308" s="10" t="str">
        <f t="shared" si="142"/>
        <v>ON1</v>
      </c>
      <c r="H3308" s="10" t="s">
        <v>21</v>
      </c>
      <c r="I3308" s="10" t="s">
        <v>495</v>
      </c>
      <c r="J3308" s="10" t="str">
        <f>""</f>
        <v/>
      </c>
      <c r="K3308" s="10" t="str">
        <f>"PFES1162564842_0001"</f>
        <v>PFES1162564842_0001</v>
      </c>
      <c r="L3308" s="10">
        <v>1</v>
      </c>
      <c r="M3308" s="10">
        <v>1</v>
      </c>
    </row>
    <row r="3309" spans="1:13">
      <c r="A3309" s="8">
        <v>42942</v>
      </c>
      <c r="B3309" s="9">
        <v>0.52222222222222225</v>
      </c>
      <c r="C3309" s="10" t="str">
        <f>"FES1162564859"</f>
        <v>FES1162564859</v>
      </c>
      <c r="D3309" s="10" t="s">
        <v>19</v>
      </c>
      <c r="E3309" s="10" t="s">
        <v>129</v>
      </c>
      <c r="F3309" s="10" t="str">
        <f>"2170579101 "</f>
        <v xml:space="preserve">2170579101 </v>
      </c>
      <c r="G3309" s="10" t="str">
        <f t="shared" si="142"/>
        <v>ON1</v>
      </c>
      <c r="H3309" s="10" t="s">
        <v>21</v>
      </c>
      <c r="I3309" s="10" t="s">
        <v>130</v>
      </c>
      <c r="J3309" s="10" t="str">
        <f>""</f>
        <v/>
      </c>
      <c r="K3309" s="10" t="str">
        <f>"PFES1162564859_0001"</f>
        <v>PFES1162564859_0001</v>
      </c>
      <c r="L3309" s="10">
        <v>1</v>
      </c>
      <c r="M3309" s="10">
        <v>1</v>
      </c>
    </row>
    <row r="3310" spans="1:13">
      <c r="A3310" s="8">
        <v>42942</v>
      </c>
      <c r="B3310" s="9">
        <v>0.52152777777777781</v>
      </c>
      <c r="C3310" s="10" t="str">
        <f>"FES1162564918"</f>
        <v>FES1162564918</v>
      </c>
      <c r="D3310" s="10" t="s">
        <v>362</v>
      </c>
      <c r="E3310" s="10" t="s">
        <v>62</v>
      </c>
      <c r="F3310" s="10" t="str">
        <f>"2170581157 "</f>
        <v xml:space="preserve">2170581157 </v>
      </c>
      <c r="G3310" s="10" t="str">
        <f t="shared" si="142"/>
        <v>ON1</v>
      </c>
      <c r="H3310" s="10" t="s">
        <v>21</v>
      </c>
      <c r="I3310" s="10" t="s">
        <v>40</v>
      </c>
      <c r="J3310" s="10" t="str">
        <f>""</f>
        <v/>
      </c>
      <c r="K3310" s="10" t="str">
        <f>"PFES1162564918_0001"</f>
        <v>PFES1162564918_0001</v>
      </c>
      <c r="L3310" s="10">
        <v>1</v>
      </c>
      <c r="M3310" s="10">
        <v>1</v>
      </c>
    </row>
    <row r="3311" spans="1:13">
      <c r="A3311" s="8">
        <v>42942</v>
      </c>
      <c r="B3311" s="9">
        <v>0.52152777777777781</v>
      </c>
      <c r="C3311" s="10" t="str">
        <f>"FES1162564789"</f>
        <v>FES1162564789</v>
      </c>
      <c r="D3311" s="10" t="s">
        <v>19</v>
      </c>
      <c r="E3311" s="10" t="s">
        <v>441</v>
      </c>
      <c r="F3311" s="10" t="str">
        <f>"2170578074 "</f>
        <v xml:space="preserve">2170578074 </v>
      </c>
      <c r="G3311" s="10" t="str">
        <f t="shared" si="142"/>
        <v>ON1</v>
      </c>
      <c r="H3311" s="10" t="s">
        <v>21</v>
      </c>
      <c r="I3311" s="10" t="s">
        <v>166</v>
      </c>
      <c r="J3311" s="10" t="str">
        <f>""</f>
        <v/>
      </c>
      <c r="K3311" s="10" t="str">
        <f>"PFES1162564789_0001"</f>
        <v>PFES1162564789_0001</v>
      </c>
      <c r="L3311" s="10">
        <v>1</v>
      </c>
      <c r="M3311" s="10">
        <v>4</v>
      </c>
    </row>
    <row r="3312" spans="1:13">
      <c r="A3312" s="8">
        <v>42942</v>
      </c>
      <c r="B3312" s="9">
        <v>0.52083333333333337</v>
      </c>
      <c r="C3312" s="10" t="str">
        <f>"FES1162564815"</f>
        <v>FES1162564815</v>
      </c>
      <c r="D3312" s="10" t="s">
        <v>19</v>
      </c>
      <c r="E3312" s="10" t="s">
        <v>429</v>
      </c>
      <c r="F3312" s="10" t="str">
        <f>"2170578673 "</f>
        <v xml:space="preserve">2170578673 </v>
      </c>
      <c r="G3312" s="10" t="str">
        <f t="shared" si="142"/>
        <v>ON1</v>
      </c>
      <c r="H3312" s="10" t="s">
        <v>21</v>
      </c>
      <c r="I3312" s="10" t="s">
        <v>430</v>
      </c>
      <c r="J3312" s="10" t="str">
        <f>""</f>
        <v/>
      </c>
      <c r="K3312" s="10" t="str">
        <f>"PFES1162564815_0001"</f>
        <v>PFES1162564815_0001</v>
      </c>
      <c r="L3312" s="10">
        <v>1</v>
      </c>
      <c r="M3312" s="10">
        <v>7</v>
      </c>
    </row>
    <row r="3313" spans="1:13">
      <c r="A3313" s="8">
        <v>42942</v>
      </c>
      <c r="B3313" s="9">
        <v>0.52013888888888882</v>
      </c>
      <c r="C3313" s="10" t="str">
        <f>"FES1162564975"</f>
        <v>FES1162564975</v>
      </c>
      <c r="D3313" s="10" t="s">
        <v>362</v>
      </c>
      <c r="E3313" s="10" t="s">
        <v>287</v>
      </c>
      <c r="F3313" s="10" t="str">
        <f>"2170581350 "</f>
        <v xml:space="preserve">2170581350 </v>
      </c>
      <c r="G3313" s="10" t="str">
        <f t="shared" si="142"/>
        <v>ON1</v>
      </c>
      <c r="H3313" s="10" t="s">
        <v>21</v>
      </c>
      <c r="I3313" s="10" t="s">
        <v>177</v>
      </c>
      <c r="J3313" s="10" t="str">
        <f>""</f>
        <v/>
      </c>
      <c r="K3313" s="10" t="str">
        <f>"PFES1162564975_0001"</f>
        <v>PFES1162564975_0001</v>
      </c>
      <c r="L3313" s="10">
        <v>1</v>
      </c>
      <c r="M3313" s="10">
        <v>1</v>
      </c>
    </row>
    <row r="3314" spans="1:13">
      <c r="A3314" s="8">
        <v>42942</v>
      </c>
      <c r="B3314" s="9">
        <v>0.52013888888888882</v>
      </c>
      <c r="C3314" s="10" t="str">
        <f>"FES1162564777"</f>
        <v>FES1162564777</v>
      </c>
      <c r="D3314" s="10" t="s">
        <v>19</v>
      </c>
      <c r="E3314" s="10" t="s">
        <v>1046</v>
      </c>
      <c r="F3314" s="10" t="str">
        <f>"217057736 "</f>
        <v xml:space="preserve">217057736 </v>
      </c>
      <c r="G3314" s="10" t="str">
        <f>"DBC"</f>
        <v>DBC</v>
      </c>
      <c r="H3314" s="10" t="s">
        <v>21</v>
      </c>
      <c r="I3314" s="10" t="s">
        <v>92</v>
      </c>
      <c r="J3314" s="10" t="str">
        <f>"FRAGILE - OILS INSIDE THE BOX"</f>
        <v>FRAGILE - OILS INSIDE THE BOX</v>
      </c>
      <c r="K3314" s="10" t="str">
        <f>"PFES1162564777_0001"</f>
        <v>PFES1162564777_0001</v>
      </c>
      <c r="L3314" s="10">
        <v>2</v>
      </c>
      <c r="M3314" s="10">
        <v>30</v>
      </c>
    </row>
    <row r="3315" spans="1:13">
      <c r="A3315" s="8">
        <v>42942</v>
      </c>
      <c r="B3315" s="9">
        <v>0.52013888888888882</v>
      </c>
      <c r="C3315" s="10" t="str">
        <f>"FES1162564777"</f>
        <v>FES1162564777</v>
      </c>
      <c r="D3315" s="10" t="s">
        <v>19</v>
      </c>
      <c r="E3315" s="10" t="s">
        <v>1046</v>
      </c>
      <c r="F3315" s="10" t="str">
        <f>"217057736 "</f>
        <v xml:space="preserve">217057736 </v>
      </c>
      <c r="G3315" s="10" t="str">
        <f>"DBC"</f>
        <v>DBC</v>
      </c>
      <c r="H3315" s="10" t="s">
        <v>21</v>
      </c>
      <c r="I3315" s="10" t="s">
        <v>92</v>
      </c>
      <c r="J3315" s="10" t="str">
        <f>"FRAGILE - OILS INSIDE THE BOX"</f>
        <v>FRAGILE - OILS INSIDE THE BOX</v>
      </c>
      <c r="K3315" s="10" t="str">
        <f>"PFES1162564777_0002"</f>
        <v>PFES1162564777_0002</v>
      </c>
      <c r="L3315" s="10">
        <v>2</v>
      </c>
      <c r="M3315" s="10">
        <v>30</v>
      </c>
    </row>
    <row r="3316" spans="1:13">
      <c r="A3316" s="8">
        <v>42942</v>
      </c>
      <c r="B3316" s="9">
        <v>0.51944444444444449</v>
      </c>
      <c r="C3316" s="10" t="str">
        <f>"FES1162564831"</f>
        <v>FES1162564831</v>
      </c>
      <c r="D3316" s="10" t="s">
        <v>19</v>
      </c>
      <c r="E3316" s="10" t="s">
        <v>846</v>
      </c>
      <c r="F3316" s="10" t="str">
        <f>"2170578835 "</f>
        <v xml:space="preserve">2170578835 </v>
      </c>
      <c r="G3316" s="10" t="str">
        <f t="shared" ref="G3316:G3346" si="143">"ON1"</f>
        <v>ON1</v>
      </c>
      <c r="H3316" s="10" t="s">
        <v>21</v>
      </c>
      <c r="I3316" s="10" t="s">
        <v>847</v>
      </c>
      <c r="J3316" s="10" t="str">
        <f>""</f>
        <v/>
      </c>
      <c r="K3316" s="10" t="str">
        <f>"PFES1162564831_0001"</f>
        <v>PFES1162564831_0001</v>
      </c>
      <c r="L3316" s="10">
        <v>1</v>
      </c>
      <c r="M3316" s="10">
        <v>4</v>
      </c>
    </row>
    <row r="3317" spans="1:13">
      <c r="A3317" s="8">
        <v>42942</v>
      </c>
      <c r="B3317" s="9">
        <v>0.51944444444444449</v>
      </c>
      <c r="C3317" s="10" t="str">
        <f>"FES1162564786"</f>
        <v>FES1162564786</v>
      </c>
      <c r="D3317" s="10" t="s">
        <v>362</v>
      </c>
      <c r="E3317" s="10" t="s">
        <v>867</v>
      </c>
      <c r="F3317" s="10" t="str">
        <f>"2170577937 "</f>
        <v xml:space="preserve">2170577937 </v>
      </c>
      <c r="G3317" s="10" t="str">
        <f t="shared" si="143"/>
        <v>ON1</v>
      </c>
      <c r="H3317" s="10" t="s">
        <v>21</v>
      </c>
      <c r="I3317" s="10" t="s">
        <v>514</v>
      </c>
      <c r="J3317" s="10" t="str">
        <f>""</f>
        <v/>
      </c>
      <c r="K3317" s="10" t="str">
        <f>"PFES1162564786_0001"</f>
        <v>PFES1162564786_0001</v>
      </c>
      <c r="L3317" s="10">
        <v>1</v>
      </c>
      <c r="M3317" s="10">
        <v>1</v>
      </c>
    </row>
    <row r="3318" spans="1:13">
      <c r="A3318" s="8">
        <v>42942</v>
      </c>
      <c r="B3318" s="9">
        <v>0.51874999999999993</v>
      </c>
      <c r="C3318" s="10" t="str">
        <f>"FES1162564774"</f>
        <v>FES1162564774</v>
      </c>
      <c r="D3318" s="10" t="s">
        <v>19</v>
      </c>
      <c r="E3318" s="10" t="s">
        <v>250</v>
      </c>
      <c r="F3318" s="10" t="str">
        <f>"2170576974 "</f>
        <v xml:space="preserve">2170576974 </v>
      </c>
      <c r="G3318" s="10" t="str">
        <f t="shared" si="143"/>
        <v>ON1</v>
      </c>
      <c r="H3318" s="10" t="s">
        <v>21</v>
      </c>
      <c r="I3318" s="10" t="s">
        <v>70</v>
      </c>
      <c r="J3318" s="10" t="str">
        <f>""</f>
        <v/>
      </c>
      <c r="K3318" s="10" t="str">
        <f>"PFES1162564774_0001"</f>
        <v>PFES1162564774_0001</v>
      </c>
      <c r="L3318" s="10">
        <v>1</v>
      </c>
      <c r="M3318" s="10">
        <v>6</v>
      </c>
    </row>
    <row r="3319" spans="1:13">
      <c r="A3319" s="8">
        <v>42942</v>
      </c>
      <c r="B3319" s="9">
        <v>0.51736111111111105</v>
      </c>
      <c r="C3319" s="10" t="str">
        <f>"FES1162564884"</f>
        <v>FES1162564884</v>
      </c>
      <c r="D3319" s="10" t="s">
        <v>362</v>
      </c>
      <c r="E3319" s="10" t="s">
        <v>471</v>
      </c>
      <c r="F3319" s="10" t="str">
        <f>"2170579647 "</f>
        <v xml:space="preserve">2170579647 </v>
      </c>
      <c r="G3319" s="10" t="str">
        <f t="shared" si="143"/>
        <v>ON1</v>
      </c>
      <c r="H3319" s="10" t="s">
        <v>21</v>
      </c>
      <c r="I3319" s="10" t="s">
        <v>138</v>
      </c>
      <c r="J3319" s="10" t="str">
        <f>""</f>
        <v/>
      </c>
      <c r="K3319" s="10" t="str">
        <f>"PFES1162564884_0001"</f>
        <v>PFES1162564884_0001</v>
      </c>
      <c r="L3319" s="10">
        <v>1</v>
      </c>
      <c r="M3319" s="10">
        <v>1</v>
      </c>
    </row>
    <row r="3320" spans="1:13">
      <c r="A3320" s="8">
        <v>42942</v>
      </c>
      <c r="B3320" s="9">
        <v>0.51597222222222217</v>
      </c>
      <c r="C3320" s="10" t="str">
        <f>"FES1162564991"</f>
        <v>FES1162564991</v>
      </c>
      <c r="D3320" s="10" t="s">
        <v>362</v>
      </c>
      <c r="E3320" s="10" t="s">
        <v>958</v>
      </c>
      <c r="F3320" s="10" t="str">
        <f>"2170581371 "</f>
        <v xml:space="preserve">2170581371 </v>
      </c>
      <c r="G3320" s="10" t="str">
        <f t="shared" si="143"/>
        <v>ON1</v>
      </c>
      <c r="H3320" s="10" t="s">
        <v>21</v>
      </c>
      <c r="I3320" s="10" t="s">
        <v>364</v>
      </c>
      <c r="J3320" s="10" t="str">
        <f>""</f>
        <v/>
      </c>
      <c r="K3320" s="10" t="str">
        <f>"PFES1162564991_0001"</f>
        <v>PFES1162564991_0001</v>
      </c>
      <c r="L3320" s="10">
        <v>1</v>
      </c>
      <c r="M3320" s="10">
        <v>1</v>
      </c>
    </row>
    <row r="3321" spans="1:13">
      <c r="A3321" s="8">
        <v>42942</v>
      </c>
      <c r="B3321" s="9">
        <v>0.51527777777777783</v>
      </c>
      <c r="C3321" s="10" t="str">
        <f>"FES1162564771"</f>
        <v>FES1162564771</v>
      </c>
      <c r="D3321" s="10" t="s">
        <v>362</v>
      </c>
      <c r="E3321" s="10" t="s">
        <v>444</v>
      </c>
      <c r="F3321" s="10" t="str">
        <f>"2170576725 "</f>
        <v xml:space="preserve">2170576725 </v>
      </c>
      <c r="G3321" s="10" t="str">
        <f t="shared" si="143"/>
        <v>ON1</v>
      </c>
      <c r="H3321" s="10" t="s">
        <v>21</v>
      </c>
      <c r="I3321" s="10" t="s">
        <v>36</v>
      </c>
      <c r="J3321" s="10" t="str">
        <f>""</f>
        <v/>
      </c>
      <c r="K3321" s="10" t="str">
        <f>"PFES1162564771_0001"</f>
        <v>PFES1162564771_0001</v>
      </c>
      <c r="L3321" s="10">
        <v>1</v>
      </c>
      <c r="M3321" s="10">
        <v>1</v>
      </c>
    </row>
    <row r="3322" spans="1:13">
      <c r="A3322" s="8">
        <v>42942</v>
      </c>
      <c r="B3322" s="9">
        <v>0.51458333333333328</v>
      </c>
      <c r="C3322" s="10" t="str">
        <f>"FES1162564790"</f>
        <v>FES1162564790</v>
      </c>
      <c r="D3322" s="10" t="s">
        <v>362</v>
      </c>
      <c r="E3322" s="10" t="s">
        <v>1162</v>
      </c>
      <c r="F3322" s="10" t="str">
        <f>"2170578094 "</f>
        <v xml:space="preserve">2170578094 </v>
      </c>
      <c r="G3322" s="10" t="str">
        <f t="shared" si="143"/>
        <v>ON1</v>
      </c>
      <c r="H3322" s="10" t="s">
        <v>21</v>
      </c>
      <c r="I3322" s="10" t="s">
        <v>82</v>
      </c>
      <c r="J3322" s="10" t="str">
        <f>""</f>
        <v/>
      </c>
      <c r="K3322" s="10" t="str">
        <f>"PFES1162564790_0001"</f>
        <v>PFES1162564790_0001</v>
      </c>
      <c r="L3322" s="10">
        <v>1</v>
      </c>
      <c r="M3322" s="10">
        <v>1</v>
      </c>
    </row>
    <row r="3323" spans="1:13">
      <c r="A3323" s="8">
        <v>42942</v>
      </c>
      <c r="B3323" s="9">
        <v>0.51180555555555551</v>
      </c>
      <c r="C3323" s="10" t="str">
        <f>"FES1162564779"</f>
        <v>FES1162564779</v>
      </c>
      <c r="D3323" s="10" t="s">
        <v>362</v>
      </c>
      <c r="E3323" s="10" t="s">
        <v>1163</v>
      </c>
      <c r="F3323" s="10" t="str">
        <f>"2170577506 "</f>
        <v xml:space="preserve">2170577506 </v>
      </c>
      <c r="G3323" s="10" t="str">
        <f t="shared" si="143"/>
        <v>ON1</v>
      </c>
      <c r="H3323" s="10" t="s">
        <v>21</v>
      </c>
      <c r="I3323" s="10" t="s">
        <v>949</v>
      </c>
      <c r="J3323" s="10" t="str">
        <f>""</f>
        <v/>
      </c>
      <c r="K3323" s="10" t="str">
        <f>"PFES1162564779_0001"</f>
        <v>PFES1162564779_0001</v>
      </c>
      <c r="L3323" s="10">
        <v>1</v>
      </c>
      <c r="M3323" s="10">
        <v>1</v>
      </c>
    </row>
    <row r="3324" spans="1:13">
      <c r="A3324" s="8">
        <v>42942</v>
      </c>
      <c r="B3324" s="9">
        <v>0.50972222222222219</v>
      </c>
      <c r="C3324" s="10" t="str">
        <f>"FES1162564764"</f>
        <v>FES1162564764</v>
      </c>
      <c r="D3324" s="10" t="s">
        <v>362</v>
      </c>
      <c r="E3324" s="10" t="s">
        <v>527</v>
      </c>
      <c r="F3324" s="10" t="str">
        <f>"2170575340 "</f>
        <v xml:space="preserve">2170575340 </v>
      </c>
      <c r="G3324" s="10" t="str">
        <f t="shared" si="143"/>
        <v>ON1</v>
      </c>
      <c r="H3324" s="10" t="s">
        <v>21</v>
      </c>
      <c r="I3324" s="10" t="s">
        <v>217</v>
      </c>
      <c r="J3324" s="10" t="str">
        <f>""</f>
        <v/>
      </c>
      <c r="K3324" s="10" t="str">
        <f>"PFES1162564764_0001"</f>
        <v>PFES1162564764_0001</v>
      </c>
      <c r="L3324" s="10">
        <v>1</v>
      </c>
      <c r="M3324" s="10">
        <v>1</v>
      </c>
    </row>
    <row r="3325" spans="1:13">
      <c r="A3325" s="8">
        <v>42942</v>
      </c>
      <c r="B3325" s="9">
        <v>0.50902777777777775</v>
      </c>
      <c r="C3325" s="10" t="str">
        <f>"FES1162564814"</f>
        <v>FES1162564814</v>
      </c>
      <c r="D3325" s="10" t="s">
        <v>362</v>
      </c>
      <c r="E3325" s="10" t="s">
        <v>616</v>
      </c>
      <c r="F3325" s="10" t="str">
        <f>"2170578669 "</f>
        <v xml:space="preserve">2170578669 </v>
      </c>
      <c r="G3325" s="10" t="str">
        <f t="shared" si="143"/>
        <v>ON1</v>
      </c>
      <c r="H3325" s="10" t="s">
        <v>21</v>
      </c>
      <c r="I3325" s="10" t="s">
        <v>32</v>
      </c>
      <c r="J3325" s="10" t="str">
        <f>""</f>
        <v/>
      </c>
      <c r="K3325" s="10" t="str">
        <f>"PFES1162564814_0001"</f>
        <v>PFES1162564814_0001</v>
      </c>
      <c r="L3325" s="10">
        <v>1</v>
      </c>
      <c r="M3325" s="10">
        <v>1</v>
      </c>
    </row>
    <row r="3326" spans="1:13">
      <c r="A3326" s="8">
        <v>42942</v>
      </c>
      <c r="B3326" s="9">
        <v>0.5083333333333333</v>
      </c>
      <c r="C3326" s="10" t="str">
        <f>"FES1162564802"</f>
        <v>FES1162564802</v>
      </c>
      <c r="D3326" s="10" t="s">
        <v>362</v>
      </c>
      <c r="E3326" s="10" t="s">
        <v>33</v>
      </c>
      <c r="F3326" s="10" t="str">
        <f>"2170578565 "</f>
        <v xml:space="preserve">2170578565 </v>
      </c>
      <c r="G3326" s="10" t="str">
        <f t="shared" si="143"/>
        <v>ON1</v>
      </c>
      <c r="H3326" s="10" t="s">
        <v>21</v>
      </c>
      <c r="I3326" s="10" t="s">
        <v>34</v>
      </c>
      <c r="J3326" s="10" t="str">
        <f>""</f>
        <v/>
      </c>
      <c r="K3326" s="10" t="str">
        <f>"PFES1162564802_0001"</f>
        <v>PFES1162564802_0001</v>
      </c>
      <c r="L3326" s="10">
        <v>1</v>
      </c>
      <c r="M3326" s="10">
        <v>1</v>
      </c>
    </row>
    <row r="3327" spans="1:13">
      <c r="A3327" s="8">
        <v>42942</v>
      </c>
      <c r="B3327" s="9">
        <v>0.50763888888888886</v>
      </c>
      <c r="C3327" s="10" t="str">
        <f>"FES1162564986"</f>
        <v>FES1162564986</v>
      </c>
      <c r="D3327" s="10" t="s">
        <v>362</v>
      </c>
      <c r="E3327" s="10" t="s">
        <v>1112</v>
      </c>
      <c r="F3327" s="10" t="str">
        <f>"2170581363 "</f>
        <v xml:space="preserve">2170581363 </v>
      </c>
      <c r="G3327" s="10" t="str">
        <f t="shared" si="143"/>
        <v>ON1</v>
      </c>
      <c r="H3327" s="10" t="s">
        <v>21</v>
      </c>
      <c r="I3327" s="10" t="s">
        <v>90</v>
      </c>
      <c r="J3327" s="10" t="str">
        <f>""</f>
        <v/>
      </c>
      <c r="K3327" s="10" t="str">
        <f>"PFES1162564986_0001"</f>
        <v>PFES1162564986_0001</v>
      </c>
      <c r="L3327" s="10">
        <v>1</v>
      </c>
      <c r="M3327" s="10">
        <v>1</v>
      </c>
    </row>
    <row r="3328" spans="1:13">
      <c r="A3328" s="8">
        <v>42942</v>
      </c>
      <c r="B3328" s="9">
        <v>0.50694444444444442</v>
      </c>
      <c r="C3328" s="10" t="str">
        <f>"FES1162564907"</f>
        <v>FES1162564907</v>
      </c>
      <c r="D3328" s="10" t="s">
        <v>362</v>
      </c>
      <c r="E3328" s="10" t="s">
        <v>225</v>
      </c>
      <c r="F3328" s="10" t="str">
        <f>"2170580901 "</f>
        <v xml:space="preserve">2170580901 </v>
      </c>
      <c r="G3328" s="10" t="str">
        <f t="shared" si="143"/>
        <v>ON1</v>
      </c>
      <c r="H3328" s="10" t="s">
        <v>21</v>
      </c>
      <c r="I3328" s="10" t="s">
        <v>226</v>
      </c>
      <c r="J3328" s="10" t="str">
        <f>""</f>
        <v/>
      </c>
      <c r="K3328" s="10" t="str">
        <f>"PFES1162564907_0001"</f>
        <v>PFES1162564907_0001</v>
      </c>
      <c r="L3328" s="10">
        <v>1</v>
      </c>
      <c r="M3328" s="10">
        <v>1</v>
      </c>
    </row>
    <row r="3329" spans="1:13">
      <c r="A3329" s="8">
        <v>42942</v>
      </c>
      <c r="B3329" s="9">
        <v>0.50624999999999998</v>
      </c>
      <c r="C3329" s="10" t="str">
        <f>"FES1162564909"</f>
        <v>FES1162564909</v>
      </c>
      <c r="D3329" s="10" t="s">
        <v>362</v>
      </c>
      <c r="E3329" s="10" t="s">
        <v>1164</v>
      </c>
      <c r="F3329" s="10" t="str">
        <f>"2170580988 "</f>
        <v xml:space="preserve">2170580988 </v>
      </c>
      <c r="G3329" s="10" t="str">
        <f t="shared" si="143"/>
        <v>ON1</v>
      </c>
      <c r="H3329" s="10" t="s">
        <v>21</v>
      </c>
      <c r="I3329" s="10" t="s">
        <v>1165</v>
      </c>
      <c r="J3329" s="10" t="str">
        <f>""</f>
        <v/>
      </c>
      <c r="K3329" s="10" t="str">
        <f>"PFES1162564909_0001"</f>
        <v>PFES1162564909_0001</v>
      </c>
      <c r="L3329" s="10">
        <v>1</v>
      </c>
      <c r="M3329" s="10">
        <v>1</v>
      </c>
    </row>
    <row r="3330" spans="1:13">
      <c r="A3330" s="8">
        <v>42942</v>
      </c>
      <c r="B3330" s="9">
        <v>0.50069444444444444</v>
      </c>
      <c r="C3330" s="10" t="str">
        <f>"FES1162564916"</f>
        <v>FES1162564916</v>
      </c>
      <c r="D3330" s="10" t="s">
        <v>362</v>
      </c>
      <c r="E3330" s="10" t="s">
        <v>253</v>
      </c>
      <c r="F3330" s="10" t="str">
        <f>"2170581111 "</f>
        <v xml:space="preserve">2170581111 </v>
      </c>
      <c r="G3330" s="10" t="str">
        <f t="shared" si="143"/>
        <v>ON1</v>
      </c>
      <c r="H3330" s="10" t="s">
        <v>21</v>
      </c>
      <c r="I3330" s="10" t="s">
        <v>254</v>
      </c>
      <c r="J3330" s="10" t="str">
        <f>""</f>
        <v/>
      </c>
      <c r="K3330" s="10" t="str">
        <f>"PFES1162564916_0001"</f>
        <v>PFES1162564916_0001</v>
      </c>
      <c r="L3330" s="10">
        <v>1</v>
      </c>
      <c r="M3330" s="10">
        <v>1</v>
      </c>
    </row>
    <row r="3331" spans="1:13">
      <c r="A3331" s="8">
        <v>42942</v>
      </c>
      <c r="B3331" s="9">
        <v>0.4993055555555555</v>
      </c>
      <c r="C3331" s="10" t="str">
        <f>"FES1162564910"</f>
        <v>FES1162564910</v>
      </c>
      <c r="D3331" s="10" t="s">
        <v>362</v>
      </c>
      <c r="E3331" s="10" t="s">
        <v>78</v>
      </c>
      <c r="F3331" s="10" t="str">
        <f>"2170581045 "</f>
        <v xml:space="preserve">2170581045 </v>
      </c>
      <c r="G3331" s="10" t="str">
        <f t="shared" si="143"/>
        <v>ON1</v>
      </c>
      <c r="H3331" s="10" t="s">
        <v>21</v>
      </c>
      <c r="I3331" s="10" t="s">
        <v>79</v>
      </c>
      <c r="J3331" s="10" t="str">
        <f>""</f>
        <v/>
      </c>
      <c r="K3331" s="10" t="str">
        <f>"PFES1162564910_0001"</f>
        <v>PFES1162564910_0001</v>
      </c>
      <c r="L3331" s="10">
        <v>1</v>
      </c>
      <c r="M3331" s="10">
        <v>1</v>
      </c>
    </row>
    <row r="3332" spans="1:13">
      <c r="A3332" s="8">
        <v>42942</v>
      </c>
      <c r="B3332" s="9">
        <v>0.49861111111111112</v>
      </c>
      <c r="C3332" s="10" t="str">
        <f>"FES1162564863"</f>
        <v>FES1162564863</v>
      </c>
      <c r="D3332" s="10" t="s">
        <v>362</v>
      </c>
      <c r="E3332" s="10" t="s">
        <v>773</v>
      </c>
      <c r="F3332" s="10" t="str">
        <f>"2170579115 "</f>
        <v xml:space="preserve">2170579115 </v>
      </c>
      <c r="G3332" s="10" t="str">
        <f t="shared" si="143"/>
        <v>ON1</v>
      </c>
      <c r="H3332" s="10" t="s">
        <v>21</v>
      </c>
      <c r="I3332" s="10" t="s">
        <v>52</v>
      </c>
      <c r="J3332" s="10" t="str">
        <f>""</f>
        <v/>
      </c>
      <c r="K3332" s="10" t="str">
        <f>"PFES1162564863_0001"</f>
        <v>PFES1162564863_0001</v>
      </c>
      <c r="L3332" s="10">
        <v>1</v>
      </c>
      <c r="M3332" s="10">
        <v>1</v>
      </c>
    </row>
    <row r="3333" spans="1:13">
      <c r="A3333" s="8">
        <v>42942</v>
      </c>
      <c r="B3333" s="9">
        <v>0.49791666666666662</v>
      </c>
      <c r="C3333" s="10" t="str">
        <f>"FES1162564851"</f>
        <v>FES1162564851</v>
      </c>
      <c r="D3333" s="10" t="s">
        <v>362</v>
      </c>
      <c r="E3333" s="10" t="s">
        <v>848</v>
      </c>
      <c r="F3333" s="10" t="str">
        <f>"2170579044 "</f>
        <v xml:space="preserve">2170579044 </v>
      </c>
      <c r="G3333" s="10" t="str">
        <f t="shared" si="143"/>
        <v>ON1</v>
      </c>
      <c r="H3333" s="10" t="s">
        <v>21</v>
      </c>
      <c r="I3333" s="10" t="s">
        <v>569</v>
      </c>
      <c r="J3333" s="10" t="str">
        <f>""</f>
        <v/>
      </c>
      <c r="K3333" s="10" t="str">
        <f>"PFES1162564851_0001"</f>
        <v>PFES1162564851_0001</v>
      </c>
      <c r="L3333" s="10">
        <v>1</v>
      </c>
      <c r="M3333" s="10">
        <v>1</v>
      </c>
    </row>
    <row r="3334" spans="1:13">
      <c r="A3334" s="8">
        <v>42942</v>
      </c>
      <c r="B3334" s="9">
        <v>0.49722222222222223</v>
      </c>
      <c r="C3334" s="10" t="str">
        <f>"FES1162564867"</f>
        <v>FES1162564867</v>
      </c>
      <c r="D3334" s="10" t="s">
        <v>362</v>
      </c>
      <c r="E3334" s="10" t="s">
        <v>282</v>
      </c>
      <c r="F3334" s="10" t="str">
        <f>"2170579219 "</f>
        <v xml:space="preserve">2170579219 </v>
      </c>
      <c r="G3334" s="10" t="str">
        <f t="shared" si="143"/>
        <v>ON1</v>
      </c>
      <c r="H3334" s="10" t="s">
        <v>21</v>
      </c>
      <c r="I3334" s="10" t="s">
        <v>252</v>
      </c>
      <c r="J3334" s="10" t="str">
        <f>""</f>
        <v/>
      </c>
      <c r="K3334" s="10" t="str">
        <f>"PFES1162564867_0001"</f>
        <v>PFES1162564867_0001</v>
      </c>
      <c r="L3334" s="10">
        <v>1</v>
      </c>
      <c r="M3334" s="10">
        <v>1</v>
      </c>
    </row>
    <row r="3335" spans="1:13">
      <c r="A3335" s="8">
        <v>42942</v>
      </c>
      <c r="B3335" s="9">
        <v>0.49652777777777773</v>
      </c>
      <c r="C3335" s="10" t="str">
        <f>"FES1162564770"</f>
        <v>FES1162564770</v>
      </c>
      <c r="D3335" s="10" t="s">
        <v>19</v>
      </c>
      <c r="E3335" s="10" t="s">
        <v>471</v>
      </c>
      <c r="F3335" s="10" t="str">
        <f>"217057611 "</f>
        <v xml:space="preserve">217057611 </v>
      </c>
      <c r="G3335" s="10" t="str">
        <f t="shared" si="143"/>
        <v>ON1</v>
      </c>
      <c r="H3335" s="10" t="s">
        <v>21</v>
      </c>
      <c r="I3335" s="10" t="s">
        <v>138</v>
      </c>
      <c r="J3335" s="10" t="str">
        <f>""</f>
        <v/>
      </c>
      <c r="K3335" s="10" t="str">
        <f>"PFES1162564770_0001"</f>
        <v>PFES1162564770_0001</v>
      </c>
      <c r="L3335" s="10">
        <v>1</v>
      </c>
      <c r="M3335" s="10">
        <v>1</v>
      </c>
    </row>
    <row r="3336" spans="1:13">
      <c r="A3336" s="8">
        <v>42942</v>
      </c>
      <c r="B3336" s="9">
        <v>0.49652777777777773</v>
      </c>
      <c r="C3336" s="10" t="str">
        <f>"FES1162564939"</f>
        <v>FES1162564939</v>
      </c>
      <c r="D3336" s="10" t="s">
        <v>362</v>
      </c>
      <c r="E3336" s="10" t="s">
        <v>41</v>
      </c>
      <c r="F3336" s="10" t="str">
        <f>"2170581297 "</f>
        <v xml:space="preserve">2170581297 </v>
      </c>
      <c r="G3336" s="10" t="str">
        <f t="shared" si="143"/>
        <v>ON1</v>
      </c>
      <c r="H3336" s="10" t="s">
        <v>21</v>
      </c>
      <c r="I3336" s="10" t="s">
        <v>42</v>
      </c>
      <c r="J3336" s="10" t="str">
        <f>""</f>
        <v/>
      </c>
      <c r="K3336" s="10" t="str">
        <f>"PFES1162564939_0001"</f>
        <v>PFES1162564939_0001</v>
      </c>
      <c r="L3336" s="10">
        <v>1</v>
      </c>
      <c r="M3336" s="10">
        <v>1</v>
      </c>
    </row>
    <row r="3337" spans="1:13">
      <c r="A3337" s="8">
        <v>42942</v>
      </c>
      <c r="B3337" s="9">
        <v>0.49652777777777773</v>
      </c>
      <c r="C3337" s="10" t="str">
        <f>"FES1162564805"</f>
        <v>FES1162564805</v>
      </c>
      <c r="D3337" s="10" t="s">
        <v>19</v>
      </c>
      <c r="E3337" s="10" t="s">
        <v>288</v>
      </c>
      <c r="F3337" s="10" t="str">
        <f>"217058584 "</f>
        <v xml:space="preserve">217058584 </v>
      </c>
      <c r="G3337" s="10" t="str">
        <f t="shared" si="143"/>
        <v>ON1</v>
      </c>
      <c r="H3337" s="10" t="s">
        <v>21</v>
      </c>
      <c r="I3337" s="10" t="s">
        <v>177</v>
      </c>
      <c r="J3337" s="10" t="str">
        <f>""</f>
        <v/>
      </c>
      <c r="K3337" s="10" t="str">
        <f>"PFES1162564805_0001"</f>
        <v>PFES1162564805_0001</v>
      </c>
      <c r="L3337" s="10">
        <v>1</v>
      </c>
      <c r="M3337" s="10">
        <v>1</v>
      </c>
    </row>
    <row r="3338" spans="1:13">
      <c r="A3338" s="8">
        <v>42942</v>
      </c>
      <c r="B3338" s="9">
        <v>0.49583333333333335</v>
      </c>
      <c r="C3338" s="10" t="str">
        <f>"FES1162564828"</f>
        <v>FES1162564828</v>
      </c>
      <c r="D3338" s="10" t="s">
        <v>19</v>
      </c>
      <c r="E3338" s="10" t="s">
        <v>139</v>
      </c>
      <c r="F3338" s="10" t="str">
        <f>"2170578821 "</f>
        <v xml:space="preserve">2170578821 </v>
      </c>
      <c r="G3338" s="10" t="str">
        <f t="shared" si="143"/>
        <v>ON1</v>
      </c>
      <c r="H3338" s="10" t="s">
        <v>21</v>
      </c>
      <c r="I3338" s="10" t="s">
        <v>61</v>
      </c>
      <c r="J3338" s="10" t="str">
        <f>""</f>
        <v/>
      </c>
      <c r="K3338" s="10" t="str">
        <f>"PFES1162564828_0001"</f>
        <v>PFES1162564828_0001</v>
      </c>
      <c r="L3338" s="10">
        <v>1</v>
      </c>
      <c r="M3338" s="10">
        <v>1</v>
      </c>
    </row>
    <row r="3339" spans="1:13">
      <c r="A3339" s="8">
        <v>42942</v>
      </c>
      <c r="B3339" s="9">
        <v>0.49583333333333335</v>
      </c>
      <c r="C3339" s="10" t="str">
        <f>"FES1162564943"</f>
        <v>FES1162564943</v>
      </c>
      <c r="D3339" s="10" t="s">
        <v>19</v>
      </c>
      <c r="E3339" s="10" t="s">
        <v>477</v>
      </c>
      <c r="F3339" s="10" t="str">
        <f>"2170581304 "</f>
        <v xml:space="preserve">2170581304 </v>
      </c>
      <c r="G3339" s="10" t="str">
        <f t="shared" si="143"/>
        <v>ON1</v>
      </c>
      <c r="H3339" s="10" t="s">
        <v>21</v>
      </c>
      <c r="I3339" s="10" t="s">
        <v>138</v>
      </c>
      <c r="J3339" s="10" t="str">
        <f>""</f>
        <v/>
      </c>
      <c r="K3339" s="10" t="str">
        <f>"PFES1162564943_0001"</f>
        <v>PFES1162564943_0001</v>
      </c>
      <c r="L3339" s="10">
        <v>1</v>
      </c>
      <c r="M3339" s="10">
        <v>1</v>
      </c>
    </row>
    <row r="3340" spans="1:13">
      <c r="A3340" s="8">
        <v>42942</v>
      </c>
      <c r="B3340" s="9">
        <v>0.49513888888888885</v>
      </c>
      <c r="C3340" s="10" t="str">
        <f>"FES1162564839"</f>
        <v>FES1162564839</v>
      </c>
      <c r="D3340" s="10" t="s">
        <v>362</v>
      </c>
      <c r="E3340" s="10" t="s">
        <v>41</v>
      </c>
      <c r="F3340" s="10" t="str">
        <f>"2170578915 "</f>
        <v xml:space="preserve">2170578915 </v>
      </c>
      <c r="G3340" s="10" t="str">
        <f t="shared" si="143"/>
        <v>ON1</v>
      </c>
      <c r="H3340" s="10" t="s">
        <v>21</v>
      </c>
      <c r="I3340" s="10" t="s">
        <v>42</v>
      </c>
      <c r="J3340" s="10" t="str">
        <f>""</f>
        <v/>
      </c>
      <c r="K3340" s="10" t="str">
        <f>"PFES1162564839_0001"</f>
        <v>PFES1162564839_0001</v>
      </c>
      <c r="L3340" s="10">
        <v>1</v>
      </c>
      <c r="M3340" s="10">
        <v>1</v>
      </c>
    </row>
    <row r="3341" spans="1:13">
      <c r="A3341" s="8">
        <v>42942</v>
      </c>
      <c r="B3341" s="9">
        <v>0.49513888888888885</v>
      </c>
      <c r="C3341" s="10" t="str">
        <f>"FES1162564755"</f>
        <v>FES1162564755</v>
      </c>
      <c r="D3341" s="10" t="s">
        <v>19</v>
      </c>
      <c r="E3341" s="10" t="s">
        <v>1153</v>
      </c>
      <c r="F3341" s="10" t="str">
        <f>"2170581282 "</f>
        <v xml:space="preserve">2170581282 </v>
      </c>
      <c r="G3341" s="10" t="str">
        <f t="shared" si="143"/>
        <v>ON1</v>
      </c>
      <c r="H3341" s="10" t="s">
        <v>21</v>
      </c>
      <c r="I3341" s="10" t="s">
        <v>68</v>
      </c>
      <c r="J3341" s="10" t="str">
        <f>""</f>
        <v/>
      </c>
      <c r="K3341" s="10" t="str">
        <f>"PFES1162564755_0001"</f>
        <v>PFES1162564755_0001</v>
      </c>
      <c r="L3341" s="10">
        <v>1</v>
      </c>
      <c r="M3341" s="10">
        <v>3</v>
      </c>
    </row>
    <row r="3342" spans="1:13">
      <c r="A3342" s="8">
        <v>42942</v>
      </c>
      <c r="B3342" s="9">
        <v>0.49444444444444446</v>
      </c>
      <c r="C3342" s="10" t="str">
        <f>"FES1162564849"</f>
        <v>FES1162564849</v>
      </c>
      <c r="D3342" s="10" t="s">
        <v>19</v>
      </c>
      <c r="E3342" s="10" t="s">
        <v>272</v>
      </c>
      <c r="F3342" s="10" t="str">
        <f>"2170579041 "</f>
        <v xml:space="preserve">2170579041 </v>
      </c>
      <c r="G3342" s="10" t="str">
        <f t="shared" si="143"/>
        <v>ON1</v>
      </c>
      <c r="H3342" s="10" t="s">
        <v>21</v>
      </c>
      <c r="I3342" s="10" t="s">
        <v>166</v>
      </c>
      <c r="J3342" s="10" t="str">
        <f>""</f>
        <v/>
      </c>
      <c r="K3342" s="10" t="str">
        <f>"PFES1162564849_0001"</f>
        <v>PFES1162564849_0001</v>
      </c>
      <c r="L3342" s="10">
        <v>1</v>
      </c>
      <c r="M3342" s="10">
        <v>2</v>
      </c>
    </row>
    <row r="3343" spans="1:13">
      <c r="A3343" s="8">
        <v>42942</v>
      </c>
      <c r="B3343" s="9">
        <v>0.49374999999999997</v>
      </c>
      <c r="C3343" s="10" t="str">
        <f>"FES1162564878"</f>
        <v>FES1162564878</v>
      </c>
      <c r="D3343" s="10" t="s">
        <v>19</v>
      </c>
      <c r="E3343" s="10" t="s">
        <v>478</v>
      </c>
      <c r="F3343" s="10" t="str">
        <f>"2170579303 "</f>
        <v xml:space="preserve">2170579303 </v>
      </c>
      <c r="G3343" s="10" t="str">
        <f t="shared" si="143"/>
        <v>ON1</v>
      </c>
      <c r="H3343" s="10" t="s">
        <v>21</v>
      </c>
      <c r="I3343" s="10" t="s">
        <v>234</v>
      </c>
      <c r="J3343" s="10" t="str">
        <f>""</f>
        <v/>
      </c>
      <c r="K3343" s="10" t="str">
        <f>"PFES1162564878_0001"</f>
        <v>PFES1162564878_0001</v>
      </c>
      <c r="L3343" s="10">
        <v>1</v>
      </c>
      <c r="M3343" s="10">
        <v>1</v>
      </c>
    </row>
    <row r="3344" spans="1:13">
      <c r="A3344" s="8">
        <v>42942</v>
      </c>
      <c r="B3344" s="9">
        <v>0.49374999999999997</v>
      </c>
      <c r="C3344" s="10" t="str">
        <f>"FES1162564928"</f>
        <v>FES1162564928</v>
      </c>
      <c r="D3344" s="10" t="s">
        <v>19</v>
      </c>
      <c r="E3344" s="10" t="s">
        <v>478</v>
      </c>
      <c r="F3344" s="10" t="str">
        <f>"2170579303 "</f>
        <v xml:space="preserve">2170579303 </v>
      </c>
      <c r="G3344" s="10" t="str">
        <f t="shared" si="143"/>
        <v>ON1</v>
      </c>
      <c r="H3344" s="10" t="s">
        <v>21</v>
      </c>
      <c r="I3344" s="10" t="s">
        <v>234</v>
      </c>
      <c r="J3344" s="10" t="str">
        <f>""</f>
        <v/>
      </c>
      <c r="K3344" s="10" t="str">
        <f>"PFES1162564928_0001"</f>
        <v>PFES1162564928_0001</v>
      </c>
      <c r="L3344" s="10">
        <v>1</v>
      </c>
      <c r="M3344" s="10">
        <v>7</v>
      </c>
    </row>
    <row r="3345" spans="1:13">
      <c r="A3345" s="8">
        <v>42942</v>
      </c>
      <c r="B3345" s="9">
        <v>0.49374999999999997</v>
      </c>
      <c r="C3345" s="10" t="str">
        <f>"FES1162564897"</f>
        <v>FES1162564897</v>
      </c>
      <c r="D3345" s="10" t="s">
        <v>19</v>
      </c>
      <c r="E3345" s="10" t="s">
        <v>436</v>
      </c>
      <c r="F3345" s="10" t="str">
        <f>"21705805234 "</f>
        <v xml:space="preserve">21705805234 </v>
      </c>
      <c r="G3345" s="10" t="str">
        <f t="shared" si="143"/>
        <v>ON1</v>
      </c>
      <c r="H3345" s="10" t="s">
        <v>21</v>
      </c>
      <c r="I3345" s="10" t="s">
        <v>252</v>
      </c>
      <c r="J3345" s="10" t="str">
        <f>""</f>
        <v/>
      </c>
      <c r="K3345" s="10" t="str">
        <f>"PFES1162564897_0001"</f>
        <v>PFES1162564897_0001</v>
      </c>
      <c r="L3345" s="10">
        <v>1</v>
      </c>
      <c r="M3345" s="10">
        <v>1</v>
      </c>
    </row>
    <row r="3346" spans="1:13">
      <c r="A3346" s="8">
        <v>42942</v>
      </c>
      <c r="B3346" s="9">
        <v>0.4909722222222222</v>
      </c>
      <c r="C3346" s="10" t="str">
        <f>"FES1162564930"</f>
        <v>FES1162564930</v>
      </c>
      <c r="D3346" s="10" t="s">
        <v>19</v>
      </c>
      <c r="E3346" s="10" t="s">
        <v>241</v>
      </c>
      <c r="F3346" s="10" t="str">
        <f>"2170581288 "</f>
        <v xml:space="preserve">2170581288 </v>
      </c>
      <c r="G3346" s="10" t="str">
        <f t="shared" si="143"/>
        <v>ON1</v>
      </c>
      <c r="H3346" s="10" t="s">
        <v>21</v>
      </c>
      <c r="I3346" s="10" t="s">
        <v>242</v>
      </c>
      <c r="J3346" s="10" t="str">
        <f>""</f>
        <v/>
      </c>
      <c r="K3346" s="10" t="str">
        <f>"PFES1162564930_0001"</f>
        <v>PFES1162564930_0001</v>
      </c>
      <c r="L3346" s="10">
        <v>1</v>
      </c>
      <c r="M3346" s="10">
        <v>1</v>
      </c>
    </row>
    <row r="3347" spans="1:13">
      <c r="A3347" s="8">
        <v>42942</v>
      </c>
      <c r="B3347" s="9">
        <v>0.4909722222222222</v>
      </c>
      <c r="C3347" s="10" t="str">
        <f>"FES1162564768"</f>
        <v>FES1162564768</v>
      </c>
      <c r="D3347" s="10" t="s">
        <v>362</v>
      </c>
      <c r="E3347" s="10" t="s">
        <v>706</v>
      </c>
      <c r="F3347" s="10" t="str">
        <f>"2170576136 "</f>
        <v xml:space="preserve">2170576136 </v>
      </c>
      <c r="G3347" s="10" t="str">
        <f>"ON2"</f>
        <v>ON2</v>
      </c>
      <c r="H3347" s="10" t="s">
        <v>21</v>
      </c>
      <c r="I3347" s="10" t="s">
        <v>166</v>
      </c>
      <c r="J3347" s="10" t="str">
        <f>""</f>
        <v/>
      </c>
      <c r="K3347" s="10" t="str">
        <f>"PFES1162564768_0001"</f>
        <v>PFES1162564768_0001</v>
      </c>
      <c r="L3347" s="10">
        <v>1</v>
      </c>
      <c r="M3347" s="10">
        <v>6</v>
      </c>
    </row>
    <row r="3348" spans="1:13">
      <c r="A3348" s="8">
        <v>42942</v>
      </c>
      <c r="B3348" s="9">
        <v>0.45624999999999999</v>
      </c>
      <c r="C3348" s="10" t="str">
        <f>"009935791616"</f>
        <v>009935791616</v>
      </c>
      <c r="D3348" s="10" t="s">
        <v>362</v>
      </c>
      <c r="E3348" s="10" t="s">
        <v>363</v>
      </c>
      <c r="F3348" s="10" t="str">
        <f>"ABRAM MACHAKA "</f>
        <v xml:space="preserve">ABRAM MACHAKA </v>
      </c>
      <c r="G3348" s="10" t="str">
        <f>"ON1"</f>
        <v>ON1</v>
      </c>
      <c r="H3348" s="10" t="s">
        <v>21</v>
      </c>
      <c r="I3348" s="10" t="s">
        <v>364</v>
      </c>
      <c r="J3348" s="10" t="str">
        <f>""</f>
        <v/>
      </c>
      <c r="K3348" s="10" t="str">
        <f>"P009935791616_0001"</f>
        <v>P009935791616_0001</v>
      </c>
      <c r="L3348" s="10">
        <v>1</v>
      </c>
      <c r="M3348" s="10">
        <v>1</v>
      </c>
    </row>
    <row r="3349" spans="1:13">
      <c r="A3349" s="8">
        <v>42942</v>
      </c>
      <c r="B3349" s="9">
        <v>0.69305555555555554</v>
      </c>
      <c r="C3349" s="10" t="str">
        <f>"FES1162565099"</f>
        <v>FES1162565099</v>
      </c>
      <c r="D3349" s="10" t="s">
        <v>19</v>
      </c>
      <c r="E3349" s="10" t="s">
        <v>107</v>
      </c>
      <c r="F3349" s="10" t="str">
        <f>"2170581522 "</f>
        <v xml:space="preserve">2170581522 </v>
      </c>
      <c r="G3349" s="10" t="str">
        <f t="shared" ref="G3349:G3357" si="144">"ON1"</f>
        <v>ON1</v>
      </c>
      <c r="H3349" s="10" t="s">
        <v>21</v>
      </c>
      <c r="I3349" s="10" t="s">
        <v>75</v>
      </c>
      <c r="J3349" s="10" t="str">
        <f>""</f>
        <v/>
      </c>
      <c r="K3349" s="10" t="str">
        <f>"PFES1162565099_0001"</f>
        <v>PFES1162565099_0001</v>
      </c>
      <c r="L3349" s="10">
        <v>1</v>
      </c>
      <c r="M3349" s="10">
        <v>1</v>
      </c>
    </row>
    <row r="3350" spans="1:13">
      <c r="A3350" s="8">
        <v>42942</v>
      </c>
      <c r="B3350" s="9">
        <v>0.69305555555555554</v>
      </c>
      <c r="C3350" s="10" t="str">
        <f>"FES1162565096"</f>
        <v>FES1162565096</v>
      </c>
      <c r="D3350" s="10" t="s">
        <v>19</v>
      </c>
      <c r="E3350" s="10" t="s">
        <v>768</v>
      </c>
      <c r="F3350" s="10" t="str">
        <f>"2170581517 "</f>
        <v xml:space="preserve">2170581517 </v>
      </c>
      <c r="G3350" s="10" t="str">
        <f t="shared" si="144"/>
        <v>ON1</v>
      </c>
      <c r="H3350" s="10" t="s">
        <v>21</v>
      </c>
      <c r="I3350" s="10" t="s">
        <v>601</v>
      </c>
      <c r="J3350" s="10" t="str">
        <f>""</f>
        <v/>
      </c>
      <c r="K3350" s="10" t="str">
        <f>"PFES1162565096_0001"</f>
        <v>PFES1162565096_0001</v>
      </c>
      <c r="L3350" s="10">
        <v>1</v>
      </c>
      <c r="M3350" s="10">
        <v>1</v>
      </c>
    </row>
    <row r="3351" spans="1:13">
      <c r="A3351" s="8">
        <v>42942</v>
      </c>
      <c r="B3351" s="9">
        <v>0.69236111111111109</v>
      </c>
      <c r="C3351" s="10" t="str">
        <f>"FES1162565149"</f>
        <v>FES1162565149</v>
      </c>
      <c r="D3351" s="10" t="s">
        <v>19</v>
      </c>
      <c r="E3351" s="10" t="s">
        <v>858</v>
      </c>
      <c r="F3351" s="10" t="str">
        <f>"2170581593 "</f>
        <v xml:space="preserve">2170581593 </v>
      </c>
      <c r="G3351" s="10" t="str">
        <f t="shared" si="144"/>
        <v>ON1</v>
      </c>
      <c r="H3351" s="10" t="s">
        <v>21</v>
      </c>
      <c r="I3351" s="10" t="s">
        <v>859</v>
      </c>
      <c r="J3351" s="10" t="str">
        <f>""</f>
        <v/>
      </c>
      <c r="K3351" s="10" t="str">
        <f>"PFES1162565149_0001"</f>
        <v>PFES1162565149_0001</v>
      </c>
      <c r="L3351" s="10">
        <v>1</v>
      </c>
      <c r="M3351" s="10">
        <v>1</v>
      </c>
    </row>
    <row r="3352" spans="1:13">
      <c r="A3352" s="8">
        <v>42942</v>
      </c>
      <c r="B3352" s="9">
        <v>0.69236111111111109</v>
      </c>
      <c r="C3352" s="10" t="str">
        <f>"FES1162565067"</f>
        <v>FES1162565067</v>
      </c>
      <c r="D3352" s="10" t="s">
        <v>19</v>
      </c>
      <c r="E3352" s="10" t="s">
        <v>1166</v>
      </c>
      <c r="F3352" s="10" t="str">
        <f>"2170581464 "</f>
        <v xml:space="preserve">2170581464 </v>
      </c>
      <c r="G3352" s="10" t="str">
        <f t="shared" si="144"/>
        <v>ON1</v>
      </c>
      <c r="H3352" s="10" t="s">
        <v>21</v>
      </c>
      <c r="I3352" s="10" t="s">
        <v>1005</v>
      </c>
      <c r="J3352" s="10" t="str">
        <f>""</f>
        <v/>
      </c>
      <c r="K3352" s="10" t="str">
        <f>"PFES1162565067_0001"</f>
        <v>PFES1162565067_0001</v>
      </c>
      <c r="L3352" s="10">
        <v>1</v>
      </c>
      <c r="M3352" s="10">
        <v>1</v>
      </c>
    </row>
    <row r="3353" spans="1:13">
      <c r="A3353" s="8">
        <v>42942</v>
      </c>
      <c r="B3353" s="9">
        <v>0.69236111111111109</v>
      </c>
      <c r="C3353" s="10" t="str">
        <f>"FES1162565007"</f>
        <v>FES1162565007</v>
      </c>
      <c r="D3353" s="10" t="s">
        <v>19</v>
      </c>
      <c r="E3353" s="10" t="s">
        <v>139</v>
      </c>
      <c r="F3353" s="10" t="str">
        <f>"2170578821 "</f>
        <v xml:space="preserve">2170578821 </v>
      </c>
      <c r="G3353" s="10" t="str">
        <f t="shared" si="144"/>
        <v>ON1</v>
      </c>
      <c r="H3353" s="10" t="s">
        <v>21</v>
      </c>
      <c r="I3353" s="10" t="s">
        <v>61</v>
      </c>
      <c r="J3353" s="10" t="str">
        <f>""</f>
        <v/>
      </c>
      <c r="K3353" s="10" t="str">
        <f>"PFES1162565007_0001"</f>
        <v>PFES1162565007_0001</v>
      </c>
      <c r="L3353" s="10">
        <v>1</v>
      </c>
      <c r="M3353" s="10">
        <v>1</v>
      </c>
    </row>
    <row r="3354" spans="1:13">
      <c r="A3354" s="8">
        <v>42942</v>
      </c>
      <c r="B3354" s="9">
        <v>0.69166666666666676</v>
      </c>
      <c r="C3354" s="10" t="str">
        <f>"FES1162565129"</f>
        <v>FES1162565129</v>
      </c>
      <c r="D3354" s="10" t="s">
        <v>19</v>
      </c>
      <c r="E3354" s="10" t="s">
        <v>416</v>
      </c>
      <c r="F3354" s="10" t="str">
        <f>"2170581558 "</f>
        <v xml:space="preserve">2170581558 </v>
      </c>
      <c r="G3354" s="10" t="str">
        <f t="shared" si="144"/>
        <v>ON1</v>
      </c>
      <c r="H3354" s="10" t="s">
        <v>21</v>
      </c>
      <c r="I3354" s="10" t="s">
        <v>157</v>
      </c>
      <c r="J3354" s="10" t="str">
        <f>""</f>
        <v/>
      </c>
      <c r="K3354" s="10" t="str">
        <f>"PFES1162565129_0001"</f>
        <v>PFES1162565129_0001</v>
      </c>
      <c r="L3354" s="10">
        <v>1</v>
      </c>
      <c r="M3354" s="10">
        <v>1</v>
      </c>
    </row>
    <row r="3355" spans="1:13">
      <c r="A3355" s="8">
        <v>42942</v>
      </c>
      <c r="B3355" s="9">
        <v>0.69027777777777777</v>
      </c>
      <c r="C3355" s="10" t="str">
        <f>"FES1162565098"</f>
        <v>FES1162565098</v>
      </c>
      <c r="D3355" s="10" t="s">
        <v>19</v>
      </c>
      <c r="E3355" s="10" t="s">
        <v>107</v>
      </c>
      <c r="F3355" s="10" t="str">
        <f>"2170581521 "</f>
        <v xml:space="preserve">2170581521 </v>
      </c>
      <c r="G3355" s="10" t="str">
        <f t="shared" si="144"/>
        <v>ON1</v>
      </c>
      <c r="H3355" s="10" t="s">
        <v>21</v>
      </c>
      <c r="I3355" s="10" t="s">
        <v>75</v>
      </c>
      <c r="J3355" s="10" t="str">
        <f>""</f>
        <v/>
      </c>
      <c r="K3355" s="10" t="str">
        <f>"PFES1162565098_0001"</f>
        <v>PFES1162565098_0001</v>
      </c>
      <c r="L3355" s="10">
        <v>1</v>
      </c>
      <c r="M3355" s="10">
        <v>1</v>
      </c>
    </row>
    <row r="3356" spans="1:13">
      <c r="A3356" s="8">
        <v>42942</v>
      </c>
      <c r="B3356" s="9">
        <v>0.68958333333333333</v>
      </c>
      <c r="C3356" s="10" t="str">
        <f>"FES1162565144"</f>
        <v>FES1162565144</v>
      </c>
      <c r="D3356" s="10" t="s">
        <v>19</v>
      </c>
      <c r="E3356" s="10" t="s">
        <v>80</v>
      </c>
      <c r="F3356" s="10" t="str">
        <f>"2170581578 "</f>
        <v xml:space="preserve">2170581578 </v>
      </c>
      <c r="G3356" s="10" t="str">
        <f t="shared" si="144"/>
        <v>ON1</v>
      </c>
      <c r="H3356" s="10" t="s">
        <v>21</v>
      </c>
      <c r="I3356" s="10" t="s">
        <v>36</v>
      </c>
      <c r="J3356" s="10" t="str">
        <f>""</f>
        <v/>
      </c>
      <c r="K3356" s="10" t="str">
        <f>"PFES1162565144_0001"</f>
        <v>PFES1162565144_0001</v>
      </c>
      <c r="L3356" s="10">
        <v>1</v>
      </c>
      <c r="M3356" s="10">
        <v>1</v>
      </c>
    </row>
    <row r="3357" spans="1:13">
      <c r="A3357" s="8">
        <v>42942</v>
      </c>
      <c r="B3357" s="9">
        <v>0.68888888888888899</v>
      </c>
      <c r="C3357" s="10" t="str">
        <f>"FES1162565078"</f>
        <v>FES1162565078</v>
      </c>
      <c r="D3357" s="10" t="s">
        <v>19</v>
      </c>
      <c r="E3357" s="10" t="s">
        <v>447</v>
      </c>
      <c r="F3357" s="10" t="str">
        <f>"2170581480 "</f>
        <v xml:space="preserve">2170581480 </v>
      </c>
      <c r="G3357" s="10" t="str">
        <f t="shared" si="144"/>
        <v>ON1</v>
      </c>
      <c r="H3357" s="10" t="s">
        <v>21</v>
      </c>
      <c r="I3357" s="10" t="s">
        <v>259</v>
      </c>
      <c r="J3357" s="10" t="str">
        <f>""</f>
        <v/>
      </c>
      <c r="K3357" s="10" t="str">
        <f>"PFES1162565078_0001"</f>
        <v>PFES1162565078_0001</v>
      </c>
      <c r="L3357" s="10">
        <v>1</v>
      </c>
      <c r="M3357" s="10">
        <v>4</v>
      </c>
    </row>
    <row r="3358" spans="1:13">
      <c r="A3358" s="8">
        <v>42942</v>
      </c>
      <c r="B3358" s="9">
        <v>0.6875</v>
      </c>
      <c r="C3358" s="10" t="str">
        <f>"FES1162565009"</f>
        <v>FES1162565009</v>
      </c>
      <c r="D3358" s="10" t="s">
        <v>19</v>
      </c>
      <c r="E3358" s="10" t="s">
        <v>1116</v>
      </c>
      <c r="F3358" s="10" t="str">
        <f>"2170581067 "</f>
        <v xml:space="preserve">2170581067 </v>
      </c>
      <c r="G3358" s="10" t="str">
        <f>"ON2"</f>
        <v>ON2</v>
      </c>
      <c r="H3358" s="10" t="s">
        <v>21</v>
      </c>
      <c r="I3358" s="10" t="s">
        <v>1117</v>
      </c>
      <c r="J3358" s="10" t="str">
        <f>""</f>
        <v/>
      </c>
      <c r="K3358" s="10" t="str">
        <f>"PFES1162565009_0001"</f>
        <v>PFES1162565009_0001</v>
      </c>
      <c r="L3358" s="10">
        <v>1</v>
      </c>
      <c r="M3358" s="10">
        <v>5</v>
      </c>
    </row>
    <row r="3359" spans="1:13">
      <c r="A3359" s="8">
        <v>42942</v>
      </c>
      <c r="B3359" s="9">
        <v>0.68680555555555556</v>
      </c>
      <c r="C3359" s="10" t="str">
        <f>"FES1162565016"</f>
        <v>FES1162565016</v>
      </c>
      <c r="D3359" s="10" t="s">
        <v>19</v>
      </c>
      <c r="E3359" s="10" t="s">
        <v>118</v>
      </c>
      <c r="F3359" s="10" t="str">
        <f>"2170581391 "</f>
        <v xml:space="preserve">2170581391 </v>
      </c>
      <c r="G3359" s="10" t="str">
        <f t="shared" ref="G3359:G3386" si="145">"ON1"</f>
        <v>ON1</v>
      </c>
      <c r="H3359" s="10" t="s">
        <v>21</v>
      </c>
      <c r="I3359" s="10" t="s">
        <v>119</v>
      </c>
      <c r="J3359" s="10" t="str">
        <f>""</f>
        <v/>
      </c>
      <c r="K3359" s="10" t="str">
        <f>"PFES1162565016_0001"</f>
        <v>PFES1162565016_0001</v>
      </c>
      <c r="L3359" s="10">
        <v>1</v>
      </c>
      <c r="M3359" s="10">
        <v>2</v>
      </c>
    </row>
    <row r="3360" spans="1:13">
      <c r="A3360" s="8">
        <v>42942</v>
      </c>
      <c r="B3360" s="9">
        <v>0.68611111111111101</v>
      </c>
      <c r="C3360" s="10" t="str">
        <f>"FES1162565021"</f>
        <v>FES1162565021</v>
      </c>
      <c r="D3360" s="10" t="s">
        <v>19</v>
      </c>
      <c r="E3360" s="10" t="s">
        <v>676</v>
      </c>
      <c r="F3360" s="10" t="str">
        <f>"2170581399 "</f>
        <v xml:space="preserve">2170581399 </v>
      </c>
      <c r="G3360" s="10" t="str">
        <f t="shared" si="145"/>
        <v>ON1</v>
      </c>
      <c r="H3360" s="10" t="s">
        <v>21</v>
      </c>
      <c r="I3360" s="10" t="s">
        <v>677</v>
      </c>
      <c r="J3360" s="10" t="str">
        <f>""</f>
        <v/>
      </c>
      <c r="K3360" s="10" t="str">
        <f>"PFES1162565021_0001"</f>
        <v>PFES1162565021_0001</v>
      </c>
      <c r="L3360" s="10">
        <v>1</v>
      </c>
      <c r="M3360" s="10">
        <v>7</v>
      </c>
    </row>
    <row r="3361" spans="1:13">
      <c r="A3361" s="8">
        <v>42942</v>
      </c>
      <c r="B3361" s="9">
        <v>0.68611111111111101</v>
      </c>
      <c r="C3361" s="10" t="str">
        <f>"FES1162565091"</f>
        <v>FES1162565091</v>
      </c>
      <c r="D3361" s="10" t="s">
        <v>19</v>
      </c>
      <c r="E3361" s="10" t="s">
        <v>451</v>
      </c>
      <c r="F3361" s="10" t="str">
        <f>"21705814697 "</f>
        <v xml:space="preserve">21705814697 </v>
      </c>
      <c r="G3361" s="10" t="str">
        <f t="shared" si="145"/>
        <v>ON1</v>
      </c>
      <c r="H3361" s="10" t="s">
        <v>21</v>
      </c>
      <c r="I3361" s="10" t="s">
        <v>66</v>
      </c>
      <c r="J3361" s="10" t="str">
        <f>""</f>
        <v/>
      </c>
      <c r="K3361" s="10" t="str">
        <f>"PFES1162565091_0001"</f>
        <v>PFES1162565091_0001</v>
      </c>
      <c r="L3361" s="10">
        <v>1</v>
      </c>
      <c r="M3361" s="10">
        <v>11</v>
      </c>
    </row>
    <row r="3362" spans="1:13">
      <c r="A3362" s="8">
        <v>42942</v>
      </c>
      <c r="B3362" s="9">
        <v>0.68541666666666667</v>
      </c>
      <c r="C3362" s="10" t="str">
        <f>"FES1162565061"</f>
        <v>FES1162565061</v>
      </c>
      <c r="D3362" s="10" t="s">
        <v>19</v>
      </c>
      <c r="E3362" s="10" t="s">
        <v>657</v>
      </c>
      <c r="F3362" s="10" t="str">
        <f>"2170581453 "</f>
        <v xml:space="preserve">2170581453 </v>
      </c>
      <c r="G3362" s="10" t="str">
        <f t="shared" si="145"/>
        <v>ON1</v>
      </c>
      <c r="H3362" s="10" t="s">
        <v>21</v>
      </c>
      <c r="I3362" s="10" t="s">
        <v>90</v>
      </c>
      <c r="J3362" s="10" t="str">
        <f>""</f>
        <v/>
      </c>
      <c r="K3362" s="10" t="str">
        <f>"PFES1162565061_0001"</f>
        <v>PFES1162565061_0001</v>
      </c>
      <c r="L3362" s="10">
        <v>1</v>
      </c>
      <c r="M3362" s="10">
        <v>4</v>
      </c>
    </row>
    <row r="3363" spans="1:13">
      <c r="A3363" s="8">
        <v>42942</v>
      </c>
      <c r="B3363" s="9">
        <v>0.68541666666666667</v>
      </c>
      <c r="C3363" s="10" t="str">
        <f>"FES1162565107"</f>
        <v>FES1162565107</v>
      </c>
      <c r="D3363" s="10" t="s">
        <v>19</v>
      </c>
      <c r="E3363" s="10" t="s">
        <v>45</v>
      </c>
      <c r="F3363" s="10" t="str">
        <f>"2170581527 "</f>
        <v xml:space="preserve">2170581527 </v>
      </c>
      <c r="G3363" s="10" t="str">
        <f t="shared" si="145"/>
        <v>ON1</v>
      </c>
      <c r="H3363" s="10" t="s">
        <v>21</v>
      </c>
      <c r="I3363" s="10" t="s">
        <v>46</v>
      </c>
      <c r="J3363" s="10" t="str">
        <f>""</f>
        <v/>
      </c>
      <c r="K3363" s="10" t="str">
        <f>"PFES1162565107_0001"</f>
        <v>PFES1162565107_0001</v>
      </c>
      <c r="L3363" s="10">
        <v>1</v>
      </c>
      <c r="M3363" s="10">
        <v>1</v>
      </c>
    </row>
    <row r="3364" spans="1:13">
      <c r="A3364" s="8">
        <v>42942</v>
      </c>
      <c r="B3364" s="9">
        <v>0.68472222222222223</v>
      </c>
      <c r="C3364" s="10" t="str">
        <f>"FES1162565005"</f>
        <v>FES1162565005</v>
      </c>
      <c r="D3364" s="10" t="s">
        <v>19</v>
      </c>
      <c r="E3364" s="10" t="s">
        <v>175</v>
      </c>
      <c r="F3364" s="10" t="str">
        <f>"2170581390 "</f>
        <v xml:space="preserve">2170581390 </v>
      </c>
      <c r="G3364" s="10" t="str">
        <f t="shared" si="145"/>
        <v>ON1</v>
      </c>
      <c r="H3364" s="10" t="s">
        <v>21</v>
      </c>
      <c r="I3364" s="10" t="s">
        <v>168</v>
      </c>
      <c r="J3364" s="10" t="str">
        <f>""</f>
        <v/>
      </c>
      <c r="K3364" s="10" t="str">
        <f>"PFES1162565005_0001"</f>
        <v>PFES1162565005_0001</v>
      </c>
      <c r="L3364" s="10">
        <v>1</v>
      </c>
      <c r="M3364" s="10">
        <v>1</v>
      </c>
    </row>
    <row r="3365" spans="1:13">
      <c r="A3365" s="8">
        <v>42942</v>
      </c>
      <c r="B3365" s="9">
        <v>0.68472222222222223</v>
      </c>
      <c r="C3365" s="10" t="str">
        <f>"FES1162565126"</f>
        <v>FES1162565126</v>
      </c>
      <c r="D3365" s="10" t="s">
        <v>19</v>
      </c>
      <c r="E3365" s="10" t="s">
        <v>956</v>
      </c>
      <c r="F3365" s="10" t="str">
        <f>"2170579186 "</f>
        <v xml:space="preserve">2170579186 </v>
      </c>
      <c r="G3365" s="10" t="str">
        <f t="shared" si="145"/>
        <v>ON1</v>
      </c>
      <c r="H3365" s="10" t="s">
        <v>21</v>
      </c>
      <c r="I3365" s="10" t="s">
        <v>455</v>
      </c>
      <c r="J3365" s="10" t="str">
        <f>""</f>
        <v/>
      </c>
      <c r="K3365" s="10" t="str">
        <f>"PFES1162565126_0001"</f>
        <v>PFES1162565126_0001</v>
      </c>
      <c r="L3365" s="10">
        <v>1</v>
      </c>
      <c r="M3365" s="10">
        <v>1</v>
      </c>
    </row>
    <row r="3366" spans="1:13">
      <c r="A3366" s="8">
        <v>42942</v>
      </c>
      <c r="B3366" s="9">
        <v>0.68402777777777779</v>
      </c>
      <c r="C3366" s="10" t="str">
        <f>"FES1162565120"</f>
        <v>FES1162565120</v>
      </c>
      <c r="D3366" s="10" t="s">
        <v>19</v>
      </c>
      <c r="E3366" s="10" t="s">
        <v>651</v>
      </c>
      <c r="F3366" s="10" t="str">
        <f>"217058866 "</f>
        <v xml:space="preserve">217058866 </v>
      </c>
      <c r="G3366" s="10" t="str">
        <f t="shared" si="145"/>
        <v>ON1</v>
      </c>
      <c r="H3366" s="10" t="s">
        <v>21</v>
      </c>
      <c r="I3366" s="10" t="s">
        <v>652</v>
      </c>
      <c r="J3366" s="10" t="str">
        <f>""</f>
        <v/>
      </c>
      <c r="K3366" s="10" t="str">
        <f>"PFES1162565120_0001"</f>
        <v>PFES1162565120_0001</v>
      </c>
      <c r="L3366" s="10">
        <v>1</v>
      </c>
      <c r="M3366" s="10">
        <v>1</v>
      </c>
    </row>
    <row r="3367" spans="1:13">
      <c r="A3367" s="8">
        <v>42942</v>
      </c>
      <c r="B3367" s="9">
        <v>0.68402777777777779</v>
      </c>
      <c r="C3367" s="10" t="str">
        <f>"FES1162565135"</f>
        <v>FES1162565135</v>
      </c>
      <c r="D3367" s="10" t="s">
        <v>19</v>
      </c>
      <c r="E3367" s="10" t="s">
        <v>381</v>
      </c>
      <c r="F3367" s="10" t="str">
        <f>"1162564638 "</f>
        <v xml:space="preserve">1162564638 </v>
      </c>
      <c r="G3367" s="10" t="str">
        <f t="shared" si="145"/>
        <v>ON1</v>
      </c>
      <c r="H3367" s="10" t="s">
        <v>21</v>
      </c>
      <c r="I3367" s="10" t="s">
        <v>149</v>
      </c>
      <c r="J3367" s="10" t="str">
        <f>"PLEASE SIGN BOTH 2 COPIES"</f>
        <v>PLEASE SIGN BOTH 2 COPIES</v>
      </c>
      <c r="K3367" s="10" t="str">
        <f>"PFES1162565135_0001"</f>
        <v>PFES1162565135_0001</v>
      </c>
      <c r="L3367" s="10">
        <v>1</v>
      </c>
      <c r="M3367" s="10">
        <v>2</v>
      </c>
    </row>
    <row r="3368" spans="1:13">
      <c r="A3368" s="8">
        <v>42942</v>
      </c>
      <c r="B3368" s="9">
        <v>0.68263888888888891</v>
      </c>
      <c r="C3368" s="10" t="str">
        <f>"FES1162565103"</f>
        <v>FES1162565103</v>
      </c>
      <c r="D3368" s="10" t="s">
        <v>19</v>
      </c>
      <c r="E3368" s="10" t="s">
        <v>45</v>
      </c>
      <c r="F3368" s="10" t="str">
        <f>"2170581527 "</f>
        <v xml:space="preserve">2170581527 </v>
      </c>
      <c r="G3368" s="10" t="str">
        <f t="shared" si="145"/>
        <v>ON1</v>
      </c>
      <c r="H3368" s="10" t="s">
        <v>21</v>
      </c>
      <c r="I3368" s="10" t="s">
        <v>46</v>
      </c>
      <c r="J3368" s="10" t="str">
        <f>""</f>
        <v/>
      </c>
      <c r="K3368" s="10" t="str">
        <f>"PFES1162565103_0001"</f>
        <v>PFES1162565103_0001</v>
      </c>
      <c r="L3368" s="10">
        <v>1</v>
      </c>
      <c r="M3368" s="10">
        <v>1</v>
      </c>
    </row>
    <row r="3369" spans="1:13">
      <c r="A3369" s="8">
        <v>42942</v>
      </c>
      <c r="B3369" s="9">
        <v>0.68263888888888891</v>
      </c>
      <c r="C3369" s="10" t="str">
        <f>"FES1162564846"</f>
        <v>FES1162564846</v>
      </c>
      <c r="D3369" s="10" t="s">
        <v>19</v>
      </c>
      <c r="E3369" s="10" t="s">
        <v>1167</v>
      </c>
      <c r="F3369" s="10" t="str">
        <f>"2170579017 "</f>
        <v xml:space="preserve">2170579017 </v>
      </c>
      <c r="G3369" s="10" t="str">
        <f t="shared" si="145"/>
        <v>ON1</v>
      </c>
      <c r="H3369" s="10" t="s">
        <v>21</v>
      </c>
      <c r="I3369" s="10" t="s">
        <v>36</v>
      </c>
      <c r="J3369" s="10" t="str">
        <f>""</f>
        <v/>
      </c>
      <c r="K3369" s="10" t="str">
        <f>"PFES1162564846_0001"</f>
        <v>PFES1162564846_0001</v>
      </c>
      <c r="L3369" s="10">
        <v>1</v>
      </c>
      <c r="M3369" s="10">
        <v>1</v>
      </c>
    </row>
    <row r="3370" spans="1:13">
      <c r="A3370" s="8">
        <v>42942</v>
      </c>
      <c r="B3370" s="9">
        <v>0.68194444444444446</v>
      </c>
      <c r="C3370" s="10" t="str">
        <f>"FES1162564898"</f>
        <v>FES1162564898</v>
      </c>
      <c r="D3370" s="10" t="s">
        <v>19</v>
      </c>
      <c r="E3370" s="10" t="s">
        <v>99</v>
      </c>
      <c r="F3370" s="10" t="str">
        <f>"2170580535 "</f>
        <v xml:space="preserve">2170580535 </v>
      </c>
      <c r="G3370" s="10" t="str">
        <f t="shared" si="145"/>
        <v>ON1</v>
      </c>
      <c r="H3370" s="10" t="s">
        <v>21</v>
      </c>
      <c r="I3370" s="10" t="s">
        <v>100</v>
      </c>
      <c r="J3370" s="10" t="str">
        <f>""</f>
        <v/>
      </c>
      <c r="K3370" s="10" t="str">
        <f>"PFES1162564898_0001"</f>
        <v>PFES1162564898_0001</v>
      </c>
      <c r="L3370" s="10">
        <v>1</v>
      </c>
      <c r="M3370" s="10">
        <v>1</v>
      </c>
    </row>
    <row r="3371" spans="1:13">
      <c r="A3371" s="8">
        <v>42942</v>
      </c>
      <c r="B3371" s="9">
        <v>0.68194444444444446</v>
      </c>
      <c r="C3371" s="10" t="str">
        <f>"FES1162564913"</f>
        <v>FES1162564913</v>
      </c>
      <c r="D3371" s="10" t="s">
        <v>19</v>
      </c>
      <c r="E3371" s="10" t="s">
        <v>99</v>
      </c>
      <c r="F3371" s="10" t="str">
        <f>"21705891066 "</f>
        <v xml:space="preserve">21705891066 </v>
      </c>
      <c r="G3371" s="10" t="str">
        <f t="shared" si="145"/>
        <v>ON1</v>
      </c>
      <c r="H3371" s="10" t="s">
        <v>21</v>
      </c>
      <c r="I3371" s="10" t="s">
        <v>100</v>
      </c>
      <c r="J3371" s="10" t="str">
        <f>""</f>
        <v/>
      </c>
      <c r="K3371" s="10" t="str">
        <f>"PFES1162564913_0001"</f>
        <v>PFES1162564913_0001</v>
      </c>
      <c r="L3371" s="10">
        <v>1</v>
      </c>
      <c r="M3371" s="10">
        <v>1</v>
      </c>
    </row>
    <row r="3372" spans="1:13">
      <c r="A3372" s="8">
        <v>42942</v>
      </c>
      <c r="B3372" s="9">
        <v>0.68125000000000002</v>
      </c>
      <c r="C3372" s="10" t="str">
        <f>"FES1162564998"</f>
        <v>FES1162564998</v>
      </c>
      <c r="D3372" s="10" t="s">
        <v>19</v>
      </c>
      <c r="E3372" s="10" t="s">
        <v>390</v>
      </c>
      <c r="F3372" s="10" t="str">
        <f>"2170581362 "</f>
        <v xml:space="preserve">2170581362 </v>
      </c>
      <c r="G3372" s="10" t="str">
        <f t="shared" si="145"/>
        <v>ON1</v>
      </c>
      <c r="H3372" s="10" t="s">
        <v>21</v>
      </c>
      <c r="I3372" s="10" t="s">
        <v>300</v>
      </c>
      <c r="J3372" s="10" t="str">
        <f>""</f>
        <v/>
      </c>
      <c r="K3372" s="10" t="str">
        <f>"PFES1162564998_0001"</f>
        <v>PFES1162564998_0001</v>
      </c>
      <c r="L3372" s="10">
        <v>1</v>
      </c>
      <c r="M3372" s="10">
        <v>1</v>
      </c>
    </row>
    <row r="3373" spans="1:13">
      <c r="A3373" s="8">
        <v>42942</v>
      </c>
      <c r="B3373" s="9">
        <v>0.68125000000000002</v>
      </c>
      <c r="C3373" s="10" t="str">
        <f>"FES1162565146"</f>
        <v>FES1162565146</v>
      </c>
      <c r="D3373" s="10" t="s">
        <v>19</v>
      </c>
      <c r="E3373" s="10" t="s">
        <v>1107</v>
      </c>
      <c r="F3373" s="10" t="str">
        <f>"2170581581 "</f>
        <v xml:space="preserve">2170581581 </v>
      </c>
      <c r="G3373" s="10" t="str">
        <f t="shared" si="145"/>
        <v>ON1</v>
      </c>
      <c r="H3373" s="10" t="s">
        <v>21</v>
      </c>
      <c r="I3373" s="10" t="s">
        <v>700</v>
      </c>
      <c r="J3373" s="10" t="str">
        <f>""</f>
        <v/>
      </c>
      <c r="K3373" s="10" t="str">
        <f>"PFES1162565146_0001"</f>
        <v>PFES1162565146_0001</v>
      </c>
      <c r="L3373" s="10">
        <v>1</v>
      </c>
      <c r="M3373" s="10">
        <v>1</v>
      </c>
    </row>
    <row r="3374" spans="1:13">
      <c r="A3374" s="8">
        <v>42942</v>
      </c>
      <c r="B3374" s="9">
        <v>0.67847222222222225</v>
      </c>
      <c r="C3374" s="10" t="str">
        <f>"FES1162565147"</f>
        <v>FES1162565147</v>
      </c>
      <c r="D3374" s="10" t="s">
        <v>19</v>
      </c>
      <c r="E3374" s="10" t="s">
        <v>190</v>
      </c>
      <c r="F3374" s="10" t="str">
        <f>"2170581587 "</f>
        <v xml:space="preserve">2170581587 </v>
      </c>
      <c r="G3374" s="10" t="str">
        <f t="shared" si="145"/>
        <v>ON1</v>
      </c>
      <c r="H3374" s="10" t="s">
        <v>21</v>
      </c>
      <c r="I3374" s="10" t="s">
        <v>52</v>
      </c>
      <c r="J3374" s="10" t="str">
        <f>""</f>
        <v/>
      </c>
      <c r="K3374" s="10" t="str">
        <f>"PFES1162565147_0001"</f>
        <v>PFES1162565147_0001</v>
      </c>
      <c r="L3374" s="10">
        <v>1</v>
      </c>
      <c r="M3374" s="10">
        <v>1</v>
      </c>
    </row>
    <row r="3375" spans="1:13">
      <c r="A3375" s="8">
        <v>42942</v>
      </c>
      <c r="B3375" s="9">
        <v>0.67847222222222225</v>
      </c>
      <c r="C3375" s="10" t="str">
        <f>"FES1162565012"</f>
        <v>FES1162565012</v>
      </c>
      <c r="D3375" s="10" t="s">
        <v>19</v>
      </c>
      <c r="E3375" s="10" t="s">
        <v>502</v>
      </c>
      <c r="F3375" s="10" t="str">
        <f>"2170581375 "</f>
        <v xml:space="preserve">2170581375 </v>
      </c>
      <c r="G3375" s="10" t="str">
        <f t="shared" si="145"/>
        <v>ON1</v>
      </c>
      <c r="H3375" s="10" t="s">
        <v>21</v>
      </c>
      <c r="I3375" s="10" t="s">
        <v>580</v>
      </c>
      <c r="J3375" s="10" t="str">
        <f>""</f>
        <v/>
      </c>
      <c r="K3375" s="10" t="str">
        <f>"PFES1162565012_0001"</f>
        <v>PFES1162565012_0001</v>
      </c>
      <c r="L3375" s="10">
        <v>1</v>
      </c>
      <c r="M3375" s="10">
        <v>1</v>
      </c>
    </row>
    <row r="3376" spans="1:13">
      <c r="A3376" s="8">
        <v>42942</v>
      </c>
      <c r="B3376" s="9">
        <v>0.6777777777777777</v>
      </c>
      <c r="C3376" s="10" t="str">
        <f>"FES1162564993"</f>
        <v>FES1162564993</v>
      </c>
      <c r="D3376" s="10" t="s">
        <v>19</v>
      </c>
      <c r="E3376" s="10" t="s">
        <v>218</v>
      </c>
      <c r="F3376" s="10" t="str">
        <f>"2170581373 "</f>
        <v xml:space="preserve">2170581373 </v>
      </c>
      <c r="G3376" s="10" t="str">
        <f t="shared" si="145"/>
        <v>ON1</v>
      </c>
      <c r="H3376" s="10" t="s">
        <v>21</v>
      </c>
      <c r="I3376" s="10" t="s">
        <v>219</v>
      </c>
      <c r="J3376" s="10" t="str">
        <f>""</f>
        <v/>
      </c>
      <c r="K3376" s="10" t="str">
        <f>"PFES1162564993_0001"</f>
        <v>PFES1162564993_0001</v>
      </c>
      <c r="L3376" s="10">
        <v>1</v>
      </c>
      <c r="M3376" s="10">
        <v>1</v>
      </c>
    </row>
    <row r="3377" spans="1:13">
      <c r="A3377" s="8">
        <v>42942</v>
      </c>
      <c r="B3377" s="9">
        <v>0.6777777777777777</v>
      </c>
      <c r="C3377" s="10" t="str">
        <f>"FES1162565014"</f>
        <v>FES1162565014</v>
      </c>
      <c r="D3377" s="10" t="s">
        <v>19</v>
      </c>
      <c r="E3377" s="10" t="s">
        <v>502</v>
      </c>
      <c r="F3377" s="10" t="str">
        <f>"2170581377 "</f>
        <v xml:space="preserve">2170581377 </v>
      </c>
      <c r="G3377" s="10" t="str">
        <f t="shared" si="145"/>
        <v>ON1</v>
      </c>
      <c r="H3377" s="10" t="s">
        <v>21</v>
      </c>
      <c r="I3377" s="10" t="s">
        <v>580</v>
      </c>
      <c r="J3377" s="10" t="str">
        <f>""</f>
        <v/>
      </c>
      <c r="K3377" s="10" t="str">
        <f>"PFES1162565014_0001"</f>
        <v>PFES1162565014_0001</v>
      </c>
      <c r="L3377" s="10">
        <v>1</v>
      </c>
      <c r="M3377" s="10">
        <v>1</v>
      </c>
    </row>
    <row r="3378" spans="1:13">
      <c r="A3378" s="8">
        <v>42942</v>
      </c>
      <c r="B3378" s="9">
        <v>0.6777777777777777</v>
      </c>
      <c r="C3378" s="10" t="str">
        <f>"FES1162565138"</f>
        <v>FES1162565138</v>
      </c>
      <c r="D3378" s="10" t="s">
        <v>19</v>
      </c>
      <c r="E3378" s="10" t="s">
        <v>1075</v>
      </c>
      <c r="F3378" s="10" t="str">
        <f>"2170581572 "</f>
        <v xml:space="preserve">2170581572 </v>
      </c>
      <c r="G3378" s="10" t="str">
        <f t="shared" si="145"/>
        <v>ON1</v>
      </c>
      <c r="H3378" s="10" t="s">
        <v>21</v>
      </c>
      <c r="I3378" s="10" t="s">
        <v>455</v>
      </c>
      <c r="J3378" s="10" t="str">
        <f>""</f>
        <v/>
      </c>
      <c r="K3378" s="10" t="str">
        <f>"PFES1162565138_0001"</f>
        <v>PFES1162565138_0001</v>
      </c>
      <c r="L3378" s="10">
        <v>1</v>
      </c>
      <c r="M3378" s="10">
        <v>1</v>
      </c>
    </row>
    <row r="3379" spans="1:13">
      <c r="A3379" s="8">
        <v>42942</v>
      </c>
      <c r="B3379" s="9">
        <v>0.67708333333333337</v>
      </c>
      <c r="C3379" s="10" t="str">
        <f>"FES1162565121"</f>
        <v>FES1162565121</v>
      </c>
      <c r="D3379" s="10" t="s">
        <v>19</v>
      </c>
      <c r="E3379" s="10" t="s">
        <v>69</v>
      </c>
      <c r="F3379" s="10" t="str">
        <f>"2170576902 "</f>
        <v xml:space="preserve">2170576902 </v>
      </c>
      <c r="G3379" s="10" t="str">
        <f t="shared" si="145"/>
        <v>ON1</v>
      </c>
      <c r="H3379" s="10" t="s">
        <v>21</v>
      </c>
      <c r="I3379" s="10" t="s">
        <v>70</v>
      </c>
      <c r="J3379" s="10" t="str">
        <f>""</f>
        <v/>
      </c>
      <c r="K3379" s="10" t="str">
        <f>"PFES1162565121_0001"</f>
        <v>PFES1162565121_0001</v>
      </c>
      <c r="L3379" s="10">
        <v>1</v>
      </c>
      <c r="M3379" s="10">
        <v>1</v>
      </c>
    </row>
    <row r="3380" spans="1:13">
      <c r="A3380" s="8">
        <v>42942</v>
      </c>
      <c r="B3380" s="9">
        <v>0.67708333333333337</v>
      </c>
      <c r="C3380" s="10" t="str">
        <f>"FES1162565025"</f>
        <v>FES1162565025</v>
      </c>
      <c r="D3380" s="10" t="s">
        <v>19</v>
      </c>
      <c r="E3380" s="10" t="s">
        <v>361</v>
      </c>
      <c r="F3380" s="10" t="str">
        <f>"2170578792 "</f>
        <v xml:space="preserve">2170578792 </v>
      </c>
      <c r="G3380" s="10" t="str">
        <f t="shared" si="145"/>
        <v>ON1</v>
      </c>
      <c r="H3380" s="10" t="s">
        <v>21</v>
      </c>
      <c r="I3380" s="10" t="s">
        <v>106</v>
      </c>
      <c r="J3380" s="10" t="str">
        <f>""</f>
        <v/>
      </c>
      <c r="K3380" s="10" t="str">
        <f>"PFES1162565025_0001"</f>
        <v>PFES1162565025_0001</v>
      </c>
      <c r="L3380" s="10">
        <v>1</v>
      </c>
      <c r="M3380" s="10">
        <v>6</v>
      </c>
    </row>
    <row r="3381" spans="1:13">
      <c r="A3381" s="8">
        <v>42942</v>
      </c>
      <c r="B3381" s="9">
        <v>0.67638888888888893</v>
      </c>
      <c r="C3381" s="10" t="str">
        <f>"FES1162565136"</f>
        <v>FES1162565136</v>
      </c>
      <c r="D3381" s="10" t="s">
        <v>19</v>
      </c>
      <c r="E3381" s="10" t="s">
        <v>39</v>
      </c>
      <c r="F3381" s="10" t="str">
        <f>"2170581330 "</f>
        <v xml:space="preserve">2170581330 </v>
      </c>
      <c r="G3381" s="10" t="str">
        <f t="shared" si="145"/>
        <v>ON1</v>
      </c>
      <c r="H3381" s="10" t="s">
        <v>21</v>
      </c>
      <c r="I3381" s="10" t="s">
        <v>40</v>
      </c>
      <c r="J3381" s="10" t="str">
        <f>""</f>
        <v/>
      </c>
      <c r="K3381" s="10" t="str">
        <f>"PFES1162565136_0001"</f>
        <v>PFES1162565136_0001</v>
      </c>
      <c r="L3381" s="10">
        <v>1</v>
      </c>
      <c r="M3381" s="10">
        <v>1</v>
      </c>
    </row>
    <row r="3382" spans="1:13">
      <c r="A3382" s="8">
        <v>42942</v>
      </c>
      <c r="B3382" s="9">
        <v>0.67499999999999993</v>
      </c>
      <c r="C3382" s="10" t="str">
        <f>"FES1162565128"</f>
        <v>FES1162565128</v>
      </c>
      <c r="D3382" s="10" t="s">
        <v>19</v>
      </c>
      <c r="E3382" s="10" t="s">
        <v>1168</v>
      </c>
      <c r="F3382" s="10" t="str">
        <f>"2170578885 "</f>
        <v xml:space="preserve">2170578885 </v>
      </c>
      <c r="G3382" s="10" t="str">
        <f t="shared" si="145"/>
        <v>ON1</v>
      </c>
      <c r="H3382" s="10" t="s">
        <v>21</v>
      </c>
      <c r="I3382" s="10" t="s">
        <v>330</v>
      </c>
      <c r="J3382" s="10" t="str">
        <f>""</f>
        <v/>
      </c>
      <c r="K3382" s="10" t="str">
        <f>"PFES1162565128_0001"</f>
        <v>PFES1162565128_0001</v>
      </c>
      <c r="L3382" s="10">
        <v>1</v>
      </c>
      <c r="M3382" s="10">
        <v>1</v>
      </c>
    </row>
    <row r="3383" spans="1:13">
      <c r="A3383" s="8">
        <v>42942</v>
      </c>
      <c r="B3383" s="9">
        <v>0.67499999999999993</v>
      </c>
      <c r="C3383" s="10" t="str">
        <f>"FES1162565134"</f>
        <v>FES1162565134</v>
      </c>
      <c r="D3383" s="10" t="s">
        <v>19</v>
      </c>
      <c r="E3383" s="10" t="s">
        <v>436</v>
      </c>
      <c r="F3383" s="10" t="str">
        <f>"2170581162 "</f>
        <v xml:space="preserve">2170581162 </v>
      </c>
      <c r="G3383" s="10" t="str">
        <f t="shared" si="145"/>
        <v>ON1</v>
      </c>
      <c r="H3383" s="10" t="s">
        <v>21</v>
      </c>
      <c r="I3383" s="10" t="s">
        <v>252</v>
      </c>
      <c r="J3383" s="10" t="str">
        <f>""</f>
        <v/>
      </c>
      <c r="K3383" s="10" t="str">
        <f>"PFES1162565134_0001"</f>
        <v>PFES1162565134_0001</v>
      </c>
      <c r="L3383" s="10">
        <v>1</v>
      </c>
      <c r="M3383" s="10">
        <v>3</v>
      </c>
    </row>
    <row r="3384" spans="1:13">
      <c r="A3384" s="8">
        <v>42942</v>
      </c>
      <c r="B3384" s="9">
        <v>0.6743055555555556</v>
      </c>
      <c r="C3384" s="10" t="str">
        <f>"FES1162564793"</f>
        <v>FES1162564793</v>
      </c>
      <c r="D3384" s="10" t="s">
        <v>19</v>
      </c>
      <c r="E3384" s="10" t="s">
        <v>464</v>
      </c>
      <c r="F3384" s="10" t="str">
        <f>"2170578132 "</f>
        <v xml:space="preserve">2170578132 </v>
      </c>
      <c r="G3384" s="10" t="str">
        <f t="shared" si="145"/>
        <v>ON1</v>
      </c>
      <c r="H3384" s="10" t="s">
        <v>21</v>
      </c>
      <c r="I3384" s="10" t="s">
        <v>330</v>
      </c>
      <c r="J3384" s="10" t="str">
        <f>""</f>
        <v/>
      </c>
      <c r="K3384" s="10" t="str">
        <f>"PFES1162564793_0001"</f>
        <v>PFES1162564793_0001</v>
      </c>
      <c r="L3384" s="10">
        <v>1</v>
      </c>
      <c r="M3384" s="10">
        <v>1</v>
      </c>
    </row>
    <row r="3385" spans="1:13">
      <c r="A3385" s="8">
        <v>42942</v>
      </c>
      <c r="B3385" s="9">
        <v>0.67291666666666661</v>
      </c>
      <c r="C3385" s="10" t="str">
        <f>"FES1162564760"</f>
        <v>FES1162564760</v>
      </c>
      <c r="D3385" s="10" t="s">
        <v>19</v>
      </c>
      <c r="E3385" s="10" t="s">
        <v>218</v>
      </c>
      <c r="F3385" s="10" t="str">
        <f>"2170574338 "</f>
        <v xml:space="preserve">2170574338 </v>
      </c>
      <c r="G3385" s="10" t="str">
        <f t="shared" si="145"/>
        <v>ON1</v>
      </c>
      <c r="H3385" s="10" t="s">
        <v>21</v>
      </c>
      <c r="I3385" s="10" t="s">
        <v>219</v>
      </c>
      <c r="J3385" s="10" t="str">
        <f>""</f>
        <v/>
      </c>
      <c r="K3385" s="10" t="str">
        <f>"PFES1162564760_0001"</f>
        <v>PFES1162564760_0001</v>
      </c>
      <c r="L3385" s="10">
        <v>1</v>
      </c>
      <c r="M3385" s="10">
        <v>2</v>
      </c>
    </row>
    <row r="3386" spans="1:13">
      <c r="A3386" s="8">
        <v>42942</v>
      </c>
      <c r="B3386" s="9">
        <v>0.67222222222222217</v>
      </c>
      <c r="C3386" s="10" t="str">
        <f>"FES1162564989"</f>
        <v>FES1162564989</v>
      </c>
      <c r="D3386" s="10" t="s">
        <v>19</v>
      </c>
      <c r="E3386" s="10" t="s">
        <v>431</v>
      </c>
      <c r="F3386" s="10" t="str">
        <f>"2170581369 "</f>
        <v xml:space="preserve">2170581369 </v>
      </c>
      <c r="G3386" s="10" t="str">
        <f t="shared" si="145"/>
        <v>ON1</v>
      </c>
      <c r="H3386" s="10" t="s">
        <v>21</v>
      </c>
      <c r="I3386" s="10" t="s">
        <v>179</v>
      </c>
      <c r="J3386" s="10" t="str">
        <f>""</f>
        <v/>
      </c>
      <c r="K3386" s="10" t="str">
        <f>"PFES1162564989_0001"</f>
        <v>PFES1162564989_0001</v>
      </c>
      <c r="L3386" s="10">
        <v>1</v>
      </c>
      <c r="M3386" s="10">
        <v>1</v>
      </c>
    </row>
    <row r="3387" spans="1:13">
      <c r="A3387" s="8">
        <v>42942</v>
      </c>
      <c r="B3387" s="9">
        <v>0.67222222222222217</v>
      </c>
      <c r="C3387" s="10" t="str">
        <f>"FES1162564983"</f>
        <v>FES1162564983</v>
      </c>
      <c r="D3387" s="10" t="s">
        <v>19</v>
      </c>
      <c r="E3387" s="10" t="s">
        <v>1149</v>
      </c>
      <c r="F3387" s="10" t="str">
        <f>"2170581359 "</f>
        <v xml:space="preserve">2170581359 </v>
      </c>
      <c r="G3387" s="10" t="str">
        <f>"DBC"</f>
        <v>DBC</v>
      </c>
      <c r="H3387" s="10" t="s">
        <v>21</v>
      </c>
      <c r="I3387" s="10" t="s">
        <v>138</v>
      </c>
      <c r="J3387" s="10" t="str">
        <f>""</f>
        <v/>
      </c>
      <c r="K3387" s="10" t="str">
        <f>"PFES1162564983_0001"</f>
        <v>PFES1162564983_0001</v>
      </c>
      <c r="L3387" s="10">
        <v>1</v>
      </c>
      <c r="M3387" s="10">
        <v>6</v>
      </c>
    </row>
    <row r="3388" spans="1:13">
      <c r="A3388" s="8">
        <v>42942</v>
      </c>
      <c r="B3388" s="9">
        <v>0.67152777777777783</v>
      </c>
      <c r="C3388" s="10" t="str">
        <f>"FES1162565038"</f>
        <v>FES1162565038</v>
      </c>
      <c r="D3388" s="10" t="s">
        <v>19</v>
      </c>
      <c r="E3388" s="10" t="s">
        <v>33</v>
      </c>
      <c r="F3388" s="10" t="str">
        <f>"2170581420 "</f>
        <v xml:space="preserve">2170581420 </v>
      </c>
      <c r="G3388" s="10" t="str">
        <f t="shared" ref="G3388:G3396" si="146">"ON1"</f>
        <v>ON1</v>
      </c>
      <c r="H3388" s="10" t="s">
        <v>21</v>
      </c>
      <c r="I3388" s="10" t="s">
        <v>34</v>
      </c>
      <c r="J3388" s="10" t="str">
        <f>""</f>
        <v/>
      </c>
      <c r="K3388" s="10" t="str">
        <f>"PFES1162565038_0001"</f>
        <v>PFES1162565038_0001</v>
      </c>
      <c r="L3388" s="10">
        <v>1</v>
      </c>
      <c r="M3388" s="10">
        <v>3</v>
      </c>
    </row>
    <row r="3389" spans="1:13">
      <c r="A3389" s="8">
        <v>42942</v>
      </c>
      <c r="B3389" s="9">
        <v>0.66249999999999998</v>
      </c>
      <c r="C3389" s="10" t="str">
        <f>"FES1162564778"</f>
        <v>FES1162564778</v>
      </c>
      <c r="D3389" s="10" t="s">
        <v>19</v>
      </c>
      <c r="E3389" s="10" t="s">
        <v>1169</v>
      </c>
      <c r="F3389" s="10" t="str">
        <f>"2170577481 "</f>
        <v xml:space="preserve">2170577481 </v>
      </c>
      <c r="G3389" s="10" t="str">
        <f t="shared" si="146"/>
        <v>ON1</v>
      </c>
      <c r="H3389" s="10" t="s">
        <v>21</v>
      </c>
      <c r="I3389" s="10" t="s">
        <v>302</v>
      </c>
      <c r="J3389" s="10" t="str">
        <f>""</f>
        <v/>
      </c>
      <c r="K3389" s="10" t="str">
        <f>"PFES1162564778_0001"</f>
        <v>PFES1162564778_0001</v>
      </c>
      <c r="L3389" s="10">
        <v>1</v>
      </c>
      <c r="M3389" s="10">
        <v>1</v>
      </c>
    </row>
    <row r="3390" spans="1:13">
      <c r="A3390" s="8">
        <v>42942</v>
      </c>
      <c r="B3390" s="9">
        <v>0.65833333333333333</v>
      </c>
      <c r="C3390" s="10" t="str">
        <f>"FES1162565124"</f>
        <v>FES1162565124</v>
      </c>
      <c r="D3390" s="10" t="s">
        <v>19</v>
      </c>
      <c r="E3390" s="10" t="s">
        <v>39</v>
      </c>
      <c r="F3390" s="10" t="str">
        <f>"2170581552 "</f>
        <v xml:space="preserve">2170581552 </v>
      </c>
      <c r="G3390" s="10" t="str">
        <f t="shared" si="146"/>
        <v>ON1</v>
      </c>
      <c r="H3390" s="10" t="s">
        <v>21</v>
      </c>
      <c r="I3390" s="10" t="s">
        <v>40</v>
      </c>
      <c r="J3390" s="10" t="str">
        <f>""</f>
        <v/>
      </c>
      <c r="K3390" s="10" t="str">
        <f>"PFES1162565124_0001"</f>
        <v>PFES1162565124_0001</v>
      </c>
      <c r="L3390" s="10">
        <v>1</v>
      </c>
      <c r="M3390" s="10">
        <v>1</v>
      </c>
    </row>
    <row r="3391" spans="1:13">
      <c r="A3391" s="8">
        <v>42942</v>
      </c>
      <c r="B3391" s="9">
        <v>0.65763888888888888</v>
      </c>
      <c r="C3391" s="10" t="str">
        <f>"FES1162564841"</f>
        <v>FES1162564841</v>
      </c>
      <c r="D3391" s="10" t="s">
        <v>19</v>
      </c>
      <c r="E3391" s="10" t="s">
        <v>209</v>
      </c>
      <c r="F3391" s="10" t="str">
        <f>"2170578931 "</f>
        <v xml:space="preserve">2170578931 </v>
      </c>
      <c r="G3391" s="10" t="str">
        <f t="shared" si="146"/>
        <v>ON1</v>
      </c>
      <c r="H3391" s="10" t="s">
        <v>21</v>
      </c>
      <c r="I3391" s="10" t="s">
        <v>196</v>
      </c>
      <c r="J3391" s="10" t="str">
        <f>""</f>
        <v/>
      </c>
      <c r="K3391" s="10" t="str">
        <f>"PFES1162564841_0001"</f>
        <v>PFES1162564841_0001</v>
      </c>
      <c r="L3391" s="10">
        <v>1</v>
      </c>
      <c r="M3391" s="10">
        <v>1</v>
      </c>
    </row>
    <row r="3392" spans="1:13">
      <c r="A3392" s="8">
        <v>42942</v>
      </c>
      <c r="B3392" s="9">
        <v>0.65694444444444444</v>
      </c>
      <c r="C3392" s="10" t="str">
        <f>"FES1162565030"</f>
        <v>FES1162565030</v>
      </c>
      <c r="D3392" s="10" t="s">
        <v>19</v>
      </c>
      <c r="E3392" s="10" t="s">
        <v>397</v>
      </c>
      <c r="F3392" s="10" t="str">
        <f>"2170581413 "</f>
        <v xml:space="preserve">2170581413 </v>
      </c>
      <c r="G3392" s="10" t="str">
        <f t="shared" si="146"/>
        <v>ON1</v>
      </c>
      <c r="H3392" s="10" t="s">
        <v>21</v>
      </c>
      <c r="I3392" s="10" t="s">
        <v>800</v>
      </c>
      <c r="J3392" s="10" t="str">
        <f>""</f>
        <v/>
      </c>
      <c r="K3392" s="10" t="str">
        <f>"PFES1162565030_0001"</f>
        <v>PFES1162565030_0001</v>
      </c>
      <c r="L3392" s="10">
        <v>1</v>
      </c>
      <c r="M3392" s="10">
        <v>1</v>
      </c>
    </row>
    <row r="3393" spans="1:13">
      <c r="A3393" s="8">
        <v>42942</v>
      </c>
      <c r="B3393" s="9">
        <v>0.65625</v>
      </c>
      <c r="C3393" s="10" t="str">
        <f>"FES1162564763"</f>
        <v>FES1162564763</v>
      </c>
      <c r="D3393" s="10" t="s">
        <v>19</v>
      </c>
      <c r="E3393" s="10" t="s">
        <v>481</v>
      </c>
      <c r="F3393" s="10" t="str">
        <f>"2170575236 "</f>
        <v xml:space="preserve">2170575236 </v>
      </c>
      <c r="G3393" s="10" t="str">
        <f t="shared" si="146"/>
        <v>ON1</v>
      </c>
      <c r="H3393" s="10" t="s">
        <v>21</v>
      </c>
      <c r="I3393" s="10" t="s">
        <v>24</v>
      </c>
      <c r="J3393" s="10" t="str">
        <f>""</f>
        <v/>
      </c>
      <c r="K3393" s="10" t="str">
        <f>"PFES1162564763_0001"</f>
        <v>PFES1162564763_0001</v>
      </c>
      <c r="L3393" s="10">
        <v>1</v>
      </c>
      <c r="M3393" s="10">
        <v>1</v>
      </c>
    </row>
    <row r="3394" spans="1:13">
      <c r="A3394" s="8">
        <v>42942</v>
      </c>
      <c r="B3394" s="9">
        <v>0.65555555555555556</v>
      </c>
      <c r="C3394" s="10" t="str">
        <f>"FES1162564887"</f>
        <v>FES1162564887</v>
      </c>
      <c r="D3394" s="10" t="s">
        <v>19</v>
      </c>
      <c r="E3394" s="10" t="s">
        <v>1147</v>
      </c>
      <c r="F3394" s="10" t="str">
        <f>"2170579892 "</f>
        <v xml:space="preserve">2170579892 </v>
      </c>
      <c r="G3394" s="10" t="str">
        <f t="shared" si="146"/>
        <v>ON1</v>
      </c>
      <c r="H3394" s="10" t="s">
        <v>21</v>
      </c>
      <c r="I3394" s="10" t="s">
        <v>684</v>
      </c>
      <c r="J3394" s="10" t="str">
        <f>""</f>
        <v/>
      </c>
      <c r="K3394" s="10" t="str">
        <f>"PFES1162564887_0001"</f>
        <v>PFES1162564887_0001</v>
      </c>
      <c r="L3394" s="10">
        <v>1</v>
      </c>
      <c r="M3394" s="10">
        <v>1</v>
      </c>
    </row>
    <row r="3395" spans="1:13">
      <c r="A3395" s="8">
        <v>42942</v>
      </c>
      <c r="B3395" s="9">
        <v>0.65486111111111112</v>
      </c>
      <c r="C3395" s="10" t="str">
        <f>"FES1162565037"</f>
        <v>FES1162565037</v>
      </c>
      <c r="D3395" s="10" t="s">
        <v>19</v>
      </c>
      <c r="E3395" s="10" t="s">
        <v>651</v>
      </c>
      <c r="F3395" s="10" t="str">
        <f>"2170581389 "</f>
        <v xml:space="preserve">2170581389 </v>
      </c>
      <c r="G3395" s="10" t="str">
        <f t="shared" si="146"/>
        <v>ON1</v>
      </c>
      <c r="H3395" s="10" t="s">
        <v>21</v>
      </c>
      <c r="I3395" s="10" t="s">
        <v>652</v>
      </c>
      <c r="J3395" s="10" t="str">
        <f>""</f>
        <v/>
      </c>
      <c r="K3395" s="10" t="str">
        <f>"PFES1162565037_0001"</f>
        <v>PFES1162565037_0001</v>
      </c>
      <c r="L3395" s="10">
        <v>1</v>
      </c>
      <c r="M3395" s="10">
        <v>1</v>
      </c>
    </row>
    <row r="3396" spans="1:13">
      <c r="A3396" s="8">
        <v>42942</v>
      </c>
      <c r="B3396" s="9">
        <v>0.65486111111111112</v>
      </c>
      <c r="C3396" s="10" t="str">
        <f>"FES1162564942"</f>
        <v>FES1162564942</v>
      </c>
      <c r="D3396" s="10" t="s">
        <v>19</v>
      </c>
      <c r="E3396" s="10" t="s">
        <v>1170</v>
      </c>
      <c r="F3396" s="10" t="str">
        <f>"2170581306 "</f>
        <v xml:space="preserve">2170581306 </v>
      </c>
      <c r="G3396" s="10" t="str">
        <f t="shared" si="146"/>
        <v>ON1</v>
      </c>
      <c r="H3396" s="10" t="s">
        <v>21</v>
      </c>
      <c r="I3396" s="10" t="s">
        <v>700</v>
      </c>
      <c r="J3396" s="10" t="str">
        <f>""</f>
        <v/>
      </c>
      <c r="K3396" s="10" t="str">
        <f>"PFES1162564942_0001"</f>
        <v>PFES1162564942_0001</v>
      </c>
      <c r="L3396" s="10">
        <v>1</v>
      </c>
      <c r="M3396" s="10">
        <v>1</v>
      </c>
    </row>
    <row r="3397" spans="1:13">
      <c r="A3397" s="8">
        <v>42942</v>
      </c>
      <c r="B3397" s="9">
        <v>0.65347222222222223</v>
      </c>
      <c r="C3397" s="10" t="str">
        <f>"FES1162565015"</f>
        <v>FES1162565015</v>
      </c>
      <c r="D3397" s="10" t="s">
        <v>19</v>
      </c>
      <c r="E3397" s="10" t="s">
        <v>323</v>
      </c>
      <c r="F3397" s="10" t="str">
        <f>"2170581387 "</f>
        <v xml:space="preserve">2170581387 </v>
      </c>
      <c r="G3397" s="10" t="str">
        <f>"ON2"</f>
        <v>ON2</v>
      </c>
      <c r="H3397" s="10" t="s">
        <v>21</v>
      </c>
      <c r="I3397" s="10" t="s">
        <v>75</v>
      </c>
      <c r="J3397" s="10" t="str">
        <f>""</f>
        <v/>
      </c>
      <c r="K3397" s="10" t="str">
        <f>"PFES1162565015_0001"</f>
        <v>PFES1162565015_0001</v>
      </c>
      <c r="L3397" s="10">
        <v>2</v>
      </c>
      <c r="M3397" s="10">
        <v>9</v>
      </c>
    </row>
    <row r="3398" spans="1:13">
      <c r="A3398" s="8">
        <v>42942</v>
      </c>
      <c r="B3398" s="9">
        <v>0.65347222222222223</v>
      </c>
      <c r="C3398" s="10" t="str">
        <f>"FES1162565015"</f>
        <v>FES1162565015</v>
      </c>
      <c r="D3398" s="10" t="s">
        <v>19</v>
      </c>
      <c r="E3398" s="10" t="s">
        <v>323</v>
      </c>
      <c r="F3398" s="10" t="str">
        <f>"2170581387 "</f>
        <v xml:space="preserve">2170581387 </v>
      </c>
      <c r="G3398" s="10" t="str">
        <f>"ON2"</f>
        <v>ON2</v>
      </c>
      <c r="H3398" s="10" t="s">
        <v>21</v>
      </c>
      <c r="I3398" s="10" t="s">
        <v>75</v>
      </c>
      <c r="J3398" s="10"/>
      <c r="K3398" s="10" t="str">
        <f>"PFES1162565015_0002"</f>
        <v>PFES1162565015_0002</v>
      </c>
      <c r="L3398" s="10">
        <v>2</v>
      </c>
      <c r="M3398" s="10">
        <v>9</v>
      </c>
    </row>
    <row r="3399" spans="1:13">
      <c r="A3399" s="8">
        <v>42942</v>
      </c>
      <c r="B3399" s="9">
        <v>0.65</v>
      </c>
      <c r="C3399" s="10" t="str">
        <f>"FES1162565081"</f>
        <v>FES1162565081</v>
      </c>
      <c r="D3399" s="10" t="s">
        <v>19</v>
      </c>
      <c r="E3399" s="10" t="s">
        <v>781</v>
      </c>
      <c r="F3399" s="10" t="str">
        <f>"2170581484 "</f>
        <v xml:space="preserve">2170581484 </v>
      </c>
      <c r="G3399" s="10" t="str">
        <f t="shared" ref="G3399:G3404" si="147">"ON1"</f>
        <v>ON1</v>
      </c>
      <c r="H3399" s="10" t="s">
        <v>21</v>
      </c>
      <c r="I3399" s="10" t="s">
        <v>405</v>
      </c>
      <c r="J3399" s="10" t="str">
        <f>""</f>
        <v/>
      </c>
      <c r="K3399" s="10" t="str">
        <f>"PFES1162565081_0001"</f>
        <v>PFES1162565081_0001</v>
      </c>
      <c r="L3399" s="10">
        <v>1</v>
      </c>
      <c r="M3399" s="10">
        <v>1</v>
      </c>
    </row>
    <row r="3400" spans="1:13">
      <c r="A3400" s="8">
        <v>42942</v>
      </c>
      <c r="B3400" s="9">
        <v>0.64930555555555558</v>
      </c>
      <c r="C3400" s="10" t="str">
        <f>"FES1162565079"</f>
        <v>FES1162565079</v>
      </c>
      <c r="D3400" s="10" t="s">
        <v>19</v>
      </c>
      <c r="E3400" s="10" t="s">
        <v>636</v>
      </c>
      <c r="F3400" s="10" t="str">
        <f>"2170581481 "</f>
        <v xml:space="preserve">2170581481 </v>
      </c>
      <c r="G3400" s="10" t="str">
        <f t="shared" si="147"/>
        <v>ON1</v>
      </c>
      <c r="H3400" s="10" t="s">
        <v>21</v>
      </c>
      <c r="I3400" s="10" t="s">
        <v>637</v>
      </c>
      <c r="J3400" s="10" t="str">
        <f>""</f>
        <v/>
      </c>
      <c r="K3400" s="10" t="str">
        <f>"PFES1162565079_0001"</f>
        <v>PFES1162565079_0001</v>
      </c>
      <c r="L3400" s="10">
        <v>1</v>
      </c>
      <c r="M3400" s="10">
        <v>1</v>
      </c>
    </row>
    <row r="3401" spans="1:13">
      <c r="A3401" s="8">
        <v>42942</v>
      </c>
      <c r="B3401" s="9">
        <v>0.6479166666666667</v>
      </c>
      <c r="C3401" s="10" t="str">
        <f>"FES1162565092"</f>
        <v>FES1162565092</v>
      </c>
      <c r="D3401" s="10" t="s">
        <v>19</v>
      </c>
      <c r="E3401" s="10" t="s">
        <v>1171</v>
      </c>
      <c r="F3401" s="10" t="str">
        <f>"2170581509 "</f>
        <v xml:space="preserve">2170581509 </v>
      </c>
      <c r="G3401" s="10" t="str">
        <f t="shared" si="147"/>
        <v>ON1</v>
      </c>
      <c r="H3401" s="10" t="s">
        <v>21</v>
      </c>
      <c r="I3401" s="10" t="s">
        <v>711</v>
      </c>
      <c r="J3401" s="10" t="str">
        <f>""</f>
        <v/>
      </c>
      <c r="K3401" s="10" t="str">
        <f>"PFES1162565092_0001"</f>
        <v>PFES1162565092_0001</v>
      </c>
      <c r="L3401" s="10">
        <v>1</v>
      </c>
      <c r="M3401" s="10">
        <v>1</v>
      </c>
    </row>
    <row r="3402" spans="1:13">
      <c r="A3402" s="8">
        <v>42942</v>
      </c>
      <c r="B3402" s="9">
        <v>0.64722222222222225</v>
      </c>
      <c r="C3402" s="10" t="str">
        <f>"FES1162565013"</f>
        <v>FES1162565013</v>
      </c>
      <c r="D3402" s="10" t="s">
        <v>19</v>
      </c>
      <c r="E3402" s="10" t="s">
        <v>615</v>
      </c>
      <c r="F3402" s="10" t="str">
        <f>"2170581376 "</f>
        <v xml:space="preserve">2170581376 </v>
      </c>
      <c r="G3402" s="10" t="str">
        <f t="shared" si="147"/>
        <v>ON1</v>
      </c>
      <c r="H3402" s="10" t="s">
        <v>21</v>
      </c>
      <c r="I3402" s="10" t="s">
        <v>342</v>
      </c>
      <c r="J3402" s="10" t="str">
        <f>""</f>
        <v/>
      </c>
      <c r="K3402" s="10" t="str">
        <f>"PFES1162565013_0001"</f>
        <v>PFES1162565013_0001</v>
      </c>
      <c r="L3402" s="10">
        <v>1</v>
      </c>
      <c r="M3402" s="10">
        <v>3</v>
      </c>
    </row>
    <row r="3403" spans="1:13">
      <c r="A3403" s="8">
        <v>42942</v>
      </c>
      <c r="B3403" s="9">
        <v>0.64444444444444449</v>
      </c>
      <c r="C3403" s="10" t="str">
        <f>"FES1162564812"</f>
        <v>FES1162564812</v>
      </c>
      <c r="D3403" s="10" t="s">
        <v>19</v>
      </c>
      <c r="E3403" s="10" t="s">
        <v>324</v>
      </c>
      <c r="F3403" s="10" t="str">
        <f>"2170578649 "</f>
        <v xml:space="preserve">2170578649 </v>
      </c>
      <c r="G3403" s="10" t="str">
        <f t="shared" si="147"/>
        <v>ON1</v>
      </c>
      <c r="H3403" s="10" t="s">
        <v>21</v>
      </c>
      <c r="I3403" s="10" t="s">
        <v>325</v>
      </c>
      <c r="J3403" s="10" t="str">
        <f>""</f>
        <v/>
      </c>
      <c r="K3403" s="10" t="str">
        <f>"PFES1162564812_0001"</f>
        <v>PFES1162564812_0001</v>
      </c>
      <c r="L3403" s="10">
        <v>2</v>
      </c>
      <c r="M3403" s="10">
        <v>15</v>
      </c>
    </row>
    <row r="3404" spans="1:13">
      <c r="A3404" s="8">
        <v>42942</v>
      </c>
      <c r="B3404" s="9">
        <v>0.64444444444444449</v>
      </c>
      <c r="C3404" s="10" t="str">
        <f>"FES1162564812"</f>
        <v>FES1162564812</v>
      </c>
      <c r="D3404" s="10" t="s">
        <v>19</v>
      </c>
      <c r="E3404" s="10" t="s">
        <v>324</v>
      </c>
      <c r="F3404" s="10" t="str">
        <f>"2170578649 "</f>
        <v xml:space="preserve">2170578649 </v>
      </c>
      <c r="G3404" s="10" t="str">
        <f t="shared" si="147"/>
        <v>ON1</v>
      </c>
      <c r="H3404" s="10" t="s">
        <v>21</v>
      </c>
      <c r="I3404" s="10" t="s">
        <v>325</v>
      </c>
      <c r="J3404" s="10"/>
      <c r="K3404" s="10" t="str">
        <f>"PFES1162564812_0002"</f>
        <v>PFES1162564812_0002</v>
      </c>
      <c r="L3404" s="10">
        <v>2</v>
      </c>
      <c r="M3404" s="10">
        <v>15</v>
      </c>
    </row>
    <row r="3405" spans="1:13">
      <c r="A3405" s="8">
        <v>42942</v>
      </c>
      <c r="B3405" s="9">
        <v>0.64444444444444449</v>
      </c>
      <c r="C3405" s="10" t="str">
        <f>"FES1162564800"</f>
        <v>FES1162564800</v>
      </c>
      <c r="D3405" s="10" t="s">
        <v>19</v>
      </c>
      <c r="E3405" s="10" t="s">
        <v>782</v>
      </c>
      <c r="F3405" s="10" t="str">
        <f>"2170578529 "</f>
        <v xml:space="preserve">2170578529 </v>
      </c>
      <c r="G3405" s="10" t="str">
        <f>"DBC"</f>
        <v>DBC</v>
      </c>
      <c r="H3405" s="10" t="s">
        <v>21</v>
      </c>
      <c r="I3405" s="10" t="s">
        <v>325</v>
      </c>
      <c r="J3405" s="10" t="str">
        <f>""</f>
        <v/>
      </c>
      <c r="K3405" s="10" t="str">
        <f>"PFES1162564800_0001"</f>
        <v>PFES1162564800_0001</v>
      </c>
      <c r="L3405" s="10">
        <v>1</v>
      </c>
      <c r="M3405" s="10">
        <v>29</v>
      </c>
    </row>
    <row r="3406" spans="1:13">
      <c r="A3406" s="8">
        <v>42942</v>
      </c>
      <c r="B3406" s="9">
        <v>0.64374999999999993</v>
      </c>
      <c r="C3406" s="10" t="str">
        <f>"FES1162565004"</f>
        <v>FES1162565004</v>
      </c>
      <c r="D3406" s="10" t="s">
        <v>19</v>
      </c>
      <c r="E3406" s="10" t="s">
        <v>651</v>
      </c>
      <c r="F3406" s="10" t="str">
        <f>"2170581389 "</f>
        <v xml:space="preserve">2170581389 </v>
      </c>
      <c r="G3406" s="10" t="str">
        <f t="shared" ref="G3406:G3432" si="148">"ON1"</f>
        <v>ON1</v>
      </c>
      <c r="H3406" s="10" t="s">
        <v>21</v>
      </c>
      <c r="I3406" s="10" t="s">
        <v>652</v>
      </c>
      <c r="J3406" s="10" t="str">
        <f>""</f>
        <v/>
      </c>
      <c r="K3406" s="10" t="str">
        <f>"PFES1162565004_0001"</f>
        <v>PFES1162565004_0001</v>
      </c>
      <c r="L3406" s="10">
        <v>1</v>
      </c>
      <c r="M3406" s="10">
        <v>1</v>
      </c>
    </row>
    <row r="3407" spans="1:13">
      <c r="A3407" s="8">
        <v>42942</v>
      </c>
      <c r="B3407" s="9">
        <v>0.64374999999999993</v>
      </c>
      <c r="C3407" s="10" t="str">
        <f>"FES1162564879"</f>
        <v>FES1162564879</v>
      </c>
      <c r="D3407" s="10" t="s">
        <v>19</v>
      </c>
      <c r="E3407" s="10" t="s">
        <v>33</v>
      </c>
      <c r="F3407" s="10" t="str">
        <f>"2170579309 "</f>
        <v xml:space="preserve">2170579309 </v>
      </c>
      <c r="G3407" s="10" t="str">
        <f t="shared" si="148"/>
        <v>ON1</v>
      </c>
      <c r="H3407" s="10" t="s">
        <v>21</v>
      </c>
      <c r="I3407" s="10" t="s">
        <v>34</v>
      </c>
      <c r="J3407" s="10" t="str">
        <f>""</f>
        <v/>
      </c>
      <c r="K3407" s="10" t="str">
        <f>"PFES1162564879_0001"</f>
        <v>PFES1162564879_0001</v>
      </c>
      <c r="L3407" s="10">
        <v>1</v>
      </c>
      <c r="M3407" s="10">
        <v>1</v>
      </c>
    </row>
    <row r="3408" spans="1:13">
      <c r="A3408" s="8">
        <v>42942</v>
      </c>
      <c r="B3408" s="9">
        <v>0.6430555555555556</v>
      </c>
      <c r="C3408" s="10" t="str">
        <f>"FES1162564807"</f>
        <v>FES1162564807</v>
      </c>
      <c r="D3408" s="10" t="s">
        <v>19</v>
      </c>
      <c r="E3408" s="10" t="s">
        <v>99</v>
      </c>
      <c r="F3408" s="10" t="str">
        <f>"2170578617 "</f>
        <v xml:space="preserve">2170578617 </v>
      </c>
      <c r="G3408" s="10" t="str">
        <f t="shared" si="148"/>
        <v>ON1</v>
      </c>
      <c r="H3408" s="10" t="s">
        <v>21</v>
      </c>
      <c r="I3408" s="10" t="s">
        <v>100</v>
      </c>
      <c r="J3408" s="10" t="str">
        <f>""</f>
        <v/>
      </c>
      <c r="K3408" s="10" t="str">
        <f>"PFES1162564807_0001"</f>
        <v>PFES1162564807_0001</v>
      </c>
      <c r="L3408" s="10">
        <v>1</v>
      </c>
      <c r="M3408" s="10">
        <v>1</v>
      </c>
    </row>
    <row r="3409" spans="1:13">
      <c r="A3409" s="8">
        <v>42942</v>
      </c>
      <c r="B3409" s="9">
        <v>0.64166666666666672</v>
      </c>
      <c r="C3409" s="10" t="str">
        <f>"FES1162564893"</f>
        <v>FES1162564893</v>
      </c>
      <c r="D3409" s="10" t="s">
        <v>19</v>
      </c>
      <c r="E3409" s="10" t="s">
        <v>1023</v>
      </c>
      <c r="F3409" s="10" t="str">
        <f>"217580268 "</f>
        <v xml:space="preserve">217580268 </v>
      </c>
      <c r="G3409" s="10" t="str">
        <f t="shared" si="148"/>
        <v>ON1</v>
      </c>
      <c r="H3409" s="10" t="s">
        <v>21</v>
      </c>
      <c r="I3409" s="10" t="s">
        <v>217</v>
      </c>
      <c r="J3409" s="10" t="str">
        <f>""</f>
        <v/>
      </c>
      <c r="K3409" s="10" t="str">
        <f>"PFES1162564893_0001"</f>
        <v>PFES1162564893_0001</v>
      </c>
      <c r="L3409" s="10">
        <v>1</v>
      </c>
      <c r="M3409" s="10">
        <v>1</v>
      </c>
    </row>
    <row r="3410" spans="1:13">
      <c r="A3410" s="8">
        <v>42942</v>
      </c>
      <c r="B3410" s="9">
        <v>0.64166666666666672</v>
      </c>
      <c r="C3410" s="10" t="str">
        <f>"FES1162564988"</f>
        <v>FES1162564988</v>
      </c>
      <c r="D3410" s="10" t="s">
        <v>19</v>
      </c>
      <c r="E3410" s="10" t="s">
        <v>379</v>
      </c>
      <c r="F3410" s="10" t="str">
        <f>"2170581386 "</f>
        <v xml:space="preserve">2170581386 </v>
      </c>
      <c r="G3410" s="10" t="str">
        <f t="shared" si="148"/>
        <v>ON1</v>
      </c>
      <c r="H3410" s="10" t="s">
        <v>21</v>
      </c>
      <c r="I3410" s="10" t="s">
        <v>380</v>
      </c>
      <c r="J3410" s="10" t="str">
        <f>""</f>
        <v/>
      </c>
      <c r="K3410" s="10" t="str">
        <f>"PFES1162564988_0001"</f>
        <v>PFES1162564988_0001</v>
      </c>
      <c r="L3410" s="10">
        <v>1</v>
      </c>
      <c r="M3410" s="10">
        <v>1</v>
      </c>
    </row>
    <row r="3411" spans="1:13">
      <c r="A3411" s="8">
        <v>42942</v>
      </c>
      <c r="B3411" s="9">
        <v>0.64097222222222217</v>
      </c>
      <c r="C3411" s="10" t="str">
        <f>"FES1162565026"</f>
        <v>FES1162565026</v>
      </c>
      <c r="D3411" s="10" t="s">
        <v>19</v>
      </c>
      <c r="E3411" s="10" t="s">
        <v>323</v>
      </c>
      <c r="F3411" s="10" t="str">
        <f>"2170581400 "</f>
        <v xml:space="preserve">2170581400 </v>
      </c>
      <c r="G3411" s="10" t="str">
        <f t="shared" si="148"/>
        <v>ON1</v>
      </c>
      <c r="H3411" s="10" t="s">
        <v>21</v>
      </c>
      <c r="I3411" s="10" t="s">
        <v>75</v>
      </c>
      <c r="J3411" s="10" t="str">
        <f>""</f>
        <v/>
      </c>
      <c r="K3411" s="10" t="str">
        <f>"PFES1162565026_0001"</f>
        <v>PFES1162565026_0001</v>
      </c>
      <c r="L3411" s="10">
        <v>1</v>
      </c>
      <c r="M3411" s="10">
        <v>1</v>
      </c>
    </row>
    <row r="3412" spans="1:13">
      <c r="A3412" s="8">
        <v>42942</v>
      </c>
      <c r="B3412" s="9">
        <v>0.64027777777777783</v>
      </c>
      <c r="C3412" s="10" t="str">
        <f>"FES1162564892"</f>
        <v>FES1162564892</v>
      </c>
      <c r="D3412" s="10" t="s">
        <v>19</v>
      </c>
      <c r="E3412" s="10" t="s">
        <v>378</v>
      </c>
      <c r="F3412" s="10" t="str">
        <f>"21705801892 "</f>
        <v xml:space="preserve">21705801892 </v>
      </c>
      <c r="G3412" s="10" t="str">
        <f t="shared" si="148"/>
        <v>ON1</v>
      </c>
      <c r="H3412" s="10" t="s">
        <v>21</v>
      </c>
      <c r="I3412" s="10" t="s">
        <v>36</v>
      </c>
      <c r="J3412" s="10" t="str">
        <f>""</f>
        <v/>
      </c>
      <c r="K3412" s="10" t="str">
        <f>"PFES1162564892_0001"</f>
        <v>PFES1162564892_0001</v>
      </c>
      <c r="L3412" s="10">
        <v>1</v>
      </c>
      <c r="M3412" s="10">
        <v>1</v>
      </c>
    </row>
    <row r="3413" spans="1:13">
      <c r="A3413" s="8">
        <v>42942</v>
      </c>
      <c r="B3413" s="9">
        <v>0.63958333333333328</v>
      </c>
      <c r="C3413" s="10" t="str">
        <f>"FES1162564869"</f>
        <v>FES1162564869</v>
      </c>
      <c r="D3413" s="10" t="s">
        <v>19</v>
      </c>
      <c r="E3413" s="10" t="s">
        <v>538</v>
      </c>
      <c r="F3413" s="10" t="str">
        <f>"2170579256 "</f>
        <v xml:space="preserve">2170579256 </v>
      </c>
      <c r="G3413" s="10" t="str">
        <f t="shared" si="148"/>
        <v>ON1</v>
      </c>
      <c r="H3413" s="10" t="s">
        <v>21</v>
      </c>
      <c r="I3413" s="10" t="s">
        <v>202</v>
      </c>
      <c r="J3413" s="10" t="str">
        <f>""</f>
        <v/>
      </c>
      <c r="K3413" s="10" t="str">
        <f>"PFES1162564869_0001"</f>
        <v>PFES1162564869_0001</v>
      </c>
      <c r="L3413" s="10">
        <v>1</v>
      </c>
      <c r="M3413" s="10">
        <v>1</v>
      </c>
    </row>
    <row r="3414" spans="1:13">
      <c r="A3414" s="8">
        <v>42942</v>
      </c>
      <c r="B3414" s="9">
        <v>0.63958333333333328</v>
      </c>
      <c r="C3414" s="10" t="str">
        <f>"FES1162564766"</f>
        <v>FES1162564766</v>
      </c>
      <c r="D3414" s="10" t="s">
        <v>19</v>
      </c>
      <c r="E3414" s="10" t="s">
        <v>1163</v>
      </c>
      <c r="F3414" s="10" t="str">
        <f>"2170575520 "</f>
        <v xml:space="preserve">2170575520 </v>
      </c>
      <c r="G3414" s="10" t="str">
        <f t="shared" si="148"/>
        <v>ON1</v>
      </c>
      <c r="H3414" s="10" t="s">
        <v>21</v>
      </c>
      <c r="I3414" s="10" t="s">
        <v>949</v>
      </c>
      <c r="J3414" s="10" t="str">
        <f>""</f>
        <v/>
      </c>
      <c r="K3414" s="10" t="str">
        <f>"PFES1162564766_0001"</f>
        <v>PFES1162564766_0001</v>
      </c>
      <c r="L3414" s="10">
        <v>1</v>
      </c>
      <c r="M3414" s="10">
        <v>1</v>
      </c>
    </row>
    <row r="3415" spans="1:13">
      <c r="A3415" s="8">
        <v>42942</v>
      </c>
      <c r="B3415" s="9">
        <v>0.63888888888888895</v>
      </c>
      <c r="C3415" s="10" t="str">
        <f>"FES1162564929"</f>
        <v>FES1162564929</v>
      </c>
      <c r="D3415" s="10" t="s">
        <v>19</v>
      </c>
      <c r="E3415" s="10" t="s">
        <v>99</v>
      </c>
      <c r="F3415" s="10" t="str">
        <f>"2170581065 "</f>
        <v xml:space="preserve">2170581065 </v>
      </c>
      <c r="G3415" s="10" t="str">
        <f t="shared" si="148"/>
        <v>ON1</v>
      </c>
      <c r="H3415" s="10" t="s">
        <v>21</v>
      </c>
      <c r="I3415" s="10" t="s">
        <v>100</v>
      </c>
      <c r="J3415" s="10" t="str">
        <f>""</f>
        <v/>
      </c>
      <c r="K3415" s="10" t="str">
        <f>"PFES1162564929_0001"</f>
        <v>PFES1162564929_0001</v>
      </c>
      <c r="L3415" s="10">
        <v>1</v>
      </c>
      <c r="M3415" s="10">
        <v>1</v>
      </c>
    </row>
    <row r="3416" spans="1:13">
      <c r="A3416" s="8">
        <v>42942</v>
      </c>
      <c r="B3416" s="9">
        <v>0.63888888888888895</v>
      </c>
      <c r="C3416" s="10" t="str">
        <f>"FES1162564917"</f>
        <v>FES1162564917</v>
      </c>
      <c r="D3416" s="10" t="s">
        <v>19</v>
      </c>
      <c r="E3416" s="10" t="s">
        <v>209</v>
      </c>
      <c r="F3416" s="10" t="str">
        <f>"2170581132 "</f>
        <v xml:space="preserve">2170581132 </v>
      </c>
      <c r="G3416" s="10" t="str">
        <f t="shared" si="148"/>
        <v>ON1</v>
      </c>
      <c r="H3416" s="10" t="s">
        <v>21</v>
      </c>
      <c r="I3416" s="10" t="s">
        <v>196</v>
      </c>
      <c r="J3416" s="10" t="str">
        <f>""</f>
        <v/>
      </c>
      <c r="K3416" s="10" t="str">
        <f>"PFES1162564917_0001"</f>
        <v>PFES1162564917_0001</v>
      </c>
      <c r="L3416" s="10">
        <v>1</v>
      </c>
      <c r="M3416" s="10">
        <v>1</v>
      </c>
    </row>
    <row r="3417" spans="1:13">
      <c r="A3417" s="8">
        <v>42942</v>
      </c>
      <c r="B3417" s="9">
        <v>0.6381944444444444</v>
      </c>
      <c r="C3417" s="10" t="str">
        <f>"FES1162565028"</f>
        <v>FES1162565028</v>
      </c>
      <c r="D3417" s="10" t="s">
        <v>19</v>
      </c>
      <c r="E3417" s="10" t="s">
        <v>1172</v>
      </c>
      <c r="F3417" s="10" t="str">
        <f>"2170581410 "</f>
        <v xml:space="preserve">2170581410 </v>
      </c>
      <c r="G3417" s="10" t="str">
        <f t="shared" si="148"/>
        <v>ON1</v>
      </c>
      <c r="H3417" s="10" t="s">
        <v>21</v>
      </c>
      <c r="I3417" s="10" t="s">
        <v>1173</v>
      </c>
      <c r="J3417" s="10" t="str">
        <f>""</f>
        <v/>
      </c>
      <c r="K3417" s="10" t="str">
        <f>"PFES1162565028_0001"</f>
        <v>PFES1162565028_0001</v>
      </c>
      <c r="L3417" s="10">
        <v>1</v>
      </c>
      <c r="M3417" s="10">
        <v>1</v>
      </c>
    </row>
    <row r="3418" spans="1:13">
      <c r="A3418" s="8">
        <v>42942</v>
      </c>
      <c r="B3418" s="9">
        <v>0.63750000000000007</v>
      </c>
      <c r="C3418" s="10" t="str">
        <f>"FES1162564874"</f>
        <v>FES1162564874</v>
      </c>
      <c r="D3418" s="10" t="s">
        <v>19</v>
      </c>
      <c r="E3418" s="10" t="s">
        <v>220</v>
      </c>
      <c r="F3418" s="10" t="str">
        <f>"2170579285 "</f>
        <v xml:space="preserve">2170579285 </v>
      </c>
      <c r="G3418" s="10" t="str">
        <f t="shared" si="148"/>
        <v>ON1</v>
      </c>
      <c r="H3418" s="10" t="s">
        <v>21</v>
      </c>
      <c r="I3418" s="10" t="s">
        <v>24</v>
      </c>
      <c r="J3418" s="10" t="str">
        <f>""</f>
        <v/>
      </c>
      <c r="K3418" s="10" t="str">
        <f>"PFES1162564874_0001"</f>
        <v>PFES1162564874_0001</v>
      </c>
      <c r="L3418" s="10">
        <v>1</v>
      </c>
      <c r="M3418" s="10">
        <v>1</v>
      </c>
    </row>
    <row r="3419" spans="1:13">
      <c r="A3419" s="8">
        <v>42942</v>
      </c>
      <c r="B3419" s="9">
        <v>0.63750000000000007</v>
      </c>
      <c r="C3419" s="10" t="str">
        <f>"FES1162565111"</f>
        <v>FES1162565111</v>
      </c>
      <c r="D3419" s="10" t="s">
        <v>19</v>
      </c>
      <c r="E3419" s="10" t="s">
        <v>282</v>
      </c>
      <c r="F3419" s="10" t="str">
        <f>"2170581537 "</f>
        <v xml:space="preserve">2170581537 </v>
      </c>
      <c r="G3419" s="10" t="str">
        <f t="shared" si="148"/>
        <v>ON1</v>
      </c>
      <c r="H3419" s="10" t="s">
        <v>21</v>
      </c>
      <c r="I3419" s="10" t="s">
        <v>252</v>
      </c>
      <c r="J3419" s="10" t="str">
        <f>""</f>
        <v/>
      </c>
      <c r="K3419" s="10" t="str">
        <f>"PFES1162565111_0001"</f>
        <v>PFES1162565111_0001</v>
      </c>
      <c r="L3419" s="10">
        <v>1</v>
      </c>
      <c r="M3419" s="10">
        <v>1</v>
      </c>
    </row>
    <row r="3420" spans="1:13">
      <c r="A3420" s="8">
        <v>42942</v>
      </c>
      <c r="B3420" s="9">
        <v>0.63680555555555551</v>
      </c>
      <c r="C3420" s="10" t="str">
        <f>"FES1162565109"</f>
        <v>FES1162565109</v>
      </c>
      <c r="D3420" s="10" t="s">
        <v>19</v>
      </c>
      <c r="E3420" s="10" t="s">
        <v>535</v>
      </c>
      <c r="F3420" s="10" t="str">
        <f>"2170581531 "</f>
        <v xml:space="preserve">2170581531 </v>
      </c>
      <c r="G3420" s="10" t="str">
        <f t="shared" si="148"/>
        <v>ON1</v>
      </c>
      <c r="H3420" s="10" t="s">
        <v>21</v>
      </c>
      <c r="I3420" s="10" t="s">
        <v>240</v>
      </c>
      <c r="J3420" s="10" t="str">
        <f>""</f>
        <v/>
      </c>
      <c r="K3420" s="10" t="str">
        <f>"PFES1162565109_0001"</f>
        <v>PFES1162565109_0001</v>
      </c>
      <c r="L3420" s="10">
        <v>1</v>
      </c>
      <c r="M3420" s="10">
        <v>1</v>
      </c>
    </row>
    <row r="3421" spans="1:13">
      <c r="A3421" s="8">
        <v>42942</v>
      </c>
      <c r="B3421" s="9">
        <v>0.63611111111111118</v>
      </c>
      <c r="C3421" s="10" t="str">
        <f>"FES1162565034"</f>
        <v>FES1162565034</v>
      </c>
      <c r="D3421" s="10" t="s">
        <v>19</v>
      </c>
      <c r="E3421" s="10" t="s">
        <v>646</v>
      </c>
      <c r="F3421" s="10" t="str">
        <f>"2170578319 "</f>
        <v xml:space="preserve">2170578319 </v>
      </c>
      <c r="G3421" s="10" t="str">
        <f t="shared" si="148"/>
        <v>ON1</v>
      </c>
      <c r="H3421" s="10" t="s">
        <v>21</v>
      </c>
      <c r="I3421" s="10" t="s">
        <v>113</v>
      </c>
      <c r="J3421" s="10" t="str">
        <f>""</f>
        <v/>
      </c>
      <c r="K3421" s="10" t="str">
        <f>"PFES1162565034_0001"</f>
        <v>PFES1162565034_0001</v>
      </c>
      <c r="L3421" s="10">
        <v>1</v>
      </c>
      <c r="M3421" s="10">
        <v>8</v>
      </c>
    </row>
    <row r="3422" spans="1:13">
      <c r="A3422" s="8">
        <v>42942</v>
      </c>
      <c r="B3422" s="9">
        <v>0.63541666666666663</v>
      </c>
      <c r="C3422" s="10" t="str">
        <f>"FES1162564837"</f>
        <v>FES1162564837</v>
      </c>
      <c r="D3422" s="10" t="s">
        <v>19</v>
      </c>
      <c r="E3422" s="10" t="s">
        <v>99</v>
      </c>
      <c r="F3422" s="10" t="str">
        <f>"2170578897 "</f>
        <v xml:space="preserve">2170578897 </v>
      </c>
      <c r="G3422" s="10" t="str">
        <f t="shared" si="148"/>
        <v>ON1</v>
      </c>
      <c r="H3422" s="10" t="s">
        <v>21</v>
      </c>
      <c r="I3422" s="10" t="s">
        <v>100</v>
      </c>
      <c r="J3422" s="10" t="str">
        <f>""</f>
        <v/>
      </c>
      <c r="K3422" s="10" t="str">
        <f>"PFES1162564837_0001"</f>
        <v>PFES1162564837_0001</v>
      </c>
      <c r="L3422" s="10">
        <v>1</v>
      </c>
      <c r="M3422" s="10">
        <v>1</v>
      </c>
    </row>
    <row r="3423" spans="1:13">
      <c r="A3423" s="8">
        <v>42942</v>
      </c>
      <c r="B3423" s="9">
        <v>0.63541666666666663</v>
      </c>
      <c r="C3423" s="10" t="str">
        <f>"FES1162565042"</f>
        <v>FES1162565042</v>
      </c>
      <c r="D3423" s="10" t="s">
        <v>19</v>
      </c>
      <c r="E3423" s="10" t="s">
        <v>1129</v>
      </c>
      <c r="F3423" s="10" t="str">
        <f>"2170581428 "</f>
        <v xml:space="preserve">2170581428 </v>
      </c>
      <c r="G3423" s="10" t="str">
        <f t="shared" si="148"/>
        <v>ON1</v>
      </c>
      <c r="H3423" s="10" t="s">
        <v>21</v>
      </c>
      <c r="I3423" s="10" t="s">
        <v>400</v>
      </c>
      <c r="J3423" s="10" t="str">
        <f>""</f>
        <v/>
      </c>
      <c r="K3423" s="10" t="str">
        <f>"PFES1162565042_0001"</f>
        <v>PFES1162565042_0001</v>
      </c>
      <c r="L3423" s="10">
        <v>1</v>
      </c>
      <c r="M3423" s="10">
        <v>2</v>
      </c>
    </row>
    <row r="3424" spans="1:13">
      <c r="A3424" s="8">
        <v>42942</v>
      </c>
      <c r="B3424" s="9">
        <v>0.63472222222222219</v>
      </c>
      <c r="C3424" s="10" t="str">
        <f>"FES1162565088"</f>
        <v>FES1162565088</v>
      </c>
      <c r="D3424" s="10" t="s">
        <v>19</v>
      </c>
      <c r="E3424" s="10" t="s">
        <v>557</v>
      </c>
      <c r="F3424" s="10" t="str">
        <f>"2170581498 "</f>
        <v xml:space="preserve">2170581498 </v>
      </c>
      <c r="G3424" s="10" t="str">
        <f t="shared" si="148"/>
        <v>ON1</v>
      </c>
      <c r="H3424" s="10" t="s">
        <v>21</v>
      </c>
      <c r="I3424" s="10" t="s">
        <v>558</v>
      </c>
      <c r="J3424" s="10" t="str">
        <f>""</f>
        <v/>
      </c>
      <c r="K3424" s="10" t="str">
        <f>"PFES1162565088_0001"</f>
        <v>PFES1162565088_0001</v>
      </c>
      <c r="L3424" s="10">
        <v>1</v>
      </c>
      <c r="M3424" s="10">
        <v>1</v>
      </c>
    </row>
    <row r="3425" spans="1:13">
      <c r="A3425" s="8">
        <v>42942</v>
      </c>
      <c r="B3425" s="9">
        <v>0.63472222222222219</v>
      </c>
      <c r="C3425" s="10" t="str">
        <f>"FES1162565082"</f>
        <v>FES1162565082</v>
      </c>
      <c r="D3425" s="10" t="s">
        <v>19</v>
      </c>
      <c r="E3425" s="10" t="s">
        <v>190</v>
      </c>
      <c r="F3425" s="10" t="str">
        <f>"2170581487 "</f>
        <v xml:space="preserve">2170581487 </v>
      </c>
      <c r="G3425" s="10" t="str">
        <f t="shared" si="148"/>
        <v>ON1</v>
      </c>
      <c r="H3425" s="10" t="s">
        <v>21</v>
      </c>
      <c r="I3425" s="10" t="s">
        <v>52</v>
      </c>
      <c r="J3425" s="10" t="str">
        <f>""</f>
        <v/>
      </c>
      <c r="K3425" s="10" t="str">
        <f>"PFES1162565082_0001"</f>
        <v>PFES1162565082_0001</v>
      </c>
      <c r="L3425" s="10">
        <v>1</v>
      </c>
      <c r="M3425" s="10">
        <v>1</v>
      </c>
    </row>
    <row r="3426" spans="1:13">
      <c r="A3426" s="8">
        <v>42942</v>
      </c>
      <c r="B3426" s="9">
        <v>0.63402777777777775</v>
      </c>
      <c r="C3426" s="10" t="str">
        <f>"FES1162565077"</f>
        <v>FES1162565077</v>
      </c>
      <c r="D3426" s="10" t="s">
        <v>19</v>
      </c>
      <c r="E3426" s="10" t="s">
        <v>1174</v>
      </c>
      <c r="F3426" s="10" t="str">
        <f>"2170581475 "</f>
        <v xml:space="preserve">2170581475 </v>
      </c>
      <c r="G3426" s="10" t="str">
        <f t="shared" si="148"/>
        <v>ON1</v>
      </c>
      <c r="H3426" s="10" t="s">
        <v>21</v>
      </c>
      <c r="I3426" s="10" t="s">
        <v>166</v>
      </c>
      <c r="J3426" s="10" t="str">
        <f>""</f>
        <v/>
      </c>
      <c r="K3426" s="10" t="str">
        <f>"PFES1162565077_0001"</f>
        <v>PFES1162565077_0001</v>
      </c>
      <c r="L3426" s="10">
        <v>1</v>
      </c>
      <c r="M3426" s="10">
        <v>1</v>
      </c>
    </row>
    <row r="3427" spans="1:13">
      <c r="A3427" s="8">
        <v>42942</v>
      </c>
      <c r="B3427" s="9">
        <v>0.63402777777777775</v>
      </c>
      <c r="C3427" s="10" t="str">
        <f>"FES1162565020"</f>
        <v>FES1162565020</v>
      </c>
      <c r="D3427" s="10" t="s">
        <v>19</v>
      </c>
      <c r="E3427" s="10" t="s">
        <v>382</v>
      </c>
      <c r="F3427" s="10" t="str">
        <f>"2170581398 "</f>
        <v xml:space="preserve">2170581398 </v>
      </c>
      <c r="G3427" s="10" t="str">
        <f t="shared" si="148"/>
        <v>ON1</v>
      </c>
      <c r="H3427" s="10" t="s">
        <v>21</v>
      </c>
      <c r="I3427" s="10" t="s">
        <v>383</v>
      </c>
      <c r="J3427" s="10" t="str">
        <f>""</f>
        <v/>
      </c>
      <c r="K3427" s="10" t="str">
        <f>"PFES1162565020_0001"</f>
        <v>PFES1162565020_0001</v>
      </c>
      <c r="L3427" s="10">
        <v>1</v>
      </c>
      <c r="M3427" s="10">
        <v>2</v>
      </c>
    </row>
    <row r="3428" spans="1:13">
      <c r="A3428" s="8">
        <v>42942</v>
      </c>
      <c r="B3428" s="9">
        <v>0.6333333333333333</v>
      </c>
      <c r="C3428" s="10" t="str">
        <f>"FES1162565024"</f>
        <v>FES1162565024</v>
      </c>
      <c r="D3428" s="10" t="s">
        <v>19</v>
      </c>
      <c r="E3428" s="10" t="s">
        <v>693</v>
      </c>
      <c r="F3428" s="10" t="str">
        <f>"2170581406 "</f>
        <v xml:space="preserve">2170581406 </v>
      </c>
      <c r="G3428" s="10" t="str">
        <f t="shared" si="148"/>
        <v>ON1</v>
      </c>
      <c r="H3428" s="10" t="s">
        <v>21</v>
      </c>
      <c r="I3428" s="10" t="s">
        <v>161</v>
      </c>
      <c r="J3428" s="10" t="str">
        <f>""</f>
        <v/>
      </c>
      <c r="K3428" s="10" t="str">
        <f>"PFES1162565024_0001"</f>
        <v>PFES1162565024_0001</v>
      </c>
      <c r="L3428" s="10">
        <v>1</v>
      </c>
      <c r="M3428" s="10">
        <v>2</v>
      </c>
    </row>
    <row r="3429" spans="1:13">
      <c r="A3429" s="8">
        <v>42942</v>
      </c>
      <c r="B3429" s="9">
        <v>0.63263888888888886</v>
      </c>
      <c r="C3429" s="10" t="str">
        <f>"FES1162565085"</f>
        <v>FES1162565085</v>
      </c>
      <c r="D3429" s="10" t="s">
        <v>19</v>
      </c>
      <c r="E3429" s="10" t="s">
        <v>535</v>
      </c>
      <c r="F3429" s="10" t="str">
        <f>"2170581490 "</f>
        <v xml:space="preserve">2170581490 </v>
      </c>
      <c r="G3429" s="10" t="str">
        <f t="shared" si="148"/>
        <v>ON1</v>
      </c>
      <c r="H3429" s="10" t="s">
        <v>21</v>
      </c>
      <c r="I3429" s="10" t="s">
        <v>240</v>
      </c>
      <c r="J3429" s="10" t="str">
        <f>""</f>
        <v/>
      </c>
      <c r="K3429" s="10" t="str">
        <f>"PFES1162565085_0001"</f>
        <v>PFES1162565085_0001</v>
      </c>
      <c r="L3429" s="10">
        <v>1</v>
      </c>
      <c r="M3429" s="10">
        <v>1</v>
      </c>
    </row>
    <row r="3430" spans="1:13">
      <c r="A3430" s="8">
        <v>42942</v>
      </c>
      <c r="B3430" s="9">
        <v>0.63263888888888886</v>
      </c>
      <c r="C3430" s="10" t="str">
        <f>"FES1162565036"</f>
        <v>FES1162565036</v>
      </c>
      <c r="D3430" s="10" t="s">
        <v>19</v>
      </c>
      <c r="E3430" s="10" t="s">
        <v>1175</v>
      </c>
      <c r="F3430" s="10" t="str">
        <f>"2170581339 "</f>
        <v xml:space="preserve">2170581339 </v>
      </c>
      <c r="G3430" s="10" t="str">
        <f t="shared" si="148"/>
        <v>ON1</v>
      </c>
      <c r="H3430" s="10" t="s">
        <v>21</v>
      </c>
      <c r="I3430" s="10" t="s">
        <v>149</v>
      </c>
      <c r="J3430" s="10" t="str">
        <f>""</f>
        <v/>
      </c>
      <c r="K3430" s="10" t="str">
        <f>"PFES1162565036_0001"</f>
        <v>PFES1162565036_0001</v>
      </c>
      <c r="L3430" s="10">
        <v>1</v>
      </c>
      <c r="M3430" s="10">
        <v>2</v>
      </c>
    </row>
    <row r="3431" spans="1:13">
      <c r="A3431" s="8">
        <v>42942</v>
      </c>
      <c r="B3431" s="9">
        <v>0.63263888888888886</v>
      </c>
      <c r="C3431" s="10" t="str">
        <f>"FES1162565087"</f>
        <v>FES1162565087</v>
      </c>
      <c r="D3431" s="10" t="s">
        <v>19</v>
      </c>
      <c r="E3431" s="10" t="s">
        <v>279</v>
      </c>
      <c r="F3431" s="10" t="str">
        <f>"2170581501 "</f>
        <v xml:space="preserve">2170581501 </v>
      </c>
      <c r="G3431" s="10" t="str">
        <f t="shared" si="148"/>
        <v>ON1</v>
      </c>
      <c r="H3431" s="10" t="s">
        <v>21</v>
      </c>
      <c r="I3431" s="10" t="s">
        <v>240</v>
      </c>
      <c r="J3431" s="10" t="str">
        <f>""</f>
        <v/>
      </c>
      <c r="K3431" s="10" t="str">
        <f>"PFES1162565087_0001"</f>
        <v>PFES1162565087_0001</v>
      </c>
      <c r="L3431" s="10">
        <v>1</v>
      </c>
      <c r="M3431" s="10">
        <v>1</v>
      </c>
    </row>
    <row r="3432" spans="1:13">
      <c r="A3432" s="8">
        <v>42942</v>
      </c>
      <c r="B3432" s="9">
        <v>0.63194444444444442</v>
      </c>
      <c r="C3432" s="10" t="str">
        <f>"FES1162565047"</f>
        <v>FES1162565047</v>
      </c>
      <c r="D3432" s="10" t="s">
        <v>19</v>
      </c>
      <c r="E3432" s="10" t="s">
        <v>154</v>
      </c>
      <c r="F3432" s="10" t="str">
        <f>"2170581432 "</f>
        <v xml:space="preserve">2170581432 </v>
      </c>
      <c r="G3432" s="10" t="str">
        <f t="shared" si="148"/>
        <v>ON1</v>
      </c>
      <c r="H3432" s="10" t="s">
        <v>21</v>
      </c>
      <c r="I3432" s="10" t="s">
        <v>130</v>
      </c>
      <c r="J3432" s="10" t="str">
        <f>""</f>
        <v/>
      </c>
      <c r="K3432" s="10" t="str">
        <f>"PFES1162565047_0001"</f>
        <v>PFES1162565047_0001</v>
      </c>
      <c r="L3432" s="10">
        <v>1</v>
      </c>
      <c r="M3432" s="10">
        <v>1</v>
      </c>
    </row>
    <row r="3433" spans="1:13">
      <c r="A3433" s="8">
        <v>42942</v>
      </c>
      <c r="B3433" s="9">
        <v>0.63124999999999998</v>
      </c>
      <c r="C3433" s="10" t="str">
        <f>"FES1162564973"</f>
        <v>FES1162564973</v>
      </c>
      <c r="D3433" s="10" t="s">
        <v>19</v>
      </c>
      <c r="E3433" s="10" t="s">
        <v>181</v>
      </c>
      <c r="F3433" s="10" t="str">
        <f>"2170581348 "</f>
        <v xml:space="preserve">2170581348 </v>
      </c>
      <c r="G3433" s="10" t="str">
        <f>"ON2"</f>
        <v>ON2</v>
      </c>
      <c r="H3433" s="10" t="s">
        <v>21</v>
      </c>
      <c r="I3433" s="10" t="s">
        <v>179</v>
      </c>
      <c r="J3433" s="10" t="str">
        <f>""</f>
        <v/>
      </c>
      <c r="K3433" s="10" t="str">
        <f>"PFES1162564973_0001"</f>
        <v>PFES1162564973_0001</v>
      </c>
      <c r="L3433" s="10">
        <v>2</v>
      </c>
      <c r="M3433" s="10">
        <v>15</v>
      </c>
    </row>
    <row r="3434" spans="1:13">
      <c r="A3434" s="8">
        <v>42942</v>
      </c>
      <c r="B3434" s="9">
        <v>0.63124999999999998</v>
      </c>
      <c r="C3434" s="10" t="str">
        <f>"FES1162564973"</f>
        <v>FES1162564973</v>
      </c>
      <c r="D3434" s="10" t="s">
        <v>19</v>
      </c>
      <c r="E3434" s="10" t="s">
        <v>181</v>
      </c>
      <c r="F3434" s="10" t="str">
        <f>"2170581348 "</f>
        <v xml:space="preserve">2170581348 </v>
      </c>
      <c r="G3434" s="10" t="str">
        <f>"ON2"</f>
        <v>ON2</v>
      </c>
      <c r="H3434" s="10" t="s">
        <v>21</v>
      </c>
      <c r="I3434" s="10" t="s">
        <v>179</v>
      </c>
      <c r="J3434" s="10"/>
      <c r="K3434" s="10" t="str">
        <f>"PFES1162564973_0002"</f>
        <v>PFES1162564973_0002</v>
      </c>
      <c r="L3434" s="10">
        <v>2</v>
      </c>
      <c r="M3434" s="10">
        <v>15</v>
      </c>
    </row>
    <row r="3435" spans="1:13">
      <c r="A3435" s="8">
        <v>42942</v>
      </c>
      <c r="B3435" s="9">
        <v>0.63124999999999998</v>
      </c>
      <c r="C3435" s="10" t="str">
        <f>"FES1162564982"</f>
        <v>FES1162564982</v>
      </c>
      <c r="D3435" s="10" t="s">
        <v>19</v>
      </c>
      <c r="E3435" s="10" t="s">
        <v>181</v>
      </c>
      <c r="F3435" s="10" t="str">
        <f>"2170581358 "</f>
        <v xml:space="preserve">2170581358 </v>
      </c>
      <c r="G3435" s="10" t="str">
        <f>"ON1"</f>
        <v>ON1</v>
      </c>
      <c r="H3435" s="10" t="s">
        <v>21</v>
      </c>
      <c r="I3435" s="10" t="s">
        <v>179</v>
      </c>
      <c r="J3435" s="10" t="str">
        <f>""</f>
        <v/>
      </c>
      <c r="K3435" s="10" t="str">
        <f>"PFES1162564982_0001"</f>
        <v>PFES1162564982_0001</v>
      </c>
      <c r="L3435" s="10">
        <v>2</v>
      </c>
      <c r="M3435" s="10">
        <v>9</v>
      </c>
    </row>
    <row r="3436" spans="1:13">
      <c r="A3436" s="8">
        <v>42942</v>
      </c>
      <c r="B3436" s="9">
        <v>0.63124999999999998</v>
      </c>
      <c r="C3436" s="10" t="str">
        <f>"FES1162564982"</f>
        <v>FES1162564982</v>
      </c>
      <c r="D3436" s="10" t="s">
        <v>19</v>
      </c>
      <c r="E3436" s="10" t="s">
        <v>181</v>
      </c>
      <c r="F3436" s="10" t="str">
        <f>"2170581358 "</f>
        <v xml:space="preserve">2170581358 </v>
      </c>
      <c r="G3436" s="10" t="str">
        <f>"ON1"</f>
        <v>ON1</v>
      </c>
      <c r="H3436" s="10" t="s">
        <v>21</v>
      </c>
      <c r="I3436" s="10" t="s">
        <v>179</v>
      </c>
      <c r="J3436" s="10"/>
      <c r="K3436" s="10" t="str">
        <f>"PFES1162564982_0002"</f>
        <v>PFES1162564982_0002</v>
      </c>
      <c r="L3436" s="10">
        <v>2</v>
      </c>
      <c r="M3436" s="10">
        <v>9</v>
      </c>
    </row>
    <row r="3437" spans="1:13">
      <c r="A3437" s="8">
        <v>42942</v>
      </c>
      <c r="B3437" s="9">
        <v>0.63124999999999998</v>
      </c>
      <c r="C3437" s="10" t="str">
        <f>"FES1162564875"</f>
        <v>FES1162564875</v>
      </c>
      <c r="D3437" s="10" t="s">
        <v>19</v>
      </c>
      <c r="E3437" s="10" t="s">
        <v>574</v>
      </c>
      <c r="F3437" s="10" t="str">
        <f>"2170579287 "</f>
        <v xml:space="preserve">2170579287 </v>
      </c>
      <c r="G3437" s="10" t="str">
        <f>"ON1"</f>
        <v>ON1</v>
      </c>
      <c r="H3437" s="10" t="s">
        <v>21</v>
      </c>
      <c r="I3437" s="10" t="s">
        <v>213</v>
      </c>
      <c r="J3437" s="10" t="str">
        <f>""</f>
        <v/>
      </c>
      <c r="K3437" s="10" t="str">
        <f>"PFES1162564875_0001"</f>
        <v>PFES1162564875_0001</v>
      </c>
      <c r="L3437" s="10">
        <v>1</v>
      </c>
      <c r="M3437" s="10">
        <v>2</v>
      </c>
    </row>
    <row r="3438" spans="1:13">
      <c r="A3438" s="8">
        <v>42942</v>
      </c>
      <c r="B3438" s="9">
        <v>0.63055555555555554</v>
      </c>
      <c r="C3438" s="10" t="str">
        <f>"FES1162565035"</f>
        <v>FES1162565035</v>
      </c>
      <c r="D3438" s="10" t="s">
        <v>19</v>
      </c>
      <c r="E3438" s="10" t="s">
        <v>1176</v>
      </c>
      <c r="F3438" s="10" t="str">
        <f>"2170584300 "</f>
        <v xml:space="preserve">2170584300 </v>
      </c>
      <c r="G3438" s="10" t="str">
        <f>"ON1"</f>
        <v>ON1</v>
      </c>
      <c r="H3438" s="10" t="s">
        <v>21</v>
      </c>
      <c r="I3438" s="10" t="s">
        <v>149</v>
      </c>
      <c r="J3438" s="10" t="str">
        <f>""</f>
        <v/>
      </c>
      <c r="K3438" s="10" t="str">
        <f>"PFES1162565035_0001"</f>
        <v>PFES1162565035_0001</v>
      </c>
      <c r="L3438" s="10">
        <v>1</v>
      </c>
      <c r="M3438" s="10">
        <v>2</v>
      </c>
    </row>
    <row r="3439" spans="1:13">
      <c r="A3439" s="8">
        <v>42942</v>
      </c>
      <c r="B3439" s="9">
        <v>0.62986111111111109</v>
      </c>
      <c r="C3439" s="10" t="str">
        <f>"FES1162564972"</f>
        <v>FES1162564972</v>
      </c>
      <c r="D3439" s="10" t="s">
        <v>19</v>
      </c>
      <c r="E3439" s="10" t="s">
        <v>181</v>
      </c>
      <c r="F3439" s="10" t="str">
        <f>"2170581346 "</f>
        <v xml:space="preserve">2170581346 </v>
      </c>
      <c r="G3439" s="10" t="str">
        <f>"ON2"</f>
        <v>ON2</v>
      </c>
      <c r="H3439" s="10" t="s">
        <v>21</v>
      </c>
      <c r="I3439" s="10" t="s">
        <v>179</v>
      </c>
      <c r="J3439" s="10" t="str">
        <f>""</f>
        <v/>
      </c>
      <c r="K3439" s="10" t="str">
        <f>"PFES1162564972_0001"</f>
        <v>PFES1162564972_0001</v>
      </c>
      <c r="L3439" s="10">
        <v>1</v>
      </c>
      <c r="M3439" s="10">
        <v>18</v>
      </c>
    </row>
    <row r="3440" spans="1:13">
      <c r="A3440" s="8">
        <v>42942</v>
      </c>
      <c r="B3440" s="9">
        <v>0.62986111111111109</v>
      </c>
      <c r="C3440" s="10" t="str">
        <f>"FES1162564971"</f>
        <v>FES1162564971</v>
      </c>
      <c r="D3440" s="10" t="s">
        <v>19</v>
      </c>
      <c r="E3440" s="10" t="s">
        <v>355</v>
      </c>
      <c r="F3440" s="10" t="str">
        <f>"2170581345 "</f>
        <v xml:space="preserve">2170581345 </v>
      </c>
      <c r="G3440" s="10" t="str">
        <f t="shared" ref="G3440:G3451" si="149">"ON1"</f>
        <v>ON1</v>
      </c>
      <c r="H3440" s="10" t="s">
        <v>21</v>
      </c>
      <c r="I3440" s="10" t="s">
        <v>330</v>
      </c>
      <c r="J3440" s="10" t="str">
        <f>""</f>
        <v/>
      </c>
      <c r="K3440" s="10" t="str">
        <f>"PFES1162564971_0001"</f>
        <v>PFES1162564971_0001</v>
      </c>
      <c r="L3440" s="10">
        <v>1</v>
      </c>
      <c r="M3440" s="10">
        <v>2</v>
      </c>
    </row>
    <row r="3441" spans="1:13">
      <c r="A3441" s="8">
        <v>42942</v>
      </c>
      <c r="B3441" s="9">
        <v>0.62986111111111109</v>
      </c>
      <c r="C3441" s="10" t="str">
        <f>"FES1162565066"</f>
        <v>FES1162565066</v>
      </c>
      <c r="D3441" s="10" t="s">
        <v>19</v>
      </c>
      <c r="E3441" s="10" t="s">
        <v>1177</v>
      </c>
      <c r="F3441" s="10" t="str">
        <f>"2170581461 "</f>
        <v xml:space="preserve">2170581461 </v>
      </c>
      <c r="G3441" s="10" t="str">
        <f t="shared" si="149"/>
        <v>ON1</v>
      </c>
      <c r="H3441" s="10" t="s">
        <v>21</v>
      </c>
      <c r="I3441" s="10" t="s">
        <v>244</v>
      </c>
      <c r="J3441" s="10" t="str">
        <f>""</f>
        <v/>
      </c>
      <c r="K3441" s="10" t="str">
        <f>"PFES1162565066_0001"</f>
        <v>PFES1162565066_0001</v>
      </c>
      <c r="L3441" s="10">
        <v>1</v>
      </c>
      <c r="M3441" s="10">
        <v>1</v>
      </c>
    </row>
    <row r="3442" spans="1:13">
      <c r="A3442" s="8">
        <v>42942</v>
      </c>
      <c r="B3442" s="9">
        <v>0.62916666666666665</v>
      </c>
      <c r="C3442" s="10" t="str">
        <f>"FES1162565011"</f>
        <v>FES1162565011</v>
      </c>
      <c r="D3442" s="10" t="s">
        <v>19</v>
      </c>
      <c r="E3442" s="10" t="s">
        <v>436</v>
      </c>
      <c r="F3442" s="10" t="str">
        <f>"2170581162 "</f>
        <v xml:space="preserve">2170581162 </v>
      </c>
      <c r="G3442" s="10" t="str">
        <f t="shared" si="149"/>
        <v>ON1</v>
      </c>
      <c r="H3442" s="10" t="s">
        <v>21</v>
      </c>
      <c r="I3442" s="10" t="s">
        <v>252</v>
      </c>
      <c r="J3442" s="10" t="str">
        <f>""</f>
        <v/>
      </c>
      <c r="K3442" s="10" t="str">
        <f>"PFES1162565011_0001"</f>
        <v>PFES1162565011_0001</v>
      </c>
      <c r="L3442" s="10">
        <v>1</v>
      </c>
      <c r="M3442" s="10">
        <v>4</v>
      </c>
    </row>
    <row r="3443" spans="1:13">
      <c r="A3443" s="8">
        <v>42942</v>
      </c>
      <c r="B3443" s="9">
        <v>0.62847222222222221</v>
      </c>
      <c r="C3443" s="10" t="str">
        <f>"FES1162565062"</f>
        <v>FES1162565062</v>
      </c>
      <c r="D3443" s="10" t="s">
        <v>19</v>
      </c>
      <c r="E3443" s="10" t="s">
        <v>707</v>
      </c>
      <c r="F3443" s="10" t="str">
        <f>"2170581455 "</f>
        <v xml:space="preserve">2170581455 </v>
      </c>
      <c r="G3443" s="10" t="str">
        <f t="shared" si="149"/>
        <v>ON1</v>
      </c>
      <c r="H3443" s="10" t="s">
        <v>21</v>
      </c>
      <c r="I3443" s="10" t="s">
        <v>402</v>
      </c>
      <c r="J3443" s="10" t="str">
        <f>""</f>
        <v/>
      </c>
      <c r="K3443" s="10" t="str">
        <f>"PFES1162565062_0001"</f>
        <v>PFES1162565062_0001</v>
      </c>
      <c r="L3443" s="10">
        <v>1</v>
      </c>
      <c r="M3443" s="10">
        <v>1</v>
      </c>
    </row>
    <row r="3444" spans="1:13">
      <c r="A3444" s="8">
        <v>42942</v>
      </c>
      <c r="B3444" s="9">
        <v>0.62847222222222221</v>
      </c>
      <c r="C3444" s="10" t="str">
        <f>"FES1162564792"</f>
        <v>FES1162564792</v>
      </c>
      <c r="D3444" s="10" t="s">
        <v>19</v>
      </c>
      <c r="E3444" s="10" t="s">
        <v>110</v>
      </c>
      <c r="F3444" s="10" t="str">
        <f>"217058130 "</f>
        <v xml:space="preserve">217058130 </v>
      </c>
      <c r="G3444" s="10" t="str">
        <f t="shared" si="149"/>
        <v>ON1</v>
      </c>
      <c r="H3444" s="10" t="s">
        <v>21</v>
      </c>
      <c r="I3444" s="10" t="s">
        <v>111</v>
      </c>
      <c r="J3444" s="10" t="str">
        <f>""</f>
        <v/>
      </c>
      <c r="K3444" s="10" t="str">
        <f>"PFES1162564792_0001"</f>
        <v>PFES1162564792_0001</v>
      </c>
      <c r="L3444" s="10">
        <v>1</v>
      </c>
      <c r="M3444" s="10">
        <v>1</v>
      </c>
    </row>
    <row r="3445" spans="1:13">
      <c r="A3445" s="8">
        <v>42942</v>
      </c>
      <c r="B3445" s="9">
        <v>0.62777777777777777</v>
      </c>
      <c r="C3445" s="10" t="str">
        <f>"FES1162565032"</f>
        <v>FES1162565032</v>
      </c>
      <c r="D3445" s="10" t="s">
        <v>19</v>
      </c>
      <c r="E3445" s="10" t="s">
        <v>162</v>
      </c>
      <c r="F3445" s="10" t="str">
        <f>"2170581416 "</f>
        <v xml:space="preserve">2170581416 </v>
      </c>
      <c r="G3445" s="10" t="str">
        <f t="shared" si="149"/>
        <v>ON1</v>
      </c>
      <c r="H3445" s="10" t="s">
        <v>21</v>
      </c>
      <c r="I3445" s="10" t="s">
        <v>163</v>
      </c>
      <c r="J3445" s="10" t="str">
        <f>""</f>
        <v/>
      </c>
      <c r="K3445" s="10" t="str">
        <f>"PFES1162565032_0001"</f>
        <v>PFES1162565032_0001</v>
      </c>
      <c r="L3445" s="10">
        <v>1</v>
      </c>
      <c r="M3445" s="10">
        <v>1</v>
      </c>
    </row>
    <row r="3446" spans="1:13">
      <c r="A3446" s="8">
        <v>42942</v>
      </c>
      <c r="B3446" s="9">
        <v>0.62777777777777777</v>
      </c>
      <c r="C3446" s="10" t="str">
        <f>"FES1162564823"</f>
        <v>FES1162564823</v>
      </c>
      <c r="D3446" s="10" t="s">
        <v>19</v>
      </c>
      <c r="E3446" s="10" t="s">
        <v>394</v>
      </c>
      <c r="F3446" s="10" t="str">
        <f>"21705878763 "</f>
        <v xml:space="preserve">21705878763 </v>
      </c>
      <c r="G3446" s="10" t="str">
        <f t="shared" si="149"/>
        <v>ON1</v>
      </c>
      <c r="H3446" s="10" t="s">
        <v>21</v>
      </c>
      <c r="I3446" s="10" t="s">
        <v>98</v>
      </c>
      <c r="J3446" s="10" t="str">
        <f>""</f>
        <v/>
      </c>
      <c r="K3446" s="10" t="str">
        <f>"PFES1162564823_0001"</f>
        <v>PFES1162564823_0001</v>
      </c>
      <c r="L3446" s="10">
        <v>1</v>
      </c>
      <c r="M3446" s="10">
        <v>1</v>
      </c>
    </row>
    <row r="3447" spans="1:13">
      <c r="A3447" s="8">
        <v>42942</v>
      </c>
      <c r="B3447" s="9">
        <v>0.62708333333333333</v>
      </c>
      <c r="C3447" s="10" t="str">
        <f>"FES1162564963"</f>
        <v>FES1162564963</v>
      </c>
      <c r="D3447" s="10" t="s">
        <v>19</v>
      </c>
      <c r="E3447" s="10" t="s">
        <v>108</v>
      </c>
      <c r="F3447" s="10" t="str">
        <f>"2170581334 "</f>
        <v xml:space="preserve">2170581334 </v>
      </c>
      <c r="G3447" s="10" t="str">
        <f t="shared" si="149"/>
        <v>ON1</v>
      </c>
      <c r="H3447" s="10" t="s">
        <v>21</v>
      </c>
      <c r="I3447" s="10" t="s">
        <v>56</v>
      </c>
      <c r="J3447" s="10" t="str">
        <f>""</f>
        <v/>
      </c>
      <c r="K3447" s="10" t="str">
        <f>"PFES1162564963_0001"</f>
        <v>PFES1162564963_0001</v>
      </c>
      <c r="L3447" s="10">
        <v>1</v>
      </c>
      <c r="M3447" s="10">
        <v>1</v>
      </c>
    </row>
    <row r="3448" spans="1:13">
      <c r="A3448" s="8">
        <v>42942</v>
      </c>
      <c r="B3448" s="9">
        <v>0.62708333333333333</v>
      </c>
      <c r="C3448" s="10" t="str">
        <f>"FES1162564825"</f>
        <v>FES1162564825</v>
      </c>
      <c r="D3448" s="10" t="s">
        <v>19</v>
      </c>
      <c r="E3448" s="10" t="s">
        <v>783</v>
      </c>
      <c r="F3448" s="10" t="str">
        <f>"2170578802 "</f>
        <v xml:space="preserve">2170578802 </v>
      </c>
      <c r="G3448" s="10" t="str">
        <f t="shared" si="149"/>
        <v>ON1</v>
      </c>
      <c r="H3448" s="10" t="s">
        <v>21</v>
      </c>
      <c r="I3448" s="10" t="s">
        <v>784</v>
      </c>
      <c r="J3448" s="10" t="str">
        <f>""</f>
        <v/>
      </c>
      <c r="K3448" s="10" t="str">
        <f>"PFES1162564825_0001"</f>
        <v>PFES1162564825_0001</v>
      </c>
      <c r="L3448" s="10">
        <v>1</v>
      </c>
      <c r="M3448" s="10">
        <v>1</v>
      </c>
    </row>
    <row r="3449" spans="1:13">
      <c r="A3449" s="8">
        <v>42942</v>
      </c>
      <c r="B3449" s="9">
        <v>0.62638888888888888</v>
      </c>
      <c r="C3449" s="10" t="str">
        <f>"FES1162565057"</f>
        <v>FES1162565057</v>
      </c>
      <c r="D3449" s="10" t="s">
        <v>19</v>
      </c>
      <c r="E3449" s="10" t="s">
        <v>39</v>
      </c>
      <c r="F3449" s="10" t="str">
        <f>"2170581450 "</f>
        <v xml:space="preserve">2170581450 </v>
      </c>
      <c r="G3449" s="10" t="str">
        <f t="shared" si="149"/>
        <v>ON1</v>
      </c>
      <c r="H3449" s="10" t="s">
        <v>21</v>
      </c>
      <c r="I3449" s="10" t="s">
        <v>40</v>
      </c>
      <c r="J3449" s="10" t="str">
        <f>""</f>
        <v/>
      </c>
      <c r="K3449" s="10" t="str">
        <f>"PFES1162565057_0001"</f>
        <v>PFES1162565057_0001</v>
      </c>
      <c r="L3449" s="10">
        <v>1</v>
      </c>
      <c r="M3449" s="10">
        <v>1</v>
      </c>
    </row>
    <row r="3450" spans="1:13">
      <c r="A3450" s="8">
        <v>42942</v>
      </c>
      <c r="B3450" s="9">
        <v>0.62638888888888888</v>
      </c>
      <c r="C3450" s="10" t="str">
        <f>"FES1162565017"</f>
        <v>FES1162565017</v>
      </c>
      <c r="D3450" s="10" t="s">
        <v>19</v>
      </c>
      <c r="E3450" s="10" t="s">
        <v>245</v>
      </c>
      <c r="F3450" s="10" t="str">
        <f>"2170581393 "</f>
        <v xml:space="preserve">2170581393 </v>
      </c>
      <c r="G3450" s="10" t="str">
        <f t="shared" si="149"/>
        <v>ON1</v>
      </c>
      <c r="H3450" s="10" t="s">
        <v>21</v>
      </c>
      <c r="I3450" s="10" t="s">
        <v>246</v>
      </c>
      <c r="J3450" s="10" t="str">
        <f>""</f>
        <v/>
      </c>
      <c r="K3450" s="10" t="str">
        <f>"PFES1162565017_0001"</f>
        <v>PFES1162565017_0001</v>
      </c>
      <c r="L3450" s="10">
        <v>1</v>
      </c>
      <c r="M3450" s="10">
        <v>1</v>
      </c>
    </row>
    <row r="3451" spans="1:13">
      <c r="A3451" s="8">
        <v>42942</v>
      </c>
      <c r="B3451" s="9">
        <v>0.625</v>
      </c>
      <c r="C3451" s="10" t="str">
        <f>"FES1162564951"</f>
        <v>FES1162564951</v>
      </c>
      <c r="D3451" s="10" t="s">
        <v>19</v>
      </c>
      <c r="E3451" s="10" t="s">
        <v>333</v>
      </c>
      <c r="F3451" s="10" t="str">
        <f>"2170581314 "</f>
        <v xml:space="preserve">2170581314 </v>
      </c>
      <c r="G3451" s="10" t="str">
        <f t="shared" si="149"/>
        <v>ON1</v>
      </c>
      <c r="H3451" s="10" t="s">
        <v>21</v>
      </c>
      <c r="I3451" s="10" t="s">
        <v>334</v>
      </c>
      <c r="J3451" s="10" t="str">
        <f>""</f>
        <v/>
      </c>
      <c r="K3451" s="10" t="str">
        <f>"PFES1162564951_0001"</f>
        <v>PFES1162564951_0001</v>
      </c>
      <c r="L3451" s="10">
        <v>1</v>
      </c>
      <c r="M3451" s="10">
        <v>1</v>
      </c>
    </row>
    <row r="3452" spans="1:13">
      <c r="A3452" s="8">
        <v>42943</v>
      </c>
      <c r="B3452" s="9">
        <v>0.60138888888888886</v>
      </c>
      <c r="C3452" s="10" t="str">
        <f>"FES1162565335"</f>
        <v>FES1162565335</v>
      </c>
      <c r="D3452" s="10" t="s">
        <v>19</v>
      </c>
      <c r="E3452" s="10" t="s">
        <v>243</v>
      </c>
      <c r="F3452" s="10" t="str">
        <f>"2170581850 "</f>
        <v xml:space="preserve">2170581850 </v>
      </c>
      <c r="G3452" s="10" t="str">
        <f>"ON1"</f>
        <v>ON1</v>
      </c>
      <c r="H3452" s="10" t="s">
        <v>21</v>
      </c>
      <c r="I3452" s="10" t="s">
        <v>244</v>
      </c>
      <c r="J3452" s="10" t="str">
        <f>""</f>
        <v/>
      </c>
      <c r="K3452" s="10" t="str">
        <f>"PFES1162565335_0001"</f>
        <v>PFES1162565335_0001</v>
      </c>
      <c r="L3452" s="10">
        <v>1</v>
      </c>
      <c r="M3452" s="10">
        <v>1</v>
      </c>
    </row>
    <row r="3453" spans="1:13">
      <c r="A3453" s="8">
        <v>42943</v>
      </c>
      <c r="B3453" s="9">
        <v>0.60069444444444442</v>
      </c>
      <c r="C3453" s="10" t="str">
        <f>"FES1162565140"</f>
        <v>FES1162565140</v>
      </c>
      <c r="D3453" s="10" t="s">
        <v>19</v>
      </c>
      <c r="E3453" s="10" t="s">
        <v>154</v>
      </c>
      <c r="F3453" s="10" t="str">
        <f>"2170581575 "</f>
        <v xml:space="preserve">2170581575 </v>
      </c>
      <c r="G3453" s="10" t="str">
        <f>"ON1"</f>
        <v>ON1</v>
      </c>
      <c r="H3453" s="10" t="s">
        <v>21</v>
      </c>
      <c r="I3453" s="10" t="s">
        <v>130</v>
      </c>
      <c r="J3453" s="10" t="str">
        <f>""</f>
        <v/>
      </c>
      <c r="K3453" s="10" t="str">
        <f>"PFES1162565140_0001"</f>
        <v>PFES1162565140_0001</v>
      </c>
      <c r="L3453" s="10">
        <v>1</v>
      </c>
      <c r="M3453" s="10">
        <v>1</v>
      </c>
    </row>
    <row r="3454" spans="1:13">
      <c r="A3454" s="8">
        <v>42943</v>
      </c>
      <c r="B3454" s="9">
        <v>0.6</v>
      </c>
      <c r="C3454" s="10" t="str">
        <f>"FES1162565334"</f>
        <v>FES1162565334</v>
      </c>
      <c r="D3454" s="10" t="s">
        <v>19</v>
      </c>
      <c r="E3454" s="10" t="s">
        <v>615</v>
      </c>
      <c r="F3454" s="10" t="str">
        <f>"2170581845 "</f>
        <v xml:space="preserve">2170581845 </v>
      </c>
      <c r="G3454" s="10" t="str">
        <f>"ON2"</f>
        <v>ON2</v>
      </c>
      <c r="H3454" s="10" t="s">
        <v>21</v>
      </c>
      <c r="I3454" s="10" t="s">
        <v>342</v>
      </c>
      <c r="J3454" s="10" t="str">
        <f>""</f>
        <v/>
      </c>
      <c r="K3454" s="10" t="str">
        <f>"PFES1162565334_0001"</f>
        <v>PFES1162565334_0001</v>
      </c>
      <c r="L3454" s="10">
        <v>1</v>
      </c>
      <c r="M3454" s="10">
        <v>15</v>
      </c>
    </row>
    <row r="3455" spans="1:13">
      <c r="A3455" s="8">
        <v>42943</v>
      </c>
      <c r="B3455" s="9">
        <v>0.59930555555555554</v>
      </c>
      <c r="C3455" s="10" t="str">
        <f>"FES1162565293"</f>
        <v>FES1162565293</v>
      </c>
      <c r="D3455" s="10" t="s">
        <v>19</v>
      </c>
      <c r="E3455" s="10" t="s">
        <v>456</v>
      </c>
      <c r="F3455" s="10" t="str">
        <f>"2170573531 "</f>
        <v xml:space="preserve">2170573531 </v>
      </c>
      <c r="G3455" s="10" t="str">
        <f>"ON2"</f>
        <v>ON2</v>
      </c>
      <c r="H3455" s="10" t="s">
        <v>21</v>
      </c>
      <c r="I3455" s="10" t="s">
        <v>36</v>
      </c>
      <c r="J3455" s="10" t="str">
        <f>""</f>
        <v/>
      </c>
      <c r="K3455" s="10" t="str">
        <f>"PFES1162565293_0001"</f>
        <v>PFES1162565293_0001</v>
      </c>
      <c r="L3455" s="10">
        <v>1</v>
      </c>
      <c r="M3455" s="10">
        <v>11</v>
      </c>
    </row>
    <row r="3456" spans="1:13">
      <c r="A3456" s="8">
        <v>42943</v>
      </c>
      <c r="B3456" s="9">
        <v>0.59861111111111109</v>
      </c>
      <c r="C3456" s="10" t="str">
        <f>"FES1162565325"</f>
        <v>FES1162565325</v>
      </c>
      <c r="D3456" s="10" t="s">
        <v>19</v>
      </c>
      <c r="E3456" s="10" t="s">
        <v>39</v>
      </c>
      <c r="F3456" s="10" t="str">
        <f>"2170581830 "</f>
        <v xml:space="preserve">2170581830 </v>
      </c>
      <c r="G3456" s="10" t="str">
        <f t="shared" ref="G3456:G3462" si="150">"ON1"</f>
        <v>ON1</v>
      </c>
      <c r="H3456" s="10" t="s">
        <v>21</v>
      </c>
      <c r="I3456" s="10" t="s">
        <v>40</v>
      </c>
      <c r="J3456" s="10" t="str">
        <f>""</f>
        <v/>
      </c>
      <c r="K3456" s="10" t="str">
        <f>"PFES1162565325_0001"</f>
        <v>PFES1162565325_0001</v>
      </c>
      <c r="L3456" s="10">
        <v>1</v>
      </c>
      <c r="M3456" s="10">
        <v>3</v>
      </c>
    </row>
    <row r="3457" spans="1:13">
      <c r="A3457" s="8">
        <v>42943</v>
      </c>
      <c r="B3457" s="9">
        <v>0.59722222222222221</v>
      </c>
      <c r="C3457" s="10" t="str">
        <f>"FES11625655319"</f>
        <v>FES11625655319</v>
      </c>
      <c r="D3457" s="10" t="s">
        <v>19</v>
      </c>
      <c r="E3457" s="10" t="s">
        <v>382</v>
      </c>
      <c r="F3457" s="10" t="str">
        <f>"2170581828 "</f>
        <v xml:space="preserve">2170581828 </v>
      </c>
      <c r="G3457" s="10" t="str">
        <f t="shared" si="150"/>
        <v>ON1</v>
      </c>
      <c r="H3457" s="10" t="s">
        <v>21</v>
      </c>
      <c r="I3457" s="10" t="s">
        <v>383</v>
      </c>
      <c r="J3457" s="10" t="str">
        <f>""</f>
        <v/>
      </c>
      <c r="K3457" s="10" t="str">
        <f>"PFES11625655319_0001"</f>
        <v>PFES11625655319_0001</v>
      </c>
      <c r="L3457" s="10">
        <v>1</v>
      </c>
      <c r="M3457" s="10">
        <v>2</v>
      </c>
    </row>
    <row r="3458" spans="1:13">
      <c r="A3458" s="8">
        <v>42943</v>
      </c>
      <c r="B3458" s="9">
        <v>0.59652777777777777</v>
      </c>
      <c r="C3458" s="10" t="str">
        <f>"FES1162565328"</f>
        <v>FES1162565328</v>
      </c>
      <c r="D3458" s="10" t="s">
        <v>19</v>
      </c>
      <c r="E3458" s="10" t="s">
        <v>861</v>
      </c>
      <c r="F3458" s="10" t="str">
        <f>"2170581841 "</f>
        <v xml:space="preserve">2170581841 </v>
      </c>
      <c r="G3458" s="10" t="str">
        <f t="shared" si="150"/>
        <v>ON1</v>
      </c>
      <c r="H3458" s="10" t="s">
        <v>21</v>
      </c>
      <c r="I3458" s="10" t="s">
        <v>389</v>
      </c>
      <c r="J3458" s="10" t="str">
        <f>""</f>
        <v/>
      </c>
      <c r="K3458" s="10" t="str">
        <f>"PFES1162565328_0001"</f>
        <v>PFES1162565328_0001</v>
      </c>
      <c r="L3458" s="10">
        <v>1</v>
      </c>
      <c r="M3458" s="10">
        <v>1</v>
      </c>
    </row>
    <row r="3459" spans="1:13">
      <c r="A3459" s="8">
        <v>42943</v>
      </c>
      <c r="B3459" s="9">
        <v>0.59513888888888888</v>
      </c>
      <c r="C3459" s="10" t="str">
        <f>"FES1162565315"</f>
        <v>FES1162565315</v>
      </c>
      <c r="D3459" s="10" t="s">
        <v>19</v>
      </c>
      <c r="E3459" s="10" t="s">
        <v>180</v>
      </c>
      <c r="F3459" s="10" t="str">
        <f>"2170581823 "</f>
        <v xml:space="preserve">2170581823 </v>
      </c>
      <c r="G3459" s="10" t="str">
        <f t="shared" si="150"/>
        <v>ON1</v>
      </c>
      <c r="H3459" s="10" t="s">
        <v>21</v>
      </c>
      <c r="I3459" s="10" t="s">
        <v>168</v>
      </c>
      <c r="J3459" s="10" t="str">
        <f>""</f>
        <v/>
      </c>
      <c r="K3459" s="10" t="str">
        <f>"PFES1162565315_0001"</f>
        <v>PFES1162565315_0001</v>
      </c>
      <c r="L3459" s="10">
        <v>1</v>
      </c>
      <c r="M3459" s="10">
        <v>1</v>
      </c>
    </row>
    <row r="3460" spans="1:13">
      <c r="A3460" s="8">
        <v>42943</v>
      </c>
      <c r="B3460" s="9">
        <v>0.59444444444444444</v>
      </c>
      <c r="C3460" s="10" t="str">
        <f>"FES1162565324"</f>
        <v>FES1162565324</v>
      </c>
      <c r="D3460" s="10" t="s">
        <v>19</v>
      </c>
      <c r="E3460" s="10" t="s">
        <v>118</v>
      </c>
      <c r="F3460" s="10" t="str">
        <f>"2170581811 "</f>
        <v xml:space="preserve">2170581811 </v>
      </c>
      <c r="G3460" s="10" t="str">
        <f t="shared" si="150"/>
        <v>ON1</v>
      </c>
      <c r="H3460" s="10" t="s">
        <v>21</v>
      </c>
      <c r="I3460" s="10" t="s">
        <v>119</v>
      </c>
      <c r="J3460" s="10" t="str">
        <f>""</f>
        <v/>
      </c>
      <c r="K3460" s="10" t="str">
        <f>"PFES1162565324_0001"</f>
        <v>PFES1162565324_0001</v>
      </c>
      <c r="L3460" s="10">
        <v>1</v>
      </c>
      <c r="M3460" s="10">
        <v>1</v>
      </c>
    </row>
    <row r="3461" spans="1:13">
      <c r="A3461" s="8">
        <v>42943</v>
      </c>
      <c r="B3461" s="9">
        <v>0.59027777777777779</v>
      </c>
      <c r="C3461" s="10" t="str">
        <f>"FES1162565306"</f>
        <v>FES1162565306</v>
      </c>
      <c r="D3461" s="10" t="s">
        <v>19</v>
      </c>
      <c r="E3461" s="10" t="s">
        <v>190</v>
      </c>
      <c r="F3461" s="10" t="str">
        <f>"2170581805 "</f>
        <v xml:space="preserve">2170581805 </v>
      </c>
      <c r="G3461" s="10" t="str">
        <f t="shared" si="150"/>
        <v>ON1</v>
      </c>
      <c r="H3461" s="10" t="s">
        <v>21</v>
      </c>
      <c r="I3461" s="10" t="s">
        <v>52</v>
      </c>
      <c r="J3461" s="10" t="str">
        <f>""</f>
        <v/>
      </c>
      <c r="K3461" s="10" t="str">
        <f>"PFES1162565306_0001"</f>
        <v>PFES1162565306_0001</v>
      </c>
      <c r="L3461" s="10">
        <v>1</v>
      </c>
      <c r="M3461" s="10">
        <v>1</v>
      </c>
    </row>
    <row r="3462" spans="1:13">
      <c r="A3462" s="8">
        <v>42943</v>
      </c>
      <c r="B3462" s="9">
        <v>0.58958333333333335</v>
      </c>
      <c r="C3462" s="10" t="str">
        <f>"FES1162565308"</f>
        <v>FES1162565308</v>
      </c>
      <c r="D3462" s="10" t="s">
        <v>19</v>
      </c>
      <c r="E3462" s="10" t="s">
        <v>190</v>
      </c>
      <c r="F3462" s="10" t="str">
        <f>"217058810 "</f>
        <v xml:space="preserve">217058810 </v>
      </c>
      <c r="G3462" s="10" t="str">
        <f t="shared" si="150"/>
        <v>ON1</v>
      </c>
      <c r="H3462" s="10" t="s">
        <v>21</v>
      </c>
      <c r="I3462" s="10" t="s">
        <v>52</v>
      </c>
      <c r="J3462" s="10" t="str">
        <f>""</f>
        <v/>
      </c>
      <c r="K3462" s="10" t="str">
        <f>"PFES1162565308_0001"</f>
        <v>PFES1162565308_0001</v>
      </c>
      <c r="L3462" s="10">
        <v>1</v>
      </c>
      <c r="M3462" s="10">
        <v>15</v>
      </c>
    </row>
    <row r="3463" spans="1:13">
      <c r="A3463" s="8">
        <v>42943</v>
      </c>
      <c r="B3463" s="9">
        <v>0.58472222222222225</v>
      </c>
      <c r="C3463" s="10" t="str">
        <f>"FES1162565320"</f>
        <v>FES1162565320</v>
      </c>
      <c r="D3463" s="10" t="s">
        <v>19</v>
      </c>
      <c r="E3463" s="10" t="s">
        <v>265</v>
      </c>
      <c r="F3463" s="10" t="str">
        <f>"2170575263 "</f>
        <v xml:space="preserve">2170575263 </v>
      </c>
      <c r="G3463" s="10" t="str">
        <f>"DBC"</f>
        <v>DBC</v>
      </c>
      <c r="H3463" s="10" t="s">
        <v>21</v>
      </c>
      <c r="I3463" s="10" t="s">
        <v>230</v>
      </c>
      <c r="J3463" s="10" t="str">
        <f>""</f>
        <v/>
      </c>
      <c r="K3463" s="10" t="str">
        <f>"PFES1162565320_0001"</f>
        <v>PFES1162565320_0001</v>
      </c>
      <c r="L3463" s="10">
        <v>3</v>
      </c>
      <c r="M3463" s="10">
        <v>41</v>
      </c>
    </row>
    <row r="3464" spans="1:13">
      <c r="A3464" s="8">
        <v>42943</v>
      </c>
      <c r="B3464" s="9">
        <v>0.58472222222222225</v>
      </c>
      <c r="C3464" s="10" t="str">
        <f>"FES1162565320"</f>
        <v>FES1162565320</v>
      </c>
      <c r="D3464" s="10" t="s">
        <v>19</v>
      </c>
      <c r="E3464" s="10" t="s">
        <v>265</v>
      </c>
      <c r="F3464" s="10" t="str">
        <f t="shared" ref="F3464:F3465" si="151">"2170575263 "</f>
        <v xml:space="preserve">2170575263 </v>
      </c>
      <c r="G3464" s="10" t="str">
        <f t="shared" ref="G3464:G3465" si="152">"DBC"</f>
        <v>DBC</v>
      </c>
      <c r="H3464" s="10" t="s">
        <v>21</v>
      </c>
      <c r="I3464" s="10" t="s">
        <v>230</v>
      </c>
      <c r="J3464" s="10"/>
      <c r="K3464" s="10" t="str">
        <f>"PFES1162565320_0002"</f>
        <v>PFES1162565320_0002</v>
      </c>
      <c r="L3464" s="10">
        <v>3</v>
      </c>
      <c r="M3464" s="10">
        <v>41</v>
      </c>
    </row>
    <row r="3465" spans="1:13">
      <c r="A3465" s="8">
        <v>42943</v>
      </c>
      <c r="B3465" s="9">
        <v>0.58472222222222225</v>
      </c>
      <c r="C3465" s="10" t="str">
        <f>"FES1162565320"</f>
        <v>FES1162565320</v>
      </c>
      <c r="D3465" s="10" t="s">
        <v>19</v>
      </c>
      <c r="E3465" s="10" t="s">
        <v>265</v>
      </c>
      <c r="F3465" s="10" t="str">
        <f t="shared" si="151"/>
        <v xml:space="preserve">2170575263 </v>
      </c>
      <c r="G3465" s="10" t="str">
        <f t="shared" si="152"/>
        <v>DBC</v>
      </c>
      <c r="H3465" s="10" t="s">
        <v>21</v>
      </c>
      <c r="I3465" s="10" t="s">
        <v>230</v>
      </c>
      <c r="J3465" s="10"/>
      <c r="K3465" s="10" t="str">
        <f>"PFES1162565320_0003"</f>
        <v>PFES1162565320_0003</v>
      </c>
      <c r="L3465" s="10">
        <v>3</v>
      </c>
      <c r="M3465" s="10">
        <v>41</v>
      </c>
    </row>
    <row r="3466" spans="1:13">
      <c r="A3466" s="8">
        <v>42943</v>
      </c>
      <c r="B3466" s="9">
        <v>0.58333333333333337</v>
      </c>
      <c r="C3466" s="10" t="str">
        <f>"FES1162565225"</f>
        <v>FES1162565225</v>
      </c>
      <c r="D3466" s="10" t="s">
        <v>19</v>
      </c>
      <c r="E3466" s="10" t="s">
        <v>884</v>
      </c>
      <c r="F3466" s="10" t="str">
        <f>"2170581670 "</f>
        <v xml:space="preserve">2170581670 </v>
      </c>
      <c r="G3466" s="10" t="str">
        <f>"ON2"</f>
        <v>ON2</v>
      </c>
      <c r="H3466" s="10" t="s">
        <v>21</v>
      </c>
      <c r="I3466" s="10" t="s">
        <v>885</v>
      </c>
      <c r="J3466" s="10" t="str">
        <f>""</f>
        <v/>
      </c>
      <c r="K3466" s="10" t="str">
        <f>"PFES1162565225_0001"</f>
        <v>PFES1162565225_0001</v>
      </c>
      <c r="L3466" s="10">
        <v>1</v>
      </c>
      <c r="M3466" s="10">
        <v>18</v>
      </c>
    </row>
    <row r="3467" spans="1:13">
      <c r="A3467" s="8">
        <v>42943</v>
      </c>
      <c r="B3467" s="9">
        <v>0.58263888888888882</v>
      </c>
      <c r="C3467" s="10" t="str">
        <f>"FES11625681670"</f>
        <v>FES11625681670</v>
      </c>
      <c r="D3467" s="10" t="s">
        <v>19</v>
      </c>
      <c r="E3467" s="10" t="s">
        <v>884</v>
      </c>
      <c r="F3467" s="10" t="str">
        <f>"2170581670 "</f>
        <v xml:space="preserve">2170581670 </v>
      </c>
      <c r="G3467" s="10" t="str">
        <f>"ON1"</f>
        <v>ON1</v>
      </c>
      <c r="H3467" s="10" t="s">
        <v>21</v>
      </c>
      <c r="I3467" s="10" t="s">
        <v>885</v>
      </c>
      <c r="J3467" s="10" t="str">
        <f>""</f>
        <v/>
      </c>
      <c r="K3467" s="10" t="str">
        <f>"PFES11625681670_0001"</f>
        <v>PFES11625681670_0001</v>
      </c>
      <c r="L3467" s="10">
        <v>1</v>
      </c>
      <c r="M3467" s="10">
        <v>18</v>
      </c>
    </row>
    <row r="3468" spans="1:13">
      <c r="A3468" s="8">
        <v>42943</v>
      </c>
      <c r="B3468" s="9">
        <v>0.58124999999999993</v>
      </c>
      <c r="C3468" s="10" t="str">
        <f>"FES1162565236"</f>
        <v>FES1162565236</v>
      </c>
      <c r="D3468" s="10" t="s">
        <v>19</v>
      </c>
      <c r="E3468" s="10" t="s">
        <v>1178</v>
      </c>
      <c r="F3468" s="10" t="str">
        <f>"2170581687 "</f>
        <v xml:space="preserve">2170581687 </v>
      </c>
      <c r="G3468" s="10" t="str">
        <f>"ON2"</f>
        <v>ON2</v>
      </c>
      <c r="H3468" s="10" t="s">
        <v>21</v>
      </c>
      <c r="I3468" s="10" t="s">
        <v>54</v>
      </c>
      <c r="J3468" s="10" t="str">
        <f>""</f>
        <v/>
      </c>
      <c r="K3468" s="10" t="str">
        <f>"PFES1162565236_0001"</f>
        <v>PFES1162565236_0001</v>
      </c>
      <c r="L3468" s="10">
        <v>1</v>
      </c>
      <c r="M3468" s="10">
        <v>16</v>
      </c>
    </row>
    <row r="3469" spans="1:13">
      <c r="A3469" s="8">
        <v>42943</v>
      </c>
      <c r="B3469" s="9">
        <v>0.5805555555555556</v>
      </c>
      <c r="C3469" s="10" t="str">
        <f>"FES1162565318"</f>
        <v>FES1162565318</v>
      </c>
      <c r="D3469" s="10" t="s">
        <v>19</v>
      </c>
      <c r="E3469" s="10" t="s">
        <v>1179</v>
      </c>
      <c r="F3469" s="10" t="str">
        <f>"2170581826 "</f>
        <v xml:space="preserve">2170581826 </v>
      </c>
      <c r="G3469" s="10" t="str">
        <f t="shared" ref="G3469:G3480" si="153">"ON1"</f>
        <v>ON1</v>
      </c>
      <c r="H3469" s="10" t="s">
        <v>21</v>
      </c>
      <c r="I3469" s="10" t="s">
        <v>410</v>
      </c>
      <c r="J3469" s="10" t="str">
        <f>""</f>
        <v/>
      </c>
      <c r="K3469" s="10" t="str">
        <f>"PFES1162565318_0001"</f>
        <v>PFES1162565318_0001</v>
      </c>
      <c r="L3469" s="10">
        <v>1</v>
      </c>
      <c r="M3469" s="10">
        <v>1</v>
      </c>
    </row>
    <row r="3470" spans="1:13">
      <c r="A3470" s="8">
        <v>42943</v>
      </c>
      <c r="B3470" s="9">
        <v>0.57986111111111105</v>
      </c>
      <c r="C3470" s="10" t="str">
        <f>"FES1162565282"</f>
        <v>FES1162565282</v>
      </c>
      <c r="D3470" s="10" t="s">
        <v>19</v>
      </c>
      <c r="E3470" s="10" t="s">
        <v>415</v>
      </c>
      <c r="F3470" s="10" t="str">
        <f>"2170581780 "</f>
        <v xml:space="preserve">2170581780 </v>
      </c>
      <c r="G3470" s="10" t="str">
        <f t="shared" si="153"/>
        <v>ON1</v>
      </c>
      <c r="H3470" s="10" t="s">
        <v>21</v>
      </c>
      <c r="I3470" s="10" t="s">
        <v>92</v>
      </c>
      <c r="J3470" s="10" t="str">
        <f>""</f>
        <v/>
      </c>
      <c r="K3470" s="10" t="str">
        <f>"PFES1162565282_0001"</f>
        <v>PFES1162565282_0001</v>
      </c>
      <c r="L3470" s="10">
        <v>1</v>
      </c>
      <c r="M3470" s="10">
        <v>1</v>
      </c>
    </row>
    <row r="3471" spans="1:13">
      <c r="A3471" s="8">
        <v>42943</v>
      </c>
      <c r="B3471" s="9">
        <v>0.57916666666666672</v>
      </c>
      <c r="C3471" s="10" t="str">
        <f>"FES1162565256"</f>
        <v>FES1162565256</v>
      </c>
      <c r="D3471" s="10" t="s">
        <v>19</v>
      </c>
      <c r="E3471" s="10" t="s">
        <v>33</v>
      </c>
      <c r="F3471" s="10" t="str">
        <f>"2170581741 "</f>
        <v xml:space="preserve">2170581741 </v>
      </c>
      <c r="G3471" s="10" t="str">
        <f t="shared" si="153"/>
        <v>ON1</v>
      </c>
      <c r="H3471" s="10" t="s">
        <v>21</v>
      </c>
      <c r="I3471" s="10" t="s">
        <v>34</v>
      </c>
      <c r="J3471" s="10" t="str">
        <f>""</f>
        <v/>
      </c>
      <c r="K3471" s="10" t="str">
        <f>"PFES1162565256_0001"</f>
        <v>PFES1162565256_0001</v>
      </c>
      <c r="L3471" s="10">
        <v>1</v>
      </c>
      <c r="M3471" s="10">
        <v>1</v>
      </c>
    </row>
    <row r="3472" spans="1:13">
      <c r="A3472" s="8">
        <v>42943</v>
      </c>
      <c r="B3472" s="9">
        <v>0.57916666666666672</v>
      </c>
      <c r="C3472" s="10" t="str">
        <f>"FES1162565268"</f>
        <v>FES1162565268</v>
      </c>
      <c r="D3472" s="10" t="s">
        <v>19</v>
      </c>
      <c r="E3472" s="10" t="s">
        <v>288</v>
      </c>
      <c r="F3472" s="10" t="str">
        <f>"2170581754 "</f>
        <v xml:space="preserve">2170581754 </v>
      </c>
      <c r="G3472" s="10" t="str">
        <f t="shared" si="153"/>
        <v>ON1</v>
      </c>
      <c r="H3472" s="10" t="s">
        <v>21</v>
      </c>
      <c r="I3472" s="10" t="s">
        <v>84</v>
      </c>
      <c r="J3472" s="10" t="str">
        <f>""</f>
        <v/>
      </c>
      <c r="K3472" s="10" t="str">
        <f>"PFES1162565268_0001"</f>
        <v>PFES1162565268_0001</v>
      </c>
      <c r="L3472" s="10">
        <v>1</v>
      </c>
      <c r="M3472" s="10">
        <v>1</v>
      </c>
    </row>
    <row r="3473" spans="1:13">
      <c r="A3473" s="8">
        <v>42943</v>
      </c>
      <c r="B3473" s="9">
        <v>0.57847222222222217</v>
      </c>
      <c r="C3473" s="10" t="str">
        <f>"FES1162565321"</f>
        <v>FES1162565321</v>
      </c>
      <c r="D3473" s="10" t="s">
        <v>19</v>
      </c>
      <c r="E3473" s="10" t="s">
        <v>184</v>
      </c>
      <c r="F3473" s="10" t="str">
        <f>"2170587318 "</f>
        <v xml:space="preserve">2170587318 </v>
      </c>
      <c r="G3473" s="10" t="str">
        <f t="shared" si="153"/>
        <v>ON1</v>
      </c>
      <c r="H3473" s="10" t="s">
        <v>21</v>
      </c>
      <c r="I3473" s="10" t="s">
        <v>185</v>
      </c>
      <c r="J3473" s="10" t="str">
        <f>""</f>
        <v/>
      </c>
      <c r="K3473" s="10" t="str">
        <f>"PFES1162565321_0001"</f>
        <v>PFES1162565321_0001</v>
      </c>
      <c r="L3473" s="10">
        <v>1</v>
      </c>
      <c r="M3473" s="10">
        <v>4</v>
      </c>
    </row>
    <row r="3474" spans="1:13">
      <c r="A3474" s="8">
        <v>42943</v>
      </c>
      <c r="B3474" s="9">
        <v>0.57847222222222217</v>
      </c>
      <c r="C3474" s="10" t="str">
        <f>"FES1162565244"</f>
        <v>FES1162565244</v>
      </c>
      <c r="D3474" s="10" t="s">
        <v>19</v>
      </c>
      <c r="E3474" s="10" t="s">
        <v>1180</v>
      </c>
      <c r="F3474" s="10" t="str">
        <f>"2170581700 "</f>
        <v xml:space="preserve">2170581700 </v>
      </c>
      <c r="G3474" s="10" t="str">
        <f t="shared" si="153"/>
        <v>ON1</v>
      </c>
      <c r="H3474" s="10" t="s">
        <v>21</v>
      </c>
      <c r="I3474" s="10" t="s">
        <v>1181</v>
      </c>
      <c r="J3474" s="10" t="str">
        <f>""</f>
        <v/>
      </c>
      <c r="K3474" s="10" t="str">
        <f>"PFES1162565244_0001"</f>
        <v>PFES1162565244_0001</v>
      </c>
      <c r="L3474" s="10">
        <v>1</v>
      </c>
      <c r="M3474" s="10">
        <v>1</v>
      </c>
    </row>
    <row r="3475" spans="1:13">
      <c r="A3475" s="8">
        <v>42943</v>
      </c>
      <c r="B3475" s="9">
        <v>0.57847222222222217</v>
      </c>
      <c r="C3475" s="10" t="str">
        <f>"FES1162565181"</f>
        <v>FES1162565181</v>
      </c>
      <c r="D3475" s="10" t="s">
        <v>19</v>
      </c>
      <c r="E3475" s="10" t="s">
        <v>487</v>
      </c>
      <c r="F3475" s="10" t="str">
        <f>"2170581608 "</f>
        <v xml:space="preserve">2170581608 </v>
      </c>
      <c r="G3475" s="10" t="str">
        <f t="shared" si="153"/>
        <v>ON1</v>
      </c>
      <c r="H3475" s="10" t="s">
        <v>21</v>
      </c>
      <c r="I3475" s="10" t="s">
        <v>313</v>
      </c>
      <c r="J3475" s="10" t="str">
        <f>""</f>
        <v/>
      </c>
      <c r="K3475" s="10" t="str">
        <f>"PFES1162565181_0001"</f>
        <v>PFES1162565181_0001</v>
      </c>
      <c r="L3475" s="10">
        <v>1</v>
      </c>
      <c r="M3475" s="10">
        <v>12</v>
      </c>
    </row>
    <row r="3476" spans="1:13">
      <c r="A3476" s="8">
        <v>42943</v>
      </c>
      <c r="B3476" s="9">
        <v>0.57777777777777783</v>
      </c>
      <c r="C3476" s="10" t="str">
        <f>"FES1162565279"</f>
        <v>FES1162565279</v>
      </c>
      <c r="D3476" s="10" t="s">
        <v>19</v>
      </c>
      <c r="E3476" s="10" t="s">
        <v>451</v>
      </c>
      <c r="F3476" s="10" t="str">
        <f>"2170581773 "</f>
        <v xml:space="preserve">2170581773 </v>
      </c>
      <c r="G3476" s="10" t="str">
        <f t="shared" si="153"/>
        <v>ON1</v>
      </c>
      <c r="H3476" s="10" t="s">
        <v>21</v>
      </c>
      <c r="I3476" s="10" t="s">
        <v>66</v>
      </c>
      <c r="J3476" s="10" t="str">
        <f>""</f>
        <v/>
      </c>
      <c r="K3476" s="10" t="str">
        <f>"PFES1162565279_0001"</f>
        <v>PFES1162565279_0001</v>
      </c>
      <c r="L3476" s="10">
        <v>1</v>
      </c>
      <c r="M3476" s="10">
        <v>2</v>
      </c>
    </row>
    <row r="3477" spans="1:13">
      <c r="A3477" s="8">
        <v>42943</v>
      </c>
      <c r="B3477" s="9">
        <v>0.57777777777777783</v>
      </c>
      <c r="C3477" s="10" t="str">
        <f>"FES1162565314"</f>
        <v>FES1162565314</v>
      </c>
      <c r="D3477" s="10" t="s">
        <v>19</v>
      </c>
      <c r="E3477" s="10" t="s">
        <v>595</v>
      </c>
      <c r="F3477" s="10" t="str">
        <f>"2170581820 "</f>
        <v xml:space="preserve">2170581820 </v>
      </c>
      <c r="G3477" s="10" t="str">
        <f t="shared" si="153"/>
        <v>ON1</v>
      </c>
      <c r="H3477" s="10" t="s">
        <v>21</v>
      </c>
      <c r="I3477" s="10" t="s">
        <v>179</v>
      </c>
      <c r="J3477" s="10" t="str">
        <f>""</f>
        <v/>
      </c>
      <c r="K3477" s="10" t="str">
        <f>"PFES1162565314_0001"</f>
        <v>PFES1162565314_0001</v>
      </c>
      <c r="L3477" s="10">
        <v>1</v>
      </c>
      <c r="M3477" s="10">
        <v>1</v>
      </c>
    </row>
    <row r="3478" spans="1:13">
      <c r="A3478" s="8">
        <v>42943</v>
      </c>
      <c r="B3478" s="9">
        <v>0.57638888888888895</v>
      </c>
      <c r="C3478" s="10" t="str">
        <f>"FES1162565281"</f>
        <v>FES1162565281</v>
      </c>
      <c r="D3478" s="10" t="s">
        <v>19</v>
      </c>
      <c r="E3478" s="10" t="s">
        <v>33</v>
      </c>
      <c r="F3478" s="10" t="str">
        <f>"2170581777 "</f>
        <v xml:space="preserve">2170581777 </v>
      </c>
      <c r="G3478" s="10" t="str">
        <f t="shared" si="153"/>
        <v>ON1</v>
      </c>
      <c r="H3478" s="10" t="s">
        <v>21</v>
      </c>
      <c r="I3478" s="10" t="s">
        <v>34</v>
      </c>
      <c r="J3478" s="10" t="str">
        <f>""</f>
        <v/>
      </c>
      <c r="K3478" s="10" t="str">
        <f>"PFES1162565281_0001"</f>
        <v>PFES1162565281_0001</v>
      </c>
      <c r="L3478" s="10">
        <v>1</v>
      </c>
      <c r="M3478" s="10">
        <v>1</v>
      </c>
    </row>
    <row r="3479" spans="1:13">
      <c r="A3479" s="8">
        <v>42943</v>
      </c>
      <c r="B3479" s="9">
        <v>0.57500000000000007</v>
      </c>
      <c r="C3479" s="10" t="str">
        <f>"FES1162565296"</f>
        <v>FES1162565296</v>
      </c>
      <c r="D3479" s="10" t="s">
        <v>19</v>
      </c>
      <c r="E3479" s="10" t="s">
        <v>164</v>
      </c>
      <c r="F3479" s="10" t="str">
        <f>"2170575439 "</f>
        <v xml:space="preserve">2170575439 </v>
      </c>
      <c r="G3479" s="10" t="str">
        <f t="shared" si="153"/>
        <v>ON1</v>
      </c>
      <c r="H3479" s="10" t="s">
        <v>21</v>
      </c>
      <c r="I3479" s="10" t="s">
        <v>147</v>
      </c>
      <c r="J3479" s="10" t="str">
        <f>""</f>
        <v/>
      </c>
      <c r="K3479" s="10" t="str">
        <f>"PFES1162565296_0001"</f>
        <v>PFES1162565296_0001</v>
      </c>
      <c r="L3479" s="10">
        <v>2</v>
      </c>
      <c r="M3479" s="10">
        <v>11</v>
      </c>
    </row>
    <row r="3480" spans="1:13">
      <c r="A3480" s="8">
        <v>42943</v>
      </c>
      <c r="B3480" s="9">
        <v>0.57500000000000007</v>
      </c>
      <c r="C3480" s="10" t="str">
        <f>"FES1162565296"</f>
        <v>FES1162565296</v>
      </c>
      <c r="D3480" s="10" t="s">
        <v>19</v>
      </c>
      <c r="E3480" s="10" t="s">
        <v>164</v>
      </c>
      <c r="F3480" s="10" t="str">
        <f>"2170575439 "</f>
        <v xml:space="preserve">2170575439 </v>
      </c>
      <c r="G3480" s="10" t="str">
        <f t="shared" si="153"/>
        <v>ON1</v>
      </c>
      <c r="H3480" s="10" t="s">
        <v>21</v>
      </c>
      <c r="I3480" s="10" t="s">
        <v>147</v>
      </c>
      <c r="J3480" s="10"/>
      <c r="K3480" s="10" t="str">
        <f>"PFES1162565296_0002"</f>
        <v>PFES1162565296_0002</v>
      </c>
      <c r="L3480" s="10">
        <v>2</v>
      </c>
      <c r="M3480" s="10">
        <v>11</v>
      </c>
    </row>
    <row r="3481" spans="1:13">
      <c r="A3481" s="8">
        <v>42943</v>
      </c>
      <c r="B3481" s="9">
        <v>0.57361111111111118</v>
      </c>
      <c r="C3481" s="10" t="str">
        <f>"FES1162565322"</f>
        <v>FES1162565322</v>
      </c>
      <c r="D3481" s="10" t="s">
        <v>19</v>
      </c>
      <c r="E3481" s="10" t="s">
        <v>339</v>
      </c>
      <c r="F3481" s="10" t="str">
        <f>"2170572034 "</f>
        <v xml:space="preserve">2170572034 </v>
      </c>
      <c r="G3481" s="10" t="str">
        <f>"ON1"</f>
        <v>ON1</v>
      </c>
      <c r="H3481" s="10" t="s">
        <v>21</v>
      </c>
      <c r="I3481" s="10" t="s">
        <v>340</v>
      </c>
      <c r="J3481" s="10" t="str">
        <f>""</f>
        <v/>
      </c>
      <c r="K3481" s="10" t="str">
        <f>"PFES1162565322_0001"</f>
        <v>PFES1162565322_0001</v>
      </c>
      <c r="L3481" s="10">
        <v>2</v>
      </c>
      <c r="M3481" s="10">
        <v>17</v>
      </c>
    </row>
    <row r="3482" spans="1:13">
      <c r="A3482" s="8">
        <v>42943</v>
      </c>
      <c r="B3482" s="9">
        <v>0.57361111111111118</v>
      </c>
      <c r="C3482" s="10" t="str">
        <f>"FES1162565322"</f>
        <v>FES1162565322</v>
      </c>
      <c r="D3482" s="10" t="s">
        <v>19</v>
      </c>
      <c r="E3482" s="10" t="s">
        <v>339</v>
      </c>
      <c r="F3482" s="10" t="str">
        <f>"2170572034 "</f>
        <v xml:space="preserve">2170572034 </v>
      </c>
      <c r="G3482" s="10" t="str">
        <f>"ON1"</f>
        <v>ON1</v>
      </c>
      <c r="H3482" s="10" t="s">
        <v>21</v>
      </c>
      <c r="I3482" s="10" t="s">
        <v>340</v>
      </c>
      <c r="J3482" s="10"/>
      <c r="K3482" s="10" t="str">
        <f>"PFES1162565322_0002"</f>
        <v>PFES1162565322_0002</v>
      </c>
      <c r="L3482" s="10">
        <v>2</v>
      </c>
      <c r="M3482" s="10">
        <v>17</v>
      </c>
    </row>
    <row r="3483" spans="1:13">
      <c r="A3483" s="8">
        <v>42943</v>
      </c>
      <c r="B3483" s="9">
        <v>0.57152777777777775</v>
      </c>
      <c r="C3483" s="10" t="str">
        <f>"FES1162565295"</f>
        <v>FES1162565295</v>
      </c>
      <c r="D3483" s="10" t="s">
        <v>19</v>
      </c>
      <c r="E3483" s="10" t="s">
        <v>129</v>
      </c>
      <c r="F3483" s="10" t="str">
        <f>"2170574854 "</f>
        <v xml:space="preserve">2170574854 </v>
      </c>
      <c r="G3483" s="10" t="str">
        <f>"ON1"</f>
        <v>ON1</v>
      </c>
      <c r="H3483" s="10" t="s">
        <v>21</v>
      </c>
      <c r="I3483" s="10" t="s">
        <v>130</v>
      </c>
      <c r="J3483" s="10" t="str">
        <f>""</f>
        <v/>
      </c>
      <c r="K3483" s="10" t="str">
        <f>"PFES1162565295_0001"</f>
        <v>PFES1162565295_0001</v>
      </c>
      <c r="L3483" s="10">
        <v>1</v>
      </c>
      <c r="M3483" s="10">
        <v>1</v>
      </c>
    </row>
    <row r="3484" spans="1:13">
      <c r="A3484" s="8">
        <v>42943</v>
      </c>
      <c r="B3484" s="9">
        <v>0.5708333333333333</v>
      </c>
      <c r="C3484" s="10" t="str">
        <f>"FES1162565302"</f>
        <v>FES1162565302</v>
      </c>
      <c r="D3484" s="10" t="s">
        <v>19</v>
      </c>
      <c r="E3484" s="10" t="s">
        <v>1182</v>
      </c>
      <c r="F3484" s="10" t="str">
        <f>"2170577782 "</f>
        <v xml:space="preserve">2170577782 </v>
      </c>
      <c r="G3484" s="10" t="str">
        <f>"ON1"</f>
        <v>ON1</v>
      </c>
      <c r="H3484" s="10" t="s">
        <v>21</v>
      </c>
      <c r="I3484" s="10" t="s">
        <v>876</v>
      </c>
      <c r="J3484" s="10" t="str">
        <f>""</f>
        <v/>
      </c>
      <c r="K3484" s="10" t="str">
        <f>"PFES1162565302_0001"</f>
        <v>PFES1162565302_0001</v>
      </c>
      <c r="L3484" s="10">
        <v>1</v>
      </c>
      <c r="M3484" s="10">
        <v>7</v>
      </c>
    </row>
    <row r="3485" spans="1:13">
      <c r="A3485" s="8">
        <v>42943</v>
      </c>
      <c r="B3485" s="9">
        <v>0.56944444444444442</v>
      </c>
      <c r="C3485" s="10" t="str">
        <f>"FES1162565294"</f>
        <v>FES1162565294</v>
      </c>
      <c r="D3485" s="10" t="s">
        <v>19</v>
      </c>
      <c r="E3485" s="10" t="s">
        <v>184</v>
      </c>
      <c r="F3485" s="10" t="str">
        <f>"21705850 "</f>
        <v xml:space="preserve">21705850 </v>
      </c>
      <c r="G3485" s="10" t="str">
        <f>"ON1"</f>
        <v>ON1</v>
      </c>
      <c r="H3485" s="10" t="s">
        <v>21</v>
      </c>
      <c r="I3485" s="10" t="s">
        <v>185</v>
      </c>
      <c r="J3485" s="10" t="str">
        <f>""</f>
        <v/>
      </c>
      <c r="K3485" s="10" t="str">
        <f>"PFES1162565294_0001"</f>
        <v>PFES1162565294_0001</v>
      </c>
      <c r="L3485" s="10">
        <v>1</v>
      </c>
      <c r="M3485" s="10">
        <v>6</v>
      </c>
    </row>
    <row r="3486" spans="1:13">
      <c r="A3486" s="8">
        <v>42943</v>
      </c>
      <c r="B3486" s="9">
        <v>0.56874999999999998</v>
      </c>
      <c r="C3486" s="10" t="str">
        <f>"FES1162565303"</f>
        <v>FES1162565303</v>
      </c>
      <c r="D3486" s="10" t="s">
        <v>19</v>
      </c>
      <c r="E3486" s="10" t="s">
        <v>436</v>
      </c>
      <c r="F3486" s="10" t="str">
        <f>"2170577947 "</f>
        <v xml:space="preserve">2170577947 </v>
      </c>
      <c r="G3486" s="10" t="str">
        <f>"DBC"</f>
        <v>DBC</v>
      </c>
      <c r="H3486" s="10" t="s">
        <v>21</v>
      </c>
      <c r="I3486" s="10" t="s">
        <v>252</v>
      </c>
      <c r="J3486" s="10" t="str">
        <f>""</f>
        <v/>
      </c>
      <c r="K3486" s="10" t="str">
        <f>"PFES1162565303_0001"</f>
        <v>PFES1162565303_0001</v>
      </c>
      <c r="L3486" s="10">
        <v>1</v>
      </c>
      <c r="M3486" s="10">
        <v>39</v>
      </c>
    </row>
    <row r="3487" spans="1:13">
      <c r="A3487" s="8">
        <v>42943</v>
      </c>
      <c r="B3487" s="9">
        <v>0.56805555555555554</v>
      </c>
      <c r="C3487" s="10" t="str">
        <f>"FES1162565299"</f>
        <v>FES1162565299</v>
      </c>
      <c r="D3487" s="10" t="s">
        <v>19</v>
      </c>
      <c r="E3487" s="10" t="s">
        <v>25</v>
      </c>
      <c r="F3487" s="10" t="str">
        <f>"2170576284 "</f>
        <v xml:space="preserve">2170576284 </v>
      </c>
      <c r="G3487" s="10" t="str">
        <f t="shared" ref="G3487:G3517" si="154">"ON1"</f>
        <v>ON1</v>
      </c>
      <c r="H3487" s="10" t="s">
        <v>21</v>
      </c>
      <c r="I3487" s="10" t="s">
        <v>26</v>
      </c>
      <c r="J3487" s="10" t="str">
        <f>""</f>
        <v/>
      </c>
      <c r="K3487" s="10" t="str">
        <f>"PFES1162565299_0001"</f>
        <v>PFES1162565299_0001</v>
      </c>
      <c r="L3487" s="10">
        <v>1</v>
      </c>
      <c r="M3487" s="10">
        <v>9</v>
      </c>
    </row>
    <row r="3488" spans="1:13">
      <c r="A3488" s="8">
        <v>42943</v>
      </c>
      <c r="B3488" s="9">
        <v>0.56736111111111109</v>
      </c>
      <c r="C3488" s="10" t="str">
        <f>"FES1162565243"</f>
        <v>FES1162565243</v>
      </c>
      <c r="D3488" s="10" t="s">
        <v>19</v>
      </c>
      <c r="E3488" s="10" t="s">
        <v>1183</v>
      </c>
      <c r="F3488" s="10" t="str">
        <f>"2170581699 "</f>
        <v xml:space="preserve">2170581699 </v>
      </c>
      <c r="G3488" s="10" t="str">
        <f t="shared" si="154"/>
        <v>ON1</v>
      </c>
      <c r="H3488" s="10" t="s">
        <v>21</v>
      </c>
      <c r="I3488" s="10" t="s">
        <v>174</v>
      </c>
      <c r="J3488" s="10" t="str">
        <f>""</f>
        <v/>
      </c>
      <c r="K3488" s="10" t="str">
        <f>"PFES1162565243_0001"</f>
        <v>PFES1162565243_0001</v>
      </c>
      <c r="L3488" s="10">
        <v>1</v>
      </c>
      <c r="M3488" s="10">
        <v>3</v>
      </c>
    </row>
    <row r="3489" spans="1:13">
      <c r="A3489" s="8">
        <v>42943</v>
      </c>
      <c r="B3489" s="9">
        <v>0.56736111111111109</v>
      </c>
      <c r="C3489" s="10" t="str">
        <f>"FES1162565297"</f>
        <v>FES1162565297</v>
      </c>
      <c r="D3489" s="10" t="s">
        <v>19</v>
      </c>
      <c r="E3489" s="10" t="s">
        <v>1184</v>
      </c>
      <c r="F3489" s="10" t="str">
        <f>"21705877 "</f>
        <v xml:space="preserve">21705877 </v>
      </c>
      <c r="G3489" s="10" t="str">
        <f t="shared" si="154"/>
        <v>ON1</v>
      </c>
      <c r="H3489" s="10" t="s">
        <v>21</v>
      </c>
      <c r="I3489" s="10" t="s">
        <v>300</v>
      </c>
      <c r="J3489" s="10" t="str">
        <f>""</f>
        <v/>
      </c>
      <c r="K3489" s="10" t="str">
        <f>"PFES1162565297_0001"</f>
        <v>PFES1162565297_0001</v>
      </c>
      <c r="L3489" s="10">
        <v>1</v>
      </c>
      <c r="M3489" s="10">
        <v>8</v>
      </c>
    </row>
    <row r="3490" spans="1:13">
      <c r="A3490" s="8">
        <v>42943</v>
      </c>
      <c r="B3490" s="9">
        <v>0.56666666666666665</v>
      </c>
      <c r="C3490" s="10" t="str">
        <f>"FES1162565311"</f>
        <v>FES1162565311</v>
      </c>
      <c r="D3490" s="10" t="s">
        <v>19</v>
      </c>
      <c r="E3490" s="10" t="s">
        <v>165</v>
      </c>
      <c r="F3490" s="10" t="str">
        <f>"2170574791 "</f>
        <v xml:space="preserve">2170574791 </v>
      </c>
      <c r="G3490" s="10" t="str">
        <f t="shared" si="154"/>
        <v>ON1</v>
      </c>
      <c r="H3490" s="10" t="s">
        <v>21</v>
      </c>
      <c r="I3490" s="10" t="s">
        <v>166</v>
      </c>
      <c r="J3490" s="10" t="str">
        <f>""</f>
        <v/>
      </c>
      <c r="K3490" s="10" t="str">
        <f>"PFES1162565311_0001"</f>
        <v>PFES1162565311_0001</v>
      </c>
      <c r="L3490" s="10">
        <v>1</v>
      </c>
      <c r="M3490" s="10">
        <v>14</v>
      </c>
    </row>
    <row r="3491" spans="1:13">
      <c r="A3491" s="8">
        <v>42943</v>
      </c>
      <c r="B3491" s="9">
        <v>0.56527777777777777</v>
      </c>
      <c r="C3491" s="10" t="str">
        <f>"FES1162564912"</f>
        <v>FES1162564912</v>
      </c>
      <c r="D3491" s="10" t="s">
        <v>19</v>
      </c>
      <c r="E3491" s="10" t="s">
        <v>99</v>
      </c>
      <c r="F3491" s="10" t="str">
        <f>"2170581065 "</f>
        <v xml:space="preserve">2170581065 </v>
      </c>
      <c r="G3491" s="10" t="str">
        <f t="shared" si="154"/>
        <v>ON1</v>
      </c>
      <c r="H3491" s="10" t="s">
        <v>21</v>
      </c>
      <c r="I3491" s="10" t="s">
        <v>100</v>
      </c>
      <c r="J3491" s="10" t="str">
        <f>""</f>
        <v/>
      </c>
      <c r="K3491" s="10" t="str">
        <f>"PFES1162564912_0001"</f>
        <v>PFES1162564912_0001</v>
      </c>
      <c r="L3491" s="10">
        <v>1</v>
      </c>
      <c r="M3491" s="10">
        <v>1</v>
      </c>
    </row>
    <row r="3492" spans="1:13">
      <c r="A3492" s="8">
        <v>42943</v>
      </c>
      <c r="B3492" s="9">
        <v>0.56527777777777777</v>
      </c>
      <c r="C3492" s="10" t="str">
        <f>"FES1162565258"</f>
        <v>FES1162565258</v>
      </c>
      <c r="D3492" s="10" t="s">
        <v>19</v>
      </c>
      <c r="E3492" s="10" t="s">
        <v>866</v>
      </c>
      <c r="F3492" s="10" t="str">
        <f>"2170580593 "</f>
        <v xml:space="preserve">2170580593 </v>
      </c>
      <c r="G3492" s="10" t="str">
        <f t="shared" si="154"/>
        <v>ON1</v>
      </c>
      <c r="H3492" s="10" t="s">
        <v>21</v>
      </c>
      <c r="I3492" s="10" t="s">
        <v>364</v>
      </c>
      <c r="J3492" s="10" t="str">
        <f>""</f>
        <v/>
      </c>
      <c r="K3492" s="10" t="str">
        <f>"PFES1162565258_0001"</f>
        <v>PFES1162565258_0001</v>
      </c>
      <c r="L3492" s="10">
        <v>1</v>
      </c>
      <c r="M3492" s="10">
        <v>1</v>
      </c>
    </row>
    <row r="3493" spans="1:13">
      <c r="A3493" s="8">
        <v>42943</v>
      </c>
      <c r="B3493" s="9">
        <v>0.56458333333333333</v>
      </c>
      <c r="C3493" s="10" t="str">
        <f>"FES1162565173"</f>
        <v>FES1162565173</v>
      </c>
      <c r="D3493" s="10" t="s">
        <v>19</v>
      </c>
      <c r="E3493" s="10" t="s">
        <v>802</v>
      </c>
      <c r="F3493" s="10" t="str">
        <f>"217059881 "</f>
        <v xml:space="preserve">217059881 </v>
      </c>
      <c r="G3493" s="10" t="str">
        <f t="shared" si="154"/>
        <v>ON1</v>
      </c>
      <c r="H3493" s="10" t="s">
        <v>21</v>
      </c>
      <c r="I3493" s="10" t="s">
        <v>92</v>
      </c>
      <c r="J3493" s="10" t="str">
        <f>""</f>
        <v/>
      </c>
      <c r="K3493" s="10" t="str">
        <f>"PFES1162565173_0001"</f>
        <v>PFES1162565173_0001</v>
      </c>
      <c r="L3493" s="10">
        <v>1</v>
      </c>
      <c r="M3493" s="10">
        <v>1</v>
      </c>
    </row>
    <row r="3494" spans="1:13">
      <c r="A3494" s="8">
        <v>42943</v>
      </c>
      <c r="B3494" s="9">
        <v>0.56458333333333333</v>
      </c>
      <c r="C3494" s="10" t="str">
        <f>"FES1162565176"</f>
        <v>FES1162565176</v>
      </c>
      <c r="D3494" s="10" t="s">
        <v>19</v>
      </c>
      <c r="E3494" s="10" t="s">
        <v>1164</v>
      </c>
      <c r="F3494" s="10" t="str">
        <f>"2170581600 "</f>
        <v xml:space="preserve">2170581600 </v>
      </c>
      <c r="G3494" s="10" t="str">
        <f t="shared" si="154"/>
        <v>ON1</v>
      </c>
      <c r="H3494" s="10" t="s">
        <v>21</v>
      </c>
      <c r="I3494" s="10" t="s">
        <v>1165</v>
      </c>
      <c r="J3494" s="10" t="str">
        <f>""</f>
        <v/>
      </c>
      <c r="K3494" s="10" t="str">
        <f>"PFES1162565176_0001"</f>
        <v>PFES1162565176_0001</v>
      </c>
      <c r="L3494" s="10">
        <v>1</v>
      </c>
      <c r="M3494" s="10">
        <v>1</v>
      </c>
    </row>
    <row r="3495" spans="1:13">
      <c r="A3495" s="8">
        <v>42943</v>
      </c>
      <c r="B3495" s="9">
        <v>0.56388888888888888</v>
      </c>
      <c r="C3495" s="10" t="str">
        <f>"FES1162565178"</f>
        <v>FES1162565178</v>
      </c>
      <c r="D3495" s="10" t="s">
        <v>19</v>
      </c>
      <c r="E3495" s="10" t="s">
        <v>672</v>
      </c>
      <c r="F3495" s="10" t="str">
        <f>"2170581604 "</f>
        <v xml:space="preserve">2170581604 </v>
      </c>
      <c r="G3495" s="10" t="str">
        <f t="shared" si="154"/>
        <v>ON1</v>
      </c>
      <c r="H3495" s="10" t="s">
        <v>21</v>
      </c>
      <c r="I3495" s="10" t="s">
        <v>673</v>
      </c>
      <c r="J3495" s="10" t="str">
        <f>""</f>
        <v/>
      </c>
      <c r="K3495" s="10" t="str">
        <f>"PFES1162565178_0001"</f>
        <v>PFES1162565178_0001</v>
      </c>
      <c r="L3495" s="10">
        <v>1</v>
      </c>
      <c r="M3495" s="10">
        <v>1</v>
      </c>
    </row>
    <row r="3496" spans="1:13">
      <c r="A3496" s="8">
        <v>42943</v>
      </c>
      <c r="B3496" s="9">
        <v>0.56388888888888888</v>
      </c>
      <c r="C3496" s="10" t="str">
        <f>"FES1162565150"</f>
        <v>FES1162565150</v>
      </c>
      <c r="D3496" s="10" t="s">
        <v>19</v>
      </c>
      <c r="E3496" s="10" t="s">
        <v>33</v>
      </c>
      <c r="F3496" s="10" t="str">
        <f>"2170581594 "</f>
        <v xml:space="preserve">2170581594 </v>
      </c>
      <c r="G3496" s="10" t="str">
        <f t="shared" si="154"/>
        <v>ON1</v>
      </c>
      <c r="H3496" s="10" t="s">
        <v>21</v>
      </c>
      <c r="I3496" s="10" t="s">
        <v>34</v>
      </c>
      <c r="J3496" s="10" t="str">
        <f>""</f>
        <v/>
      </c>
      <c r="K3496" s="10" t="str">
        <f>"PFES1162565150_0001"</f>
        <v>PFES1162565150_0001</v>
      </c>
      <c r="L3496" s="10">
        <v>1</v>
      </c>
      <c r="M3496" s="10">
        <v>1</v>
      </c>
    </row>
    <row r="3497" spans="1:13">
      <c r="A3497" s="8">
        <v>42943</v>
      </c>
      <c r="B3497" s="9">
        <v>0.56319444444444444</v>
      </c>
      <c r="C3497" s="10" t="str">
        <f>"FES1162565180"</f>
        <v>FES1162565180</v>
      </c>
      <c r="D3497" s="10" t="s">
        <v>19</v>
      </c>
      <c r="E3497" s="10" t="s">
        <v>95</v>
      </c>
      <c r="F3497" s="10" t="str">
        <f>"2170581605 "</f>
        <v xml:space="preserve">2170581605 </v>
      </c>
      <c r="G3497" s="10" t="str">
        <f t="shared" si="154"/>
        <v>ON1</v>
      </c>
      <c r="H3497" s="10" t="s">
        <v>21</v>
      </c>
      <c r="I3497" s="10" t="s">
        <v>84</v>
      </c>
      <c r="J3497" s="10" t="str">
        <f>""</f>
        <v/>
      </c>
      <c r="K3497" s="10" t="str">
        <f>"PFES1162565180_0001"</f>
        <v>PFES1162565180_0001</v>
      </c>
      <c r="L3497" s="10">
        <v>1</v>
      </c>
      <c r="M3497" s="10">
        <v>1</v>
      </c>
    </row>
    <row r="3498" spans="1:13">
      <c r="A3498" s="8">
        <v>42943</v>
      </c>
      <c r="B3498" s="9">
        <v>0.56319444444444444</v>
      </c>
      <c r="C3498" s="10" t="str">
        <f>"FES1162565194"</f>
        <v>FES1162565194</v>
      </c>
      <c r="D3498" s="10" t="s">
        <v>19</v>
      </c>
      <c r="E3498" s="10" t="s">
        <v>860</v>
      </c>
      <c r="F3498" s="10" t="str">
        <f>"2170581290 "</f>
        <v xml:space="preserve">2170581290 </v>
      </c>
      <c r="G3498" s="10" t="str">
        <f t="shared" si="154"/>
        <v>ON1</v>
      </c>
      <c r="H3498" s="10" t="s">
        <v>21</v>
      </c>
      <c r="I3498" s="10" t="s">
        <v>217</v>
      </c>
      <c r="J3498" s="10" t="str">
        <f>""</f>
        <v/>
      </c>
      <c r="K3498" s="10" t="str">
        <f>"PFES1162565194_0001"</f>
        <v>PFES1162565194_0001</v>
      </c>
      <c r="L3498" s="10">
        <v>1</v>
      </c>
      <c r="M3498" s="10">
        <v>1</v>
      </c>
    </row>
    <row r="3499" spans="1:13">
      <c r="A3499" s="8">
        <v>42943</v>
      </c>
      <c r="B3499" s="9">
        <v>0.56319444444444444</v>
      </c>
      <c r="C3499" s="10" t="str">
        <f>"FES1162565215"</f>
        <v>FES1162565215</v>
      </c>
      <c r="D3499" s="10" t="s">
        <v>19</v>
      </c>
      <c r="E3499" s="10" t="s">
        <v>210</v>
      </c>
      <c r="F3499" s="10" t="str">
        <f>"2170581660 "</f>
        <v xml:space="preserve">2170581660 </v>
      </c>
      <c r="G3499" s="10" t="str">
        <f t="shared" si="154"/>
        <v>ON1</v>
      </c>
      <c r="H3499" s="10" t="s">
        <v>21</v>
      </c>
      <c r="I3499" s="10" t="s">
        <v>32</v>
      </c>
      <c r="J3499" s="10" t="str">
        <f>""</f>
        <v/>
      </c>
      <c r="K3499" s="10" t="str">
        <f>"PFES1162565215_0001"</f>
        <v>PFES1162565215_0001</v>
      </c>
      <c r="L3499" s="10">
        <v>1</v>
      </c>
      <c r="M3499" s="10">
        <v>1</v>
      </c>
    </row>
    <row r="3500" spans="1:13">
      <c r="A3500" s="8">
        <v>42943</v>
      </c>
      <c r="B3500" s="9">
        <v>0.5625</v>
      </c>
      <c r="C3500" s="10" t="str">
        <f>"FES1162565211"</f>
        <v>FES1162565211</v>
      </c>
      <c r="D3500" s="10" t="s">
        <v>19</v>
      </c>
      <c r="E3500" s="10" t="s">
        <v>99</v>
      </c>
      <c r="F3500" s="10" t="str">
        <f>"2170581650 "</f>
        <v xml:space="preserve">2170581650 </v>
      </c>
      <c r="G3500" s="10" t="str">
        <f t="shared" si="154"/>
        <v>ON1</v>
      </c>
      <c r="H3500" s="10" t="s">
        <v>21</v>
      </c>
      <c r="I3500" s="10" t="s">
        <v>100</v>
      </c>
      <c r="J3500" s="10" t="str">
        <f>""</f>
        <v/>
      </c>
      <c r="K3500" s="10" t="str">
        <f>"PFES1162565211_0001"</f>
        <v>PFES1162565211_0001</v>
      </c>
      <c r="L3500" s="10">
        <v>1</v>
      </c>
      <c r="M3500" s="10">
        <v>1</v>
      </c>
    </row>
    <row r="3501" spans="1:13">
      <c r="A3501" s="8">
        <v>42943</v>
      </c>
      <c r="B3501" s="9">
        <v>0.5625</v>
      </c>
      <c r="C3501" s="10" t="str">
        <f>"FES1162565212"</f>
        <v>FES1162565212</v>
      </c>
      <c r="D3501" s="10" t="s">
        <v>19</v>
      </c>
      <c r="E3501" s="10" t="s">
        <v>880</v>
      </c>
      <c r="F3501" s="10" t="str">
        <f>"21705814651 "</f>
        <v xml:space="preserve">21705814651 </v>
      </c>
      <c r="G3501" s="10" t="str">
        <f t="shared" si="154"/>
        <v>ON1</v>
      </c>
      <c r="H3501" s="10" t="s">
        <v>21</v>
      </c>
      <c r="I3501" s="10" t="s">
        <v>32</v>
      </c>
      <c r="J3501" s="10" t="str">
        <f>""</f>
        <v/>
      </c>
      <c r="K3501" s="10" t="str">
        <f>"PFES1162565212_0001"</f>
        <v>PFES1162565212_0001</v>
      </c>
      <c r="L3501" s="10">
        <v>1</v>
      </c>
      <c r="M3501" s="10">
        <v>1</v>
      </c>
    </row>
    <row r="3502" spans="1:13">
      <c r="A3502" s="8">
        <v>42943</v>
      </c>
      <c r="B3502" s="9">
        <v>0.56180555555555556</v>
      </c>
      <c r="C3502" s="10" t="str">
        <f>"FES1162565201"</f>
        <v>FES1162565201</v>
      </c>
      <c r="D3502" s="10" t="s">
        <v>19</v>
      </c>
      <c r="E3502" s="10" t="s">
        <v>33</v>
      </c>
      <c r="F3502" s="10" t="str">
        <f>"2170581624 "</f>
        <v xml:space="preserve">2170581624 </v>
      </c>
      <c r="G3502" s="10" t="str">
        <f t="shared" si="154"/>
        <v>ON1</v>
      </c>
      <c r="H3502" s="10" t="s">
        <v>21</v>
      </c>
      <c r="I3502" s="10" t="s">
        <v>34</v>
      </c>
      <c r="J3502" s="10" t="str">
        <f>""</f>
        <v/>
      </c>
      <c r="K3502" s="10" t="str">
        <f>"PFES1162565201_0001"</f>
        <v>PFES1162565201_0001</v>
      </c>
      <c r="L3502" s="10">
        <v>1</v>
      </c>
      <c r="M3502" s="10">
        <v>1</v>
      </c>
    </row>
    <row r="3503" spans="1:13">
      <c r="A3503" s="8">
        <v>42943</v>
      </c>
      <c r="B3503" s="9">
        <v>0.56180555555555556</v>
      </c>
      <c r="C3503" s="10" t="str">
        <f>"FES1162564880"</f>
        <v>FES1162564880</v>
      </c>
      <c r="D3503" s="10" t="s">
        <v>19</v>
      </c>
      <c r="E3503" s="10" t="s">
        <v>99</v>
      </c>
      <c r="F3503" s="10" t="str">
        <f>"2170579350 "</f>
        <v xml:space="preserve">2170579350 </v>
      </c>
      <c r="G3503" s="10" t="str">
        <f t="shared" si="154"/>
        <v>ON1</v>
      </c>
      <c r="H3503" s="10" t="s">
        <v>21</v>
      </c>
      <c r="I3503" s="10" t="s">
        <v>100</v>
      </c>
      <c r="J3503" s="10" t="str">
        <f>""</f>
        <v/>
      </c>
      <c r="K3503" s="10" t="str">
        <f>"PFES1162564880_0001"</f>
        <v>PFES1162564880_0001</v>
      </c>
      <c r="L3503" s="10">
        <v>1</v>
      </c>
      <c r="M3503" s="10">
        <v>1</v>
      </c>
    </row>
    <row r="3504" spans="1:13">
      <c r="A3504" s="8">
        <v>42943</v>
      </c>
      <c r="B3504" s="9">
        <v>0.56180555555555556</v>
      </c>
      <c r="C3504" s="10" t="str">
        <f>"FES1162565169"</f>
        <v>FES1162565169</v>
      </c>
      <c r="D3504" s="10" t="s">
        <v>19</v>
      </c>
      <c r="E3504" s="10" t="s">
        <v>378</v>
      </c>
      <c r="F3504" s="10" t="str">
        <f>"217059533 "</f>
        <v xml:space="preserve">217059533 </v>
      </c>
      <c r="G3504" s="10" t="str">
        <f t="shared" si="154"/>
        <v>ON1</v>
      </c>
      <c r="H3504" s="10" t="s">
        <v>21</v>
      </c>
      <c r="I3504" s="10" t="s">
        <v>36</v>
      </c>
      <c r="J3504" s="10" t="str">
        <f>""</f>
        <v/>
      </c>
      <c r="K3504" s="10" t="str">
        <f>"PFES1162565169_0001"</f>
        <v>PFES1162565169_0001</v>
      </c>
      <c r="L3504" s="10">
        <v>1</v>
      </c>
      <c r="M3504" s="10">
        <v>4</v>
      </c>
    </row>
    <row r="3505" spans="1:13">
      <c r="A3505" s="8">
        <v>42943</v>
      </c>
      <c r="B3505" s="9">
        <v>0.56111111111111112</v>
      </c>
      <c r="C3505" s="10" t="str">
        <f>"FES1162565166"</f>
        <v>FES1162565166</v>
      </c>
      <c r="D3505" s="10" t="s">
        <v>19</v>
      </c>
      <c r="E3505" s="10" t="s">
        <v>220</v>
      </c>
      <c r="F3505" s="10" t="str">
        <f>"2170589335 "</f>
        <v xml:space="preserve">2170589335 </v>
      </c>
      <c r="G3505" s="10" t="str">
        <f t="shared" si="154"/>
        <v>ON1</v>
      </c>
      <c r="H3505" s="10" t="s">
        <v>21</v>
      </c>
      <c r="I3505" s="10" t="s">
        <v>90</v>
      </c>
      <c r="J3505" s="10" t="str">
        <f>""</f>
        <v/>
      </c>
      <c r="K3505" s="10" t="str">
        <f>"PFES1162565166_0001"</f>
        <v>PFES1162565166_0001</v>
      </c>
      <c r="L3505" s="10">
        <v>1</v>
      </c>
      <c r="M3505" s="10">
        <v>4</v>
      </c>
    </row>
    <row r="3506" spans="1:13">
      <c r="A3506" s="8">
        <v>42943</v>
      </c>
      <c r="B3506" s="9">
        <v>0.56041666666666667</v>
      </c>
      <c r="C3506" s="10" t="str">
        <f>"FES1162565278"</f>
        <v>FES1162565278</v>
      </c>
      <c r="D3506" s="10" t="s">
        <v>19</v>
      </c>
      <c r="E3506" s="10" t="s">
        <v>557</v>
      </c>
      <c r="F3506" s="10" t="str">
        <f>"217058415 "</f>
        <v xml:space="preserve">217058415 </v>
      </c>
      <c r="G3506" s="10" t="str">
        <f t="shared" si="154"/>
        <v>ON1</v>
      </c>
      <c r="H3506" s="10" t="s">
        <v>21</v>
      </c>
      <c r="I3506" s="10" t="s">
        <v>558</v>
      </c>
      <c r="J3506" s="10" t="str">
        <f>""</f>
        <v/>
      </c>
      <c r="K3506" s="10" t="str">
        <f>"PFES1162565278_0001"</f>
        <v>PFES1162565278_0001</v>
      </c>
      <c r="L3506" s="10">
        <v>1</v>
      </c>
      <c r="M3506" s="10">
        <v>2</v>
      </c>
    </row>
    <row r="3507" spans="1:13">
      <c r="A3507" s="8">
        <v>42943</v>
      </c>
      <c r="B3507" s="9">
        <v>0.56041666666666667</v>
      </c>
      <c r="C3507" s="10" t="str">
        <f>"FES1162565276"</f>
        <v>FES1162565276</v>
      </c>
      <c r="D3507" s="10" t="s">
        <v>19</v>
      </c>
      <c r="E3507" s="10" t="s">
        <v>1069</v>
      </c>
      <c r="F3507" s="10" t="str">
        <f>"2170581767 "</f>
        <v xml:space="preserve">2170581767 </v>
      </c>
      <c r="G3507" s="10" t="str">
        <f t="shared" si="154"/>
        <v>ON1</v>
      </c>
      <c r="H3507" s="10" t="s">
        <v>21</v>
      </c>
      <c r="I3507" s="10" t="s">
        <v>1070</v>
      </c>
      <c r="J3507" s="10" t="str">
        <f>""</f>
        <v/>
      </c>
      <c r="K3507" s="10" t="str">
        <f>"PFES1162565276_0001"</f>
        <v>PFES1162565276_0001</v>
      </c>
      <c r="L3507" s="10">
        <v>2</v>
      </c>
      <c r="M3507" s="10">
        <v>6</v>
      </c>
    </row>
    <row r="3508" spans="1:13">
      <c r="A3508" s="8">
        <v>42943</v>
      </c>
      <c r="B3508" s="9">
        <v>0.56041666666666667</v>
      </c>
      <c r="C3508" s="10" t="str">
        <f>"FES1162565276"</f>
        <v>FES1162565276</v>
      </c>
      <c r="D3508" s="10" t="s">
        <v>19</v>
      </c>
      <c r="E3508" s="10" t="s">
        <v>1069</v>
      </c>
      <c r="F3508" s="10" t="str">
        <f>"2170581767 "</f>
        <v xml:space="preserve">2170581767 </v>
      </c>
      <c r="G3508" s="10" t="str">
        <f t="shared" si="154"/>
        <v>ON1</v>
      </c>
      <c r="H3508" s="10" t="s">
        <v>21</v>
      </c>
      <c r="I3508" s="10" t="s">
        <v>1070</v>
      </c>
      <c r="J3508" s="10"/>
      <c r="K3508" s="10" t="str">
        <f>"PFES1162565276_0002"</f>
        <v>PFES1162565276_0002</v>
      </c>
      <c r="L3508" s="10">
        <v>2</v>
      </c>
      <c r="M3508" s="10">
        <v>6</v>
      </c>
    </row>
    <row r="3509" spans="1:13">
      <c r="A3509" s="8">
        <v>42943</v>
      </c>
      <c r="B3509" s="9">
        <v>0.55972222222222223</v>
      </c>
      <c r="C3509" s="10" t="str">
        <f>"FES1162565286"</f>
        <v>FES1162565286</v>
      </c>
      <c r="D3509" s="10" t="s">
        <v>19</v>
      </c>
      <c r="E3509" s="10" t="s">
        <v>557</v>
      </c>
      <c r="F3509" s="10" t="str">
        <f>"2170581785 "</f>
        <v xml:space="preserve">2170581785 </v>
      </c>
      <c r="G3509" s="10" t="str">
        <f t="shared" si="154"/>
        <v>ON1</v>
      </c>
      <c r="H3509" s="10" t="s">
        <v>21</v>
      </c>
      <c r="I3509" s="10" t="s">
        <v>558</v>
      </c>
      <c r="J3509" s="10" t="str">
        <f>""</f>
        <v/>
      </c>
      <c r="K3509" s="10" t="str">
        <f>"PFES1162565286_0001"</f>
        <v>PFES1162565286_0001</v>
      </c>
      <c r="L3509" s="10">
        <v>1</v>
      </c>
      <c r="M3509" s="10">
        <v>4</v>
      </c>
    </row>
    <row r="3510" spans="1:13">
      <c r="A3510" s="8">
        <v>42943</v>
      </c>
      <c r="B3510" s="9">
        <v>0.55972222222222223</v>
      </c>
      <c r="C3510" s="10" t="str">
        <f>"FES1162565283"</f>
        <v>FES1162565283</v>
      </c>
      <c r="D3510" s="10" t="s">
        <v>19</v>
      </c>
      <c r="E3510" s="10" t="s">
        <v>1185</v>
      </c>
      <c r="F3510" s="10" t="str">
        <f>"2170581781 "</f>
        <v xml:space="preserve">2170581781 </v>
      </c>
      <c r="G3510" s="10" t="str">
        <f t="shared" si="154"/>
        <v>ON1</v>
      </c>
      <c r="H3510" s="10" t="s">
        <v>21</v>
      </c>
      <c r="I3510" s="10" t="s">
        <v>1186</v>
      </c>
      <c r="J3510" s="10" t="str">
        <f>""</f>
        <v/>
      </c>
      <c r="K3510" s="10" t="str">
        <f>"PFES1162565283_0001"</f>
        <v>PFES1162565283_0001</v>
      </c>
      <c r="L3510" s="10">
        <v>1</v>
      </c>
      <c r="M3510" s="10">
        <v>1</v>
      </c>
    </row>
    <row r="3511" spans="1:13">
      <c r="A3511" s="8">
        <v>42943</v>
      </c>
      <c r="B3511" s="9">
        <v>0.55902777777777779</v>
      </c>
      <c r="C3511" s="10" t="str">
        <f>"FES1162565217"</f>
        <v>FES1162565217</v>
      </c>
      <c r="D3511" s="10" t="s">
        <v>19</v>
      </c>
      <c r="E3511" s="10" t="s">
        <v>1187</v>
      </c>
      <c r="F3511" s="10" t="str">
        <f>"2170581652 "</f>
        <v xml:space="preserve">2170581652 </v>
      </c>
      <c r="G3511" s="10" t="str">
        <f t="shared" si="154"/>
        <v>ON1</v>
      </c>
      <c r="H3511" s="10" t="s">
        <v>21</v>
      </c>
      <c r="I3511" s="10" t="s">
        <v>1188</v>
      </c>
      <c r="J3511" s="10" t="str">
        <f>""</f>
        <v/>
      </c>
      <c r="K3511" s="10" t="str">
        <f>"PFES1162565217_0001"</f>
        <v>PFES1162565217_0001</v>
      </c>
      <c r="L3511" s="10">
        <v>1</v>
      </c>
      <c r="M3511" s="10">
        <v>5</v>
      </c>
    </row>
    <row r="3512" spans="1:13">
      <c r="A3512" s="8">
        <v>42943</v>
      </c>
      <c r="B3512" s="9">
        <v>0.55833333333333335</v>
      </c>
      <c r="C3512" s="10" t="str">
        <f>"FES1162565277"</f>
        <v>FES1162565277</v>
      </c>
      <c r="D3512" s="10" t="s">
        <v>19</v>
      </c>
      <c r="E3512" s="10" t="s">
        <v>133</v>
      </c>
      <c r="F3512" s="10" t="str">
        <f>"2170581771 "</f>
        <v xml:space="preserve">2170581771 </v>
      </c>
      <c r="G3512" s="10" t="str">
        <f t="shared" si="154"/>
        <v>ON1</v>
      </c>
      <c r="H3512" s="10" t="s">
        <v>21</v>
      </c>
      <c r="I3512" s="10" t="s">
        <v>134</v>
      </c>
      <c r="J3512" s="10" t="str">
        <f>""</f>
        <v/>
      </c>
      <c r="K3512" s="10" t="str">
        <f>"PFES1162565277_0001"</f>
        <v>PFES1162565277_0001</v>
      </c>
      <c r="L3512" s="10">
        <v>1</v>
      </c>
      <c r="M3512" s="10">
        <v>1</v>
      </c>
    </row>
    <row r="3513" spans="1:13">
      <c r="A3513" s="8">
        <v>42943</v>
      </c>
      <c r="B3513" s="9">
        <v>0.55833333333333335</v>
      </c>
      <c r="C3513" s="10" t="str">
        <f>"FES1162565280"</f>
        <v>FES1162565280</v>
      </c>
      <c r="D3513" s="10" t="s">
        <v>19</v>
      </c>
      <c r="E3513" s="10" t="s">
        <v>611</v>
      </c>
      <c r="F3513" s="10" t="str">
        <f>"2170581775 "</f>
        <v xml:space="preserve">2170581775 </v>
      </c>
      <c r="G3513" s="10" t="str">
        <f t="shared" si="154"/>
        <v>ON1</v>
      </c>
      <c r="H3513" s="10" t="s">
        <v>21</v>
      </c>
      <c r="I3513" s="10" t="s">
        <v>48</v>
      </c>
      <c r="J3513" s="10" t="str">
        <f>""</f>
        <v/>
      </c>
      <c r="K3513" s="10" t="str">
        <f>"PFES1162565280_0001"</f>
        <v>PFES1162565280_0001</v>
      </c>
      <c r="L3513" s="10">
        <v>1</v>
      </c>
      <c r="M3513" s="10">
        <v>1</v>
      </c>
    </row>
    <row r="3514" spans="1:13">
      <c r="A3514" s="8">
        <v>42943</v>
      </c>
      <c r="B3514" s="9">
        <v>0.55763888888888891</v>
      </c>
      <c r="C3514" s="10" t="str">
        <f>"FES1162565254"</f>
        <v>FES1162565254</v>
      </c>
      <c r="D3514" s="10" t="s">
        <v>19</v>
      </c>
      <c r="E3514" s="10" t="s">
        <v>657</v>
      </c>
      <c r="F3514" s="10" t="str">
        <f>"21705817831 "</f>
        <v xml:space="preserve">21705817831 </v>
      </c>
      <c r="G3514" s="10" t="str">
        <f t="shared" si="154"/>
        <v>ON1</v>
      </c>
      <c r="H3514" s="10" t="s">
        <v>21</v>
      </c>
      <c r="I3514" s="10" t="s">
        <v>90</v>
      </c>
      <c r="J3514" s="10" t="str">
        <f>""</f>
        <v/>
      </c>
      <c r="K3514" s="10" t="str">
        <f>"PFES1162565254_0001"</f>
        <v>PFES1162565254_0001</v>
      </c>
      <c r="L3514" s="10">
        <v>1</v>
      </c>
      <c r="M3514" s="10">
        <v>1</v>
      </c>
    </row>
    <row r="3515" spans="1:13">
      <c r="A3515" s="8">
        <v>42943</v>
      </c>
      <c r="B3515" s="9">
        <v>0.55763888888888891</v>
      </c>
      <c r="C3515" s="10" t="str">
        <f>"FES1162565247"</f>
        <v>FES1162565247</v>
      </c>
      <c r="D3515" s="10" t="s">
        <v>19</v>
      </c>
      <c r="E3515" s="10" t="s">
        <v>87</v>
      </c>
      <c r="F3515" s="10" t="str">
        <f>"2170581705 "</f>
        <v xml:space="preserve">2170581705 </v>
      </c>
      <c r="G3515" s="10" t="str">
        <f t="shared" si="154"/>
        <v>ON1</v>
      </c>
      <c r="H3515" s="10" t="s">
        <v>21</v>
      </c>
      <c r="I3515" s="10" t="s">
        <v>88</v>
      </c>
      <c r="J3515" s="10" t="str">
        <f>""</f>
        <v/>
      </c>
      <c r="K3515" s="10" t="str">
        <f>"PFES1162565247_0001"</f>
        <v>PFES1162565247_0001</v>
      </c>
      <c r="L3515" s="10">
        <v>1</v>
      </c>
      <c r="M3515" s="10">
        <v>1</v>
      </c>
    </row>
    <row r="3516" spans="1:13">
      <c r="A3516" s="8">
        <v>42943</v>
      </c>
      <c r="B3516" s="9">
        <v>0.55763888888888891</v>
      </c>
      <c r="C3516" s="10" t="str">
        <f>"FES1162565177"</f>
        <v>FES1162565177</v>
      </c>
      <c r="D3516" s="10" t="s">
        <v>19</v>
      </c>
      <c r="E3516" s="10" t="s">
        <v>191</v>
      </c>
      <c r="F3516" s="10" t="str">
        <f>"2170581603 "</f>
        <v xml:space="preserve">2170581603 </v>
      </c>
      <c r="G3516" s="10" t="str">
        <f t="shared" si="154"/>
        <v>ON1</v>
      </c>
      <c r="H3516" s="10" t="s">
        <v>21</v>
      </c>
      <c r="I3516" s="10" t="s">
        <v>192</v>
      </c>
      <c r="J3516" s="10" t="str">
        <f>""</f>
        <v/>
      </c>
      <c r="K3516" s="10" t="str">
        <f>"PFES1162565177_0001"</f>
        <v>PFES1162565177_0001</v>
      </c>
      <c r="L3516" s="10">
        <v>1</v>
      </c>
      <c r="M3516" s="10">
        <v>1</v>
      </c>
    </row>
    <row r="3517" spans="1:13">
      <c r="A3517" s="8">
        <v>42943</v>
      </c>
      <c r="B3517" s="9">
        <v>0.55694444444444446</v>
      </c>
      <c r="C3517" s="10" t="str">
        <f>"FES1162565266"</f>
        <v>FES1162565266</v>
      </c>
      <c r="D3517" s="10" t="s">
        <v>19</v>
      </c>
      <c r="E3517" s="10" t="s">
        <v>638</v>
      </c>
      <c r="F3517" s="10" t="str">
        <f>"2170581762 "</f>
        <v xml:space="preserve">2170581762 </v>
      </c>
      <c r="G3517" s="10" t="str">
        <f t="shared" si="154"/>
        <v>ON1</v>
      </c>
      <c r="H3517" s="10" t="s">
        <v>21</v>
      </c>
      <c r="I3517" s="10" t="s">
        <v>639</v>
      </c>
      <c r="J3517" s="10" t="str">
        <f>""</f>
        <v/>
      </c>
      <c r="K3517" s="10" t="str">
        <f>"PFES1162565266_0001"</f>
        <v>PFES1162565266_0001</v>
      </c>
      <c r="L3517" s="10">
        <v>1</v>
      </c>
      <c r="M3517" s="10">
        <v>2</v>
      </c>
    </row>
    <row r="3518" spans="1:13">
      <c r="A3518" s="8">
        <v>42943</v>
      </c>
      <c r="B3518" s="9">
        <v>0.55625000000000002</v>
      </c>
      <c r="C3518" s="10" t="str">
        <f>"FES1162565265"</f>
        <v>FES1162565265</v>
      </c>
      <c r="D3518" s="10" t="s">
        <v>19</v>
      </c>
      <c r="E3518" s="10" t="s">
        <v>516</v>
      </c>
      <c r="F3518" s="10" t="str">
        <f>"2170581753 "</f>
        <v xml:space="preserve">2170581753 </v>
      </c>
      <c r="G3518" s="10" t="str">
        <f>"DBC"</f>
        <v>DBC</v>
      </c>
      <c r="H3518" s="10" t="s">
        <v>21</v>
      </c>
      <c r="I3518" s="10" t="s">
        <v>517</v>
      </c>
      <c r="J3518" s="10" t="str">
        <f>""</f>
        <v/>
      </c>
      <c r="K3518" s="10" t="str">
        <f>"PFES1162565265_0001"</f>
        <v>PFES1162565265_0001</v>
      </c>
      <c r="L3518" s="10">
        <v>1</v>
      </c>
      <c r="M3518" s="10">
        <v>9</v>
      </c>
    </row>
    <row r="3519" spans="1:13">
      <c r="A3519" s="8">
        <v>42943</v>
      </c>
      <c r="B3519" s="9">
        <v>0.55625000000000002</v>
      </c>
      <c r="C3519" s="10" t="str">
        <f>"FES1162565163"</f>
        <v>FES1162565163</v>
      </c>
      <c r="D3519" s="10" t="s">
        <v>19</v>
      </c>
      <c r="E3519" s="10" t="s">
        <v>181</v>
      </c>
      <c r="F3519" s="10" t="str">
        <f>"217058906 "</f>
        <v xml:space="preserve">217058906 </v>
      </c>
      <c r="G3519" s="10" t="str">
        <f t="shared" ref="G3519:G3547" si="155">"ON1"</f>
        <v>ON1</v>
      </c>
      <c r="H3519" s="10" t="s">
        <v>21</v>
      </c>
      <c r="I3519" s="10" t="s">
        <v>179</v>
      </c>
      <c r="J3519" s="10" t="str">
        <f>""</f>
        <v/>
      </c>
      <c r="K3519" s="10" t="str">
        <f>"PFES1162565163_0001"</f>
        <v>PFES1162565163_0001</v>
      </c>
      <c r="L3519" s="10">
        <v>1</v>
      </c>
      <c r="M3519" s="10">
        <v>1</v>
      </c>
    </row>
    <row r="3520" spans="1:13">
      <c r="A3520" s="8">
        <v>42943</v>
      </c>
      <c r="B3520" s="9">
        <v>0.55625000000000002</v>
      </c>
      <c r="C3520" s="10" t="str">
        <f>"FES1162565242"</f>
        <v>FES1162565242</v>
      </c>
      <c r="D3520" s="10" t="s">
        <v>19</v>
      </c>
      <c r="E3520" s="10" t="s">
        <v>853</v>
      </c>
      <c r="F3520" s="10" t="str">
        <f>"2170581673 "</f>
        <v xml:space="preserve">2170581673 </v>
      </c>
      <c r="G3520" s="10" t="str">
        <f t="shared" si="155"/>
        <v>ON1</v>
      </c>
      <c r="H3520" s="10" t="s">
        <v>21</v>
      </c>
      <c r="I3520" s="10" t="s">
        <v>179</v>
      </c>
      <c r="J3520" s="10" t="str">
        <f>""</f>
        <v/>
      </c>
      <c r="K3520" s="10" t="str">
        <f>"PFES1162565242_0001"</f>
        <v>PFES1162565242_0001</v>
      </c>
      <c r="L3520" s="10">
        <v>1</v>
      </c>
      <c r="M3520" s="10">
        <v>1</v>
      </c>
    </row>
    <row r="3521" spans="1:13">
      <c r="A3521" s="8">
        <v>42943</v>
      </c>
      <c r="B3521" s="9">
        <v>0.55555555555555558</v>
      </c>
      <c r="C3521" s="10" t="str">
        <f>"FES1162565263"</f>
        <v>FES1162565263</v>
      </c>
      <c r="D3521" s="10" t="s">
        <v>19</v>
      </c>
      <c r="E3521" s="10" t="s">
        <v>743</v>
      </c>
      <c r="F3521" s="10" t="str">
        <f>"2170581750 "</f>
        <v xml:space="preserve">2170581750 </v>
      </c>
      <c r="G3521" s="10" t="str">
        <f t="shared" si="155"/>
        <v>ON1</v>
      </c>
      <c r="H3521" s="10" t="s">
        <v>21</v>
      </c>
      <c r="I3521" s="10" t="s">
        <v>22</v>
      </c>
      <c r="J3521" s="10" t="str">
        <f>""</f>
        <v/>
      </c>
      <c r="K3521" s="10" t="str">
        <f>"PFES1162565263_0001"</f>
        <v>PFES1162565263_0001</v>
      </c>
      <c r="L3521" s="10">
        <v>1</v>
      </c>
      <c r="M3521" s="10">
        <v>1</v>
      </c>
    </row>
    <row r="3522" spans="1:13">
      <c r="A3522" s="8">
        <v>42943</v>
      </c>
      <c r="B3522" s="9">
        <v>0.55555555555555558</v>
      </c>
      <c r="C3522" s="10" t="str">
        <f>"FES1162565223"</f>
        <v>FES1162565223</v>
      </c>
      <c r="D3522" s="10" t="s">
        <v>19</v>
      </c>
      <c r="E3522" s="10" t="s">
        <v>191</v>
      </c>
      <c r="F3522" s="10" t="str">
        <f>"2170581667 "</f>
        <v xml:space="preserve">2170581667 </v>
      </c>
      <c r="G3522" s="10" t="str">
        <f t="shared" si="155"/>
        <v>ON1</v>
      </c>
      <c r="H3522" s="10" t="s">
        <v>21</v>
      </c>
      <c r="I3522" s="10" t="s">
        <v>192</v>
      </c>
      <c r="J3522" s="10" t="str">
        <f>""</f>
        <v/>
      </c>
      <c r="K3522" s="10" t="str">
        <f>"PFES1162565223_0001"</f>
        <v>PFES1162565223_0001</v>
      </c>
      <c r="L3522" s="10">
        <v>1</v>
      </c>
      <c r="M3522" s="10">
        <v>1</v>
      </c>
    </row>
    <row r="3523" spans="1:13">
      <c r="A3523" s="8">
        <v>42943</v>
      </c>
      <c r="B3523" s="9">
        <v>0.55555555555555558</v>
      </c>
      <c r="C3523" s="10" t="str">
        <f>"FES1162565071"</f>
        <v>FES1162565071</v>
      </c>
      <c r="D3523" s="10" t="s">
        <v>19</v>
      </c>
      <c r="E3523" s="10" t="s">
        <v>295</v>
      </c>
      <c r="F3523" s="10" t="str">
        <f>"2170581470 "</f>
        <v xml:space="preserve">2170581470 </v>
      </c>
      <c r="G3523" s="10" t="str">
        <f t="shared" si="155"/>
        <v>ON1</v>
      </c>
      <c r="H3523" s="10" t="s">
        <v>21</v>
      </c>
      <c r="I3523" s="10" t="s">
        <v>179</v>
      </c>
      <c r="J3523" s="10" t="str">
        <f>""</f>
        <v/>
      </c>
      <c r="K3523" s="10" t="str">
        <f>"PFES1162565071_0001"</f>
        <v>PFES1162565071_0001</v>
      </c>
      <c r="L3523" s="10">
        <v>1</v>
      </c>
      <c r="M3523" s="10">
        <v>1</v>
      </c>
    </row>
    <row r="3524" spans="1:13">
      <c r="A3524" s="8">
        <v>42943</v>
      </c>
      <c r="B3524" s="9">
        <v>0.55486111111111114</v>
      </c>
      <c r="C3524" s="10" t="str">
        <f>"FES1162565226"</f>
        <v>FES1162565226</v>
      </c>
      <c r="D3524" s="10" t="s">
        <v>19</v>
      </c>
      <c r="E3524" s="10" t="s">
        <v>525</v>
      </c>
      <c r="F3524" s="10" t="str">
        <f>"2170581672 "</f>
        <v xml:space="preserve">2170581672 </v>
      </c>
      <c r="G3524" s="10" t="str">
        <f t="shared" si="155"/>
        <v>ON1</v>
      </c>
      <c r="H3524" s="10" t="s">
        <v>21</v>
      </c>
      <c r="I3524" s="10" t="s">
        <v>56</v>
      </c>
      <c r="J3524" s="10" t="str">
        <f>""</f>
        <v/>
      </c>
      <c r="K3524" s="10" t="str">
        <f>"PFES1162565226_0001"</f>
        <v>PFES1162565226_0001</v>
      </c>
      <c r="L3524" s="10">
        <v>1</v>
      </c>
      <c r="M3524" s="10">
        <v>1</v>
      </c>
    </row>
    <row r="3525" spans="1:13">
      <c r="A3525" s="8">
        <v>42943</v>
      </c>
      <c r="B3525" s="9">
        <v>0.55486111111111114</v>
      </c>
      <c r="C3525" s="10" t="str">
        <f>"FES1162565248"</f>
        <v>FES1162565248</v>
      </c>
      <c r="D3525" s="10" t="s">
        <v>19</v>
      </c>
      <c r="E3525" s="10" t="s">
        <v>369</v>
      </c>
      <c r="F3525" s="10" t="str">
        <f>"2170581712 "</f>
        <v xml:space="preserve">2170581712 </v>
      </c>
      <c r="G3525" s="10" t="str">
        <f t="shared" si="155"/>
        <v>ON1</v>
      </c>
      <c r="H3525" s="10" t="s">
        <v>21</v>
      </c>
      <c r="I3525" s="10" t="s">
        <v>183</v>
      </c>
      <c r="J3525" s="10" t="str">
        <f>""</f>
        <v/>
      </c>
      <c r="K3525" s="10" t="str">
        <f>"PFES1162565248_0001"</f>
        <v>PFES1162565248_0001</v>
      </c>
      <c r="L3525" s="10">
        <v>1</v>
      </c>
      <c r="M3525" s="10">
        <v>1</v>
      </c>
    </row>
    <row r="3526" spans="1:13">
      <c r="A3526" s="8">
        <v>42943</v>
      </c>
      <c r="B3526" s="9">
        <v>0.5541666666666667</v>
      </c>
      <c r="C3526" s="10" t="str">
        <f>"FES1162565246"</f>
        <v>FES1162565246</v>
      </c>
      <c r="D3526" s="10" t="s">
        <v>19</v>
      </c>
      <c r="E3526" s="10" t="s">
        <v>118</v>
      </c>
      <c r="F3526" s="10" t="str">
        <f>"2170581703 "</f>
        <v xml:space="preserve">2170581703 </v>
      </c>
      <c r="G3526" s="10" t="str">
        <f t="shared" si="155"/>
        <v>ON1</v>
      </c>
      <c r="H3526" s="10" t="s">
        <v>21</v>
      </c>
      <c r="I3526" s="10" t="s">
        <v>119</v>
      </c>
      <c r="J3526" s="10" t="str">
        <f>""</f>
        <v/>
      </c>
      <c r="K3526" s="10" t="str">
        <f>"PFES1162565246_0001"</f>
        <v>PFES1162565246_0001</v>
      </c>
      <c r="L3526" s="10">
        <v>1</v>
      </c>
      <c r="M3526" s="10">
        <v>1</v>
      </c>
    </row>
    <row r="3527" spans="1:13">
      <c r="A3527" s="8">
        <v>42943</v>
      </c>
      <c r="B3527" s="9">
        <v>0.5541666666666667</v>
      </c>
      <c r="C3527" s="10" t="str">
        <f>"FES1162565234"</f>
        <v>FES1162565234</v>
      </c>
      <c r="D3527" s="10" t="s">
        <v>19</v>
      </c>
      <c r="E3527" s="10" t="s">
        <v>326</v>
      </c>
      <c r="F3527" s="10" t="str">
        <f>"2170581685 "</f>
        <v xml:space="preserve">2170581685 </v>
      </c>
      <c r="G3527" s="10" t="str">
        <f t="shared" si="155"/>
        <v>ON1</v>
      </c>
      <c r="H3527" s="10" t="s">
        <v>21</v>
      </c>
      <c r="I3527" s="10" t="s">
        <v>327</v>
      </c>
      <c r="J3527" s="10" t="str">
        <f>""</f>
        <v/>
      </c>
      <c r="K3527" s="10" t="str">
        <f>"PFES1162565234_0001"</f>
        <v>PFES1162565234_0001</v>
      </c>
      <c r="L3527" s="10">
        <v>1</v>
      </c>
      <c r="M3527" s="10">
        <v>1</v>
      </c>
    </row>
    <row r="3528" spans="1:13">
      <c r="A3528" s="8">
        <v>42943</v>
      </c>
      <c r="B3528" s="9">
        <v>0.55347222222222225</v>
      </c>
      <c r="C3528" s="10" t="str">
        <f>"FES1162564213"</f>
        <v>FES1162564213</v>
      </c>
      <c r="D3528" s="10" t="s">
        <v>19</v>
      </c>
      <c r="E3528" s="10" t="s">
        <v>218</v>
      </c>
      <c r="F3528" s="10" t="str">
        <f>"2170578902 "</f>
        <v xml:space="preserve">2170578902 </v>
      </c>
      <c r="G3528" s="10" t="str">
        <f t="shared" si="155"/>
        <v>ON1</v>
      </c>
      <c r="H3528" s="10" t="s">
        <v>21</v>
      </c>
      <c r="I3528" s="10" t="s">
        <v>219</v>
      </c>
      <c r="J3528" s="10" t="str">
        <f>""</f>
        <v/>
      </c>
      <c r="K3528" s="10" t="str">
        <f>"PFES1162564213_0001"</f>
        <v>PFES1162564213_0001</v>
      </c>
      <c r="L3528" s="10">
        <v>1</v>
      </c>
      <c r="M3528" s="10">
        <v>1</v>
      </c>
    </row>
    <row r="3529" spans="1:13">
      <c r="A3529" s="8">
        <v>42943</v>
      </c>
      <c r="B3529" s="9">
        <v>0.55347222222222225</v>
      </c>
      <c r="C3529" s="10" t="str">
        <f>"FES1162565202"</f>
        <v>FES1162565202</v>
      </c>
      <c r="D3529" s="10" t="s">
        <v>19</v>
      </c>
      <c r="E3529" s="10" t="s">
        <v>521</v>
      </c>
      <c r="F3529" s="10" t="str">
        <f>"2170581634 "</f>
        <v xml:space="preserve">2170581634 </v>
      </c>
      <c r="G3529" s="10" t="str">
        <f t="shared" si="155"/>
        <v>ON1</v>
      </c>
      <c r="H3529" s="10" t="s">
        <v>21</v>
      </c>
      <c r="I3529" s="10" t="s">
        <v>215</v>
      </c>
      <c r="J3529" s="10" t="str">
        <f>""</f>
        <v/>
      </c>
      <c r="K3529" s="10" t="str">
        <f>"PFES1162565202_0001"</f>
        <v>PFES1162565202_0001</v>
      </c>
      <c r="L3529" s="10">
        <v>1</v>
      </c>
      <c r="M3529" s="10">
        <v>1</v>
      </c>
    </row>
    <row r="3530" spans="1:13">
      <c r="A3530" s="8">
        <v>42943</v>
      </c>
      <c r="B3530" s="9">
        <v>0.55277777777777781</v>
      </c>
      <c r="C3530" s="10" t="str">
        <f>"FES1162565269"</f>
        <v>FES1162565269</v>
      </c>
      <c r="D3530" s="10" t="s">
        <v>19</v>
      </c>
      <c r="E3530" s="10" t="s">
        <v>1051</v>
      </c>
      <c r="F3530" s="10" t="str">
        <f>"2170581755 "</f>
        <v xml:space="preserve">2170581755 </v>
      </c>
      <c r="G3530" s="10" t="str">
        <f t="shared" si="155"/>
        <v>ON1</v>
      </c>
      <c r="H3530" s="10" t="s">
        <v>21</v>
      </c>
      <c r="I3530" s="10" t="s">
        <v>177</v>
      </c>
      <c r="J3530" s="10" t="str">
        <f>""</f>
        <v/>
      </c>
      <c r="K3530" s="10" t="str">
        <f>"PFES1162565269_0001"</f>
        <v>PFES1162565269_0001</v>
      </c>
      <c r="L3530" s="10">
        <v>1</v>
      </c>
      <c r="M3530" s="10">
        <v>1</v>
      </c>
    </row>
    <row r="3531" spans="1:13">
      <c r="A3531" s="8">
        <v>42943</v>
      </c>
      <c r="B3531" s="9">
        <v>0.55277777777777781</v>
      </c>
      <c r="C3531" s="10" t="str">
        <f>"FES1162565272"</f>
        <v>FES1162565272</v>
      </c>
      <c r="D3531" s="10" t="s">
        <v>19</v>
      </c>
      <c r="E3531" s="10" t="s">
        <v>1189</v>
      </c>
      <c r="F3531" s="10" t="str">
        <f>"2170581761 "</f>
        <v xml:space="preserve">2170581761 </v>
      </c>
      <c r="G3531" s="10" t="str">
        <f t="shared" si="155"/>
        <v>ON1</v>
      </c>
      <c r="H3531" s="10" t="s">
        <v>21</v>
      </c>
      <c r="I3531" s="10" t="s">
        <v>1190</v>
      </c>
      <c r="J3531" s="10" t="str">
        <f>""</f>
        <v/>
      </c>
      <c r="K3531" s="10" t="str">
        <f>"PFES1162565272_0001"</f>
        <v>PFES1162565272_0001</v>
      </c>
      <c r="L3531" s="10">
        <v>1</v>
      </c>
      <c r="M3531" s="10">
        <v>1</v>
      </c>
    </row>
    <row r="3532" spans="1:13">
      <c r="A3532" s="8">
        <v>42943</v>
      </c>
      <c r="B3532" s="9">
        <v>0.55277777777777781</v>
      </c>
      <c r="C3532" s="10" t="str">
        <f>"FES1162565271"</f>
        <v>FES1162565271</v>
      </c>
      <c r="D3532" s="10" t="s">
        <v>19</v>
      </c>
      <c r="E3532" s="10" t="s">
        <v>1051</v>
      </c>
      <c r="F3532" s="10" t="str">
        <f>"2170581792 "</f>
        <v xml:space="preserve">2170581792 </v>
      </c>
      <c r="G3532" s="10" t="str">
        <f t="shared" si="155"/>
        <v>ON1</v>
      </c>
      <c r="H3532" s="10" t="s">
        <v>21</v>
      </c>
      <c r="I3532" s="10" t="s">
        <v>177</v>
      </c>
      <c r="J3532" s="10" t="str">
        <f>""</f>
        <v/>
      </c>
      <c r="K3532" s="10" t="str">
        <f>"PFES1162565271_0001"</f>
        <v>PFES1162565271_0001</v>
      </c>
      <c r="L3532" s="10">
        <v>1</v>
      </c>
      <c r="M3532" s="10">
        <v>1</v>
      </c>
    </row>
    <row r="3533" spans="1:13">
      <c r="A3533" s="8">
        <v>42943</v>
      </c>
      <c r="B3533" s="9">
        <v>0.53333333333333333</v>
      </c>
      <c r="C3533" s="10" t="str">
        <f>"FES1162565125"</f>
        <v>FES1162565125</v>
      </c>
      <c r="D3533" s="10" t="s">
        <v>19</v>
      </c>
      <c r="E3533" s="10" t="s">
        <v>936</v>
      </c>
      <c r="F3533" s="10" t="str">
        <f>"2170578841 "</f>
        <v xml:space="preserve">2170578841 </v>
      </c>
      <c r="G3533" s="10" t="str">
        <f t="shared" si="155"/>
        <v>ON1</v>
      </c>
      <c r="H3533" s="10" t="s">
        <v>21</v>
      </c>
      <c r="I3533" s="10" t="s">
        <v>22</v>
      </c>
      <c r="J3533" s="10" t="str">
        <f>""</f>
        <v/>
      </c>
      <c r="K3533" s="10" t="str">
        <f>"PFES1162565125_0001"</f>
        <v>PFES1162565125_0001</v>
      </c>
      <c r="L3533" s="10">
        <v>1</v>
      </c>
      <c r="M3533" s="10">
        <v>1</v>
      </c>
    </row>
    <row r="3534" spans="1:13">
      <c r="A3534" s="8">
        <v>42943</v>
      </c>
      <c r="B3534" s="9">
        <v>0.51944444444444449</v>
      </c>
      <c r="C3534" s="10" t="str">
        <f>"FES1162565172"</f>
        <v>FES1162565172</v>
      </c>
      <c r="D3534" s="10" t="s">
        <v>19</v>
      </c>
      <c r="E3534" s="10" t="s">
        <v>366</v>
      </c>
      <c r="F3534" s="10" t="str">
        <f>"21705879761 "</f>
        <v xml:space="preserve">21705879761 </v>
      </c>
      <c r="G3534" s="10" t="str">
        <f t="shared" si="155"/>
        <v>ON1</v>
      </c>
      <c r="H3534" s="10" t="s">
        <v>21</v>
      </c>
      <c r="I3534" s="10" t="s">
        <v>128</v>
      </c>
      <c r="J3534" s="10" t="str">
        <f>""</f>
        <v/>
      </c>
      <c r="K3534" s="10" t="str">
        <f>"PFES1162565172_0001"</f>
        <v>PFES1162565172_0001</v>
      </c>
      <c r="L3534" s="10">
        <v>1</v>
      </c>
      <c r="M3534" s="10">
        <v>1</v>
      </c>
    </row>
    <row r="3535" spans="1:13">
      <c r="A3535" s="8">
        <v>42943</v>
      </c>
      <c r="B3535" s="9">
        <v>0.51944444444444449</v>
      </c>
      <c r="C3535" s="10" t="str">
        <f>"FES1162565205"</f>
        <v>FES1162565205</v>
      </c>
      <c r="D3535" s="10" t="s">
        <v>19</v>
      </c>
      <c r="E3535" s="10" t="s">
        <v>164</v>
      </c>
      <c r="F3535" s="10" t="str">
        <f>"2170581503 "</f>
        <v xml:space="preserve">2170581503 </v>
      </c>
      <c r="G3535" s="10" t="str">
        <f t="shared" si="155"/>
        <v>ON1</v>
      </c>
      <c r="H3535" s="10" t="s">
        <v>21</v>
      </c>
      <c r="I3535" s="10" t="s">
        <v>147</v>
      </c>
      <c r="J3535" s="10" t="str">
        <f>""</f>
        <v/>
      </c>
      <c r="K3535" s="10" t="str">
        <f>"PFES1162565205_0001"</f>
        <v>PFES1162565205_0001</v>
      </c>
      <c r="L3535" s="10">
        <v>1</v>
      </c>
      <c r="M3535" s="10">
        <v>1</v>
      </c>
    </row>
    <row r="3536" spans="1:13">
      <c r="A3536" s="8">
        <v>42943</v>
      </c>
      <c r="B3536" s="9">
        <v>0.51874999999999993</v>
      </c>
      <c r="C3536" s="10" t="str">
        <f>"FES1162565237"</f>
        <v>FES1162565237</v>
      </c>
      <c r="D3536" s="10" t="s">
        <v>19</v>
      </c>
      <c r="E3536" s="10" t="s">
        <v>1191</v>
      </c>
      <c r="F3536" s="10" t="str">
        <f>"21705814688 "</f>
        <v xml:space="preserve">21705814688 </v>
      </c>
      <c r="G3536" s="10" t="str">
        <f t="shared" si="155"/>
        <v>ON1</v>
      </c>
      <c r="H3536" s="10" t="s">
        <v>21</v>
      </c>
      <c r="I3536" s="10" t="s">
        <v>1192</v>
      </c>
      <c r="J3536" s="10" t="str">
        <f>""</f>
        <v/>
      </c>
      <c r="K3536" s="10" t="str">
        <f>"PFES1162565237_0001"</f>
        <v>PFES1162565237_0001</v>
      </c>
      <c r="L3536" s="10">
        <v>1</v>
      </c>
      <c r="M3536" s="10">
        <v>1</v>
      </c>
    </row>
    <row r="3537" spans="1:13">
      <c r="A3537" s="8">
        <v>42943</v>
      </c>
      <c r="B3537" s="9">
        <v>0.5180555555555556</v>
      </c>
      <c r="C3537" s="10" t="str">
        <f>"FES1162565231"</f>
        <v>FES1162565231</v>
      </c>
      <c r="D3537" s="10" t="s">
        <v>19</v>
      </c>
      <c r="E3537" s="10" t="s">
        <v>233</v>
      </c>
      <c r="F3537" s="10" t="str">
        <f>"2170581684 "</f>
        <v xml:space="preserve">2170581684 </v>
      </c>
      <c r="G3537" s="10" t="str">
        <f t="shared" si="155"/>
        <v>ON1</v>
      </c>
      <c r="H3537" s="10" t="s">
        <v>21</v>
      </c>
      <c r="I3537" s="10" t="s">
        <v>234</v>
      </c>
      <c r="J3537" s="10" t="str">
        <f>""</f>
        <v/>
      </c>
      <c r="K3537" s="10" t="str">
        <f>"PFES1162565231_0001"</f>
        <v>PFES1162565231_0001</v>
      </c>
      <c r="L3537" s="10">
        <v>1</v>
      </c>
      <c r="M3537" s="10">
        <v>1</v>
      </c>
    </row>
    <row r="3538" spans="1:13">
      <c r="A3538" s="8">
        <v>42943</v>
      </c>
      <c r="B3538" s="9">
        <v>0.5180555555555556</v>
      </c>
      <c r="C3538" s="10" t="str">
        <f>"FES1162565154"</f>
        <v>FES1162565154</v>
      </c>
      <c r="D3538" s="10" t="s">
        <v>19</v>
      </c>
      <c r="E3538" s="10" t="s">
        <v>148</v>
      </c>
      <c r="F3538" s="10" t="str">
        <f>"2170581597 "</f>
        <v xml:space="preserve">2170581597 </v>
      </c>
      <c r="G3538" s="10" t="str">
        <f t="shared" si="155"/>
        <v>ON1</v>
      </c>
      <c r="H3538" s="10" t="s">
        <v>21</v>
      </c>
      <c r="I3538" s="10" t="s">
        <v>149</v>
      </c>
      <c r="J3538" s="10" t="str">
        <f>""</f>
        <v/>
      </c>
      <c r="K3538" s="10" t="str">
        <f>"PFES1162565154_0001"</f>
        <v>PFES1162565154_0001</v>
      </c>
      <c r="L3538" s="10">
        <v>1</v>
      </c>
      <c r="M3538" s="10">
        <v>1</v>
      </c>
    </row>
    <row r="3539" spans="1:13">
      <c r="A3539" s="8">
        <v>42943</v>
      </c>
      <c r="B3539" s="9">
        <v>0.51736111111111105</v>
      </c>
      <c r="C3539" s="10" t="str">
        <f>"FES1162565224"</f>
        <v>FES1162565224</v>
      </c>
      <c r="D3539" s="10" t="s">
        <v>19</v>
      </c>
      <c r="E3539" s="10" t="s">
        <v>958</v>
      </c>
      <c r="F3539" s="10" t="str">
        <f>"2170581669 "</f>
        <v xml:space="preserve">2170581669 </v>
      </c>
      <c r="G3539" s="10" t="str">
        <f t="shared" si="155"/>
        <v>ON1</v>
      </c>
      <c r="H3539" s="10" t="s">
        <v>21</v>
      </c>
      <c r="I3539" s="10" t="s">
        <v>443</v>
      </c>
      <c r="J3539" s="10" t="str">
        <f>""</f>
        <v/>
      </c>
      <c r="K3539" s="10" t="str">
        <f>"PFES1162565224_0001"</f>
        <v>PFES1162565224_0001</v>
      </c>
      <c r="L3539" s="10">
        <v>1</v>
      </c>
      <c r="M3539" s="10">
        <v>1</v>
      </c>
    </row>
    <row r="3540" spans="1:13">
      <c r="A3540" s="8">
        <v>42943</v>
      </c>
      <c r="B3540" s="9">
        <v>0.51666666666666672</v>
      </c>
      <c r="C3540" s="10" t="str">
        <f>"FES1162565229"</f>
        <v>FES1162565229</v>
      </c>
      <c r="D3540" s="10" t="s">
        <v>19</v>
      </c>
      <c r="E3540" s="10" t="s">
        <v>442</v>
      </c>
      <c r="F3540" s="10" t="str">
        <f>"2170581677 "</f>
        <v xml:space="preserve">2170581677 </v>
      </c>
      <c r="G3540" s="10" t="str">
        <f t="shared" si="155"/>
        <v>ON1</v>
      </c>
      <c r="H3540" s="10" t="s">
        <v>21</v>
      </c>
      <c r="I3540" s="10" t="s">
        <v>443</v>
      </c>
      <c r="J3540" s="10" t="str">
        <f>""</f>
        <v/>
      </c>
      <c r="K3540" s="10" t="str">
        <f>"PFES1162565229_0001"</f>
        <v>PFES1162565229_0001</v>
      </c>
      <c r="L3540" s="10">
        <v>1</v>
      </c>
      <c r="M3540" s="10">
        <v>1</v>
      </c>
    </row>
    <row r="3541" spans="1:13">
      <c r="A3541" s="8">
        <v>42943</v>
      </c>
      <c r="B3541" s="9">
        <v>0.51666666666666672</v>
      </c>
      <c r="C3541" s="10" t="str">
        <f>"FES1162565164"</f>
        <v>FES1162565164</v>
      </c>
      <c r="D3541" s="10" t="s">
        <v>19</v>
      </c>
      <c r="E3541" s="10" t="s">
        <v>376</v>
      </c>
      <c r="F3541" s="10" t="str">
        <f>"2170578985 "</f>
        <v xml:space="preserve">2170578985 </v>
      </c>
      <c r="G3541" s="10" t="str">
        <f t="shared" si="155"/>
        <v>ON1</v>
      </c>
      <c r="H3541" s="10" t="s">
        <v>21</v>
      </c>
      <c r="I3541" s="10" t="s">
        <v>377</v>
      </c>
      <c r="J3541" s="10" t="str">
        <f>""</f>
        <v/>
      </c>
      <c r="K3541" s="10" t="str">
        <f>"PFES1162565164_0001"</f>
        <v>PFES1162565164_0001</v>
      </c>
      <c r="L3541" s="10">
        <v>1</v>
      </c>
      <c r="M3541" s="10">
        <v>1</v>
      </c>
    </row>
    <row r="3542" spans="1:13">
      <c r="A3542" s="8">
        <v>42943</v>
      </c>
      <c r="B3542" s="9">
        <v>0.51597222222222217</v>
      </c>
      <c r="C3542" s="10" t="str">
        <f>"FES1162565156"</f>
        <v>FES1162565156</v>
      </c>
      <c r="D3542" s="10" t="s">
        <v>19</v>
      </c>
      <c r="E3542" s="10" t="s">
        <v>483</v>
      </c>
      <c r="F3542" s="10" t="str">
        <f>"2170578125 "</f>
        <v xml:space="preserve">2170578125 </v>
      </c>
      <c r="G3542" s="10" t="str">
        <f t="shared" si="155"/>
        <v>ON1</v>
      </c>
      <c r="H3542" s="10" t="s">
        <v>21</v>
      </c>
      <c r="I3542" s="10" t="s">
        <v>567</v>
      </c>
      <c r="J3542" s="10" t="str">
        <f>""</f>
        <v/>
      </c>
      <c r="K3542" s="10" t="str">
        <f>"PFES1162565156_0001"</f>
        <v>PFES1162565156_0001</v>
      </c>
      <c r="L3542" s="10">
        <v>1</v>
      </c>
      <c r="M3542" s="10">
        <v>6</v>
      </c>
    </row>
    <row r="3543" spans="1:13">
      <c r="A3543" s="8">
        <v>42943</v>
      </c>
      <c r="B3543" s="9">
        <v>0.50486111111111109</v>
      </c>
      <c r="C3543" s="10" t="str">
        <f>"FES1162565186"</f>
        <v>FES1162565186</v>
      </c>
      <c r="D3543" s="10" t="s">
        <v>19</v>
      </c>
      <c r="E3543" s="10" t="s">
        <v>1193</v>
      </c>
      <c r="F3543" s="10" t="str">
        <f>"2170581613 "</f>
        <v xml:space="preserve">2170581613 </v>
      </c>
      <c r="G3543" s="10" t="str">
        <f t="shared" si="155"/>
        <v>ON1</v>
      </c>
      <c r="H3543" s="10" t="s">
        <v>21</v>
      </c>
      <c r="I3543" s="10" t="s">
        <v>132</v>
      </c>
      <c r="J3543" s="10" t="str">
        <f>""</f>
        <v/>
      </c>
      <c r="K3543" s="10" t="str">
        <f>"PFES1162565186_0001"</f>
        <v>PFES1162565186_0001</v>
      </c>
      <c r="L3543" s="10">
        <v>1</v>
      </c>
      <c r="M3543" s="10">
        <v>1</v>
      </c>
    </row>
    <row r="3544" spans="1:13">
      <c r="A3544" s="8">
        <v>42943</v>
      </c>
      <c r="B3544" s="9">
        <v>0.50416666666666665</v>
      </c>
      <c r="C3544" s="10" t="str">
        <f>"FES1162565143"</f>
        <v>FES1162565143</v>
      </c>
      <c r="D3544" s="10" t="s">
        <v>19</v>
      </c>
      <c r="E3544" s="10" t="s">
        <v>361</v>
      </c>
      <c r="F3544" s="10" t="str">
        <f>"2170581577 "</f>
        <v xml:space="preserve">2170581577 </v>
      </c>
      <c r="G3544" s="10" t="str">
        <f t="shared" si="155"/>
        <v>ON1</v>
      </c>
      <c r="H3544" s="10" t="s">
        <v>21</v>
      </c>
      <c r="I3544" s="10" t="s">
        <v>106</v>
      </c>
      <c r="J3544" s="10" t="str">
        <f>""</f>
        <v/>
      </c>
      <c r="K3544" s="10" t="str">
        <f>"PFES1162565143_0001"</f>
        <v>PFES1162565143_0001</v>
      </c>
      <c r="L3544" s="10">
        <v>1</v>
      </c>
      <c r="M3544" s="10">
        <v>2</v>
      </c>
    </row>
    <row r="3545" spans="1:13">
      <c r="A3545" s="8">
        <v>42943</v>
      </c>
      <c r="B3545" s="9">
        <v>0.50416666666666665</v>
      </c>
      <c r="C3545" s="10" t="str">
        <f>"FES1162565239"</f>
        <v>FES1162565239</v>
      </c>
      <c r="D3545" s="10" t="s">
        <v>19</v>
      </c>
      <c r="E3545" s="10" t="s">
        <v>1105</v>
      </c>
      <c r="F3545" s="10" t="str">
        <f>"2170581693 "</f>
        <v xml:space="preserve">2170581693 </v>
      </c>
      <c r="G3545" s="10" t="str">
        <f t="shared" si="155"/>
        <v>ON1</v>
      </c>
      <c r="H3545" s="10" t="s">
        <v>21</v>
      </c>
      <c r="I3545" s="10" t="s">
        <v>224</v>
      </c>
      <c r="J3545" s="10" t="str">
        <f>""</f>
        <v/>
      </c>
      <c r="K3545" s="10" t="str">
        <f>"PFES1162565239_0001"</f>
        <v>PFES1162565239_0001</v>
      </c>
      <c r="L3545" s="10">
        <v>1</v>
      </c>
      <c r="M3545" s="10">
        <v>3</v>
      </c>
    </row>
    <row r="3546" spans="1:13">
      <c r="A3546" s="8">
        <v>42943</v>
      </c>
      <c r="B3546" s="9">
        <v>0.50347222222222221</v>
      </c>
      <c r="C3546" s="10" t="str">
        <f>"FES1162565238"</f>
        <v>FES1162565238</v>
      </c>
      <c r="D3546" s="10" t="s">
        <v>19</v>
      </c>
      <c r="E3546" s="10" t="s">
        <v>675</v>
      </c>
      <c r="F3546" s="10" t="str">
        <f>"2170581689 "</f>
        <v xml:space="preserve">2170581689 </v>
      </c>
      <c r="G3546" s="10" t="str">
        <f t="shared" si="155"/>
        <v>ON1</v>
      </c>
      <c r="H3546" s="10" t="s">
        <v>21</v>
      </c>
      <c r="I3546" s="10" t="s">
        <v>309</v>
      </c>
      <c r="J3546" s="10" t="str">
        <f>""</f>
        <v/>
      </c>
      <c r="K3546" s="10" t="str">
        <f>"PFES1162565238_0001"</f>
        <v>PFES1162565238_0001</v>
      </c>
      <c r="L3546" s="10">
        <v>1</v>
      </c>
      <c r="M3546" s="10">
        <v>2</v>
      </c>
    </row>
    <row r="3547" spans="1:13">
      <c r="A3547" s="8">
        <v>42943</v>
      </c>
      <c r="B3547" s="9">
        <v>0.50347222222222221</v>
      </c>
      <c r="C3547" s="10" t="str">
        <f>"FES1162564671"</f>
        <v>FES1162564671</v>
      </c>
      <c r="D3547" s="10" t="s">
        <v>19</v>
      </c>
      <c r="E3547" s="10" t="s">
        <v>516</v>
      </c>
      <c r="F3547" s="10" t="str">
        <f>"2170581187 "</f>
        <v xml:space="preserve">2170581187 </v>
      </c>
      <c r="G3547" s="10" t="str">
        <f t="shared" si="155"/>
        <v>ON1</v>
      </c>
      <c r="H3547" s="10" t="s">
        <v>21</v>
      </c>
      <c r="I3547" s="10" t="s">
        <v>517</v>
      </c>
      <c r="J3547" s="10" t="str">
        <f>""</f>
        <v/>
      </c>
      <c r="K3547" s="10" t="str">
        <f>"PFES1162564671_0001"</f>
        <v>PFES1162564671_0001</v>
      </c>
      <c r="L3547" s="10">
        <v>1</v>
      </c>
      <c r="M3547" s="10">
        <v>4</v>
      </c>
    </row>
    <row r="3548" spans="1:13">
      <c r="A3548" s="8">
        <v>42943</v>
      </c>
      <c r="B3548" s="9">
        <v>0.50277777777777777</v>
      </c>
      <c r="C3548" s="10" t="str">
        <f>"FES1162564554"</f>
        <v>FES1162564554</v>
      </c>
      <c r="D3548" s="10" t="s">
        <v>19</v>
      </c>
      <c r="E3548" s="10" t="s">
        <v>516</v>
      </c>
      <c r="F3548" s="10" t="str">
        <f>"2170581085 "</f>
        <v xml:space="preserve">2170581085 </v>
      </c>
      <c r="G3548" s="10" t="str">
        <f>"DBC"</f>
        <v>DBC</v>
      </c>
      <c r="H3548" s="10" t="s">
        <v>21</v>
      </c>
      <c r="I3548" s="10" t="s">
        <v>517</v>
      </c>
      <c r="J3548" s="10" t="str">
        <f>""</f>
        <v/>
      </c>
      <c r="K3548" s="10" t="str">
        <f>"PFES1162564554_0001"</f>
        <v>PFES1162564554_0001</v>
      </c>
      <c r="L3548" s="10">
        <v>1</v>
      </c>
      <c r="M3548" s="10">
        <v>14</v>
      </c>
    </row>
    <row r="3549" spans="1:13">
      <c r="A3549" s="8">
        <v>42943</v>
      </c>
      <c r="B3549" s="9">
        <v>0.50138888888888888</v>
      </c>
      <c r="C3549" s="10" t="str">
        <f>"FES1162565008"</f>
        <v>FES1162565008</v>
      </c>
      <c r="D3549" s="10" t="s">
        <v>19</v>
      </c>
      <c r="E3549" s="10" t="s">
        <v>498</v>
      </c>
      <c r="F3549" s="10" t="str">
        <f>"2170580953 "</f>
        <v xml:space="preserve">2170580953 </v>
      </c>
      <c r="G3549" s="10" t="str">
        <f>"DBC"</f>
        <v>DBC</v>
      </c>
      <c r="H3549" s="10" t="s">
        <v>21</v>
      </c>
      <c r="I3549" s="10" t="s">
        <v>84</v>
      </c>
      <c r="J3549" s="10" t="str">
        <f>""</f>
        <v/>
      </c>
      <c r="K3549" s="10" t="str">
        <f>"PFES1162565008_0001"</f>
        <v>PFES1162565008_0001</v>
      </c>
      <c r="L3549" s="10">
        <v>1</v>
      </c>
      <c r="M3549" s="10">
        <v>23</v>
      </c>
    </row>
    <row r="3550" spans="1:13">
      <c r="A3550" s="8">
        <v>42943</v>
      </c>
      <c r="B3550" s="9">
        <v>0.50069444444444444</v>
      </c>
      <c r="C3550" s="10" t="str">
        <f>"FES1162565250"</f>
        <v>FES1162565250</v>
      </c>
      <c r="D3550" s="10" t="s">
        <v>19</v>
      </c>
      <c r="E3550" s="10" t="s">
        <v>39</v>
      </c>
      <c r="F3550" s="10" t="str">
        <f>"2170581726 "</f>
        <v xml:space="preserve">2170581726 </v>
      </c>
      <c r="G3550" s="10" t="str">
        <f>"ON1"</f>
        <v>ON1</v>
      </c>
      <c r="H3550" s="10" t="s">
        <v>21</v>
      </c>
      <c r="I3550" s="10" t="s">
        <v>40</v>
      </c>
      <c r="J3550" s="10" t="str">
        <f>""</f>
        <v/>
      </c>
      <c r="K3550" s="10" t="str">
        <f>"PFES1162565250_0001"</f>
        <v>PFES1162565250_0001</v>
      </c>
      <c r="L3550" s="10">
        <v>1</v>
      </c>
      <c r="M3550" s="10">
        <v>2</v>
      </c>
    </row>
    <row r="3551" spans="1:13">
      <c r="A3551" s="8">
        <v>42943</v>
      </c>
      <c r="B3551" s="9">
        <v>0.50069444444444444</v>
      </c>
      <c r="C3551" s="10" t="str">
        <f>"FES1162565219"</f>
        <v>FES1162565219</v>
      </c>
      <c r="D3551" s="10" t="s">
        <v>19</v>
      </c>
      <c r="E3551" s="10" t="s">
        <v>390</v>
      </c>
      <c r="F3551" s="10" t="str">
        <f>"2170581662 "</f>
        <v xml:space="preserve">2170581662 </v>
      </c>
      <c r="G3551" s="10" t="str">
        <f>"ON1"</f>
        <v>ON1</v>
      </c>
      <c r="H3551" s="10" t="s">
        <v>21</v>
      </c>
      <c r="I3551" s="10" t="s">
        <v>300</v>
      </c>
      <c r="J3551" s="10" t="str">
        <f>""</f>
        <v/>
      </c>
      <c r="K3551" s="10" t="str">
        <f>"PFES1162565219_0001"</f>
        <v>PFES1162565219_0001</v>
      </c>
      <c r="L3551" s="10">
        <v>1</v>
      </c>
      <c r="M3551" s="10">
        <v>2</v>
      </c>
    </row>
    <row r="3552" spans="1:13">
      <c r="A3552" s="8">
        <v>42943</v>
      </c>
      <c r="B3552" s="9">
        <v>0.5</v>
      </c>
      <c r="C3552" s="10" t="str">
        <f>"FES1162565039"</f>
        <v>FES1162565039</v>
      </c>
      <c r="D3552" s="10" t="s">
        <v>19</v>
      </c>
      <c r="E3552" s="10" t="s">
        <v>816</v>
      </c>
      <c r="F3552" s="10" t="str">
        <f>"2170581421 "</f>
        <v xml:space="preserve">2170581421 </v>
      </c>
      <c r="G3552" s="10" t="str">
        <f>"ON1"</f>
        <v>ON1</v>
      </c>
      <c r="H3552" s="10" t="s">
        <v>21</v>
      </c>
      <c r="I3552" s="10" t="s">
        <v>817</v>
      </c>
      <c r="J3552" s="10" t="str">
        <f>""</f>
        <v/>
      </c>
      <c r="K3552" s="10" t="str">
        <f>"PFES1162565039_0001"</f>
        <v>PFES1162565039_0001</v>
      </c>
      <c r="L3552" s="10">
        <v>1</v>
      </c>
      <c r="M3552" s="10">
        <v>2</v>
      </c>
    </row>
    <row r="3553" spans="1:13">
      <c r="A3553" s="8">
        <v>42943</v>
      </c>
      <c r="B3553" s="9">
        <v>0.5</v>
      </c>
      <c r="C3553" s="10" t="str">
        <f>"FES1162565183"</f>
        <v>FES1162565183</v>
      </c>
      <c r="D3553" s="10" t="s">
        <v>19</v>
      </c>
      <c r="E3553" s="10" t="s">
        <v>1194</v>
      </c>
      <c r="F3553" s="10" t="str">
        <f>"2170581569 "</f>
        <v xml:space="preserve">2170581569 </v>
      </c>
      <c r="G3553" s="10" t="str">
        <f>"ON1"</f>
        <v>ON1</v>
      </c>
      <c r="H3553" s="10" t="s">
        <v>21</v>
      </c>
      <c r="I3553" s="10" t="s">
        <v>1195</v>
      </c>
      <c r="J3553" s="10" t="str">
        <f>""</f>
        <v/>
      </c>
      <c r="K3553" s="10" t="str">
        <f>"PFES1162565183_0001"</f>
        <v>PFES1162565183_0001</v>
      </c>
      <c r="L3553" s="10">
        <v>1</v>
      </c>
      <c r="M3553" s="10">
        <v>1</v>
      </c>
    </row>
    <row r="3554" spans="1:13">
      <c r="A3554" s="8">
        <v>42943</v>
      </c>
      <c r="B3554" s="9">
        <v>0.4993055555555555</v>
      </c>
      <c r="C3554" s="10" t="str">
        <f>"FES1162565157"</f>
        <v>FES1162565157</v>
      </c>
      <c r="D3554" s="10" t="s">
        <v>19</v>
      </c>
      <c r="E3554" s="10" t="s">
        <v>660</v>
      </c>
      <c r="F3554" s="10" t="str">
        <f>"21705783 "</f>
        <v xml:space="preserve">21705783 </v>
      </c>
      <c r="G3554" s="10" t="str">
        <f>"ON1"</f>
        <v>ON1</v>
      </c>
      <c r="H3554" s="10" t="s">
        <v>21</v>
      </c>
      <c r="I3554" s="10" t="s">
        <v>84</v>
      </c>
      <c r="J3554" s="10" t="str">
        <f>""</f>
        <v/>
      </c>
      <c r="K3554" s="10" t="str">
        <f>"PFES1162565157_0001"</f>
        <v>PFES1162565157_0001</v>
      </c>
      <c r="L3554" s="10">
        <v>1</v>
      </c>
      <c r="M3554" s="10">
        <v>1</v>
      </c>
    </row>
    <row r="3555" spans="1:13">
      <c r="A3555" s="8">
        <v>42943</v>
      </c>
      <c r="B3555" s="9">
        <v>0.49861111111111112</v>
      </c>
      <c r="C3555" s="10" t="str">
        <f>"FES1162565160"</f>
        <v>FES1162565160</v>
      </c>
      <c r="D3555" s="10" t="s">
        <v>19</v>
      </c>
      <c r="E3555" s="10" t="s">
        <v>479</v>
      </c>
      <c r="F3555" s="10" t="str">
        <f>"2170571327 "</f>
        <v xml:space="preserve">2170571327 </v>
      </c>
      <c r="G3555" s="10" t="str">
        <f>"DBC"</f>
        <v>DBC</v>
      </c>
      <c r="H3555" s="10" t="s">
        <v>21</v>
      </c>
      <c r="I3555" s="10" t="s">
        <v>480</v>
      </c>
      <c r="J3555" s="10" t="str">
        <f>""</f>
        <v/>
      </c>
      <c r="K3555" s="10" t="str">
        <f>"PFES1162565160_0001"</f>
        <v>PFES1162565160_0001</v>
      </c>
      <c r="L3555" s="10">
        <v>2</v>
      </c>
      <c r="M3555" s="10">
        <v>54</v>
      </c>
    </row>
    <row r="3556" spans="1:13">
      <c r="A3556" s="8">
        <v>42943</v>
      </c>
      <c r="B3556" s="9">
        <v>0.49861111111111112</v>
      </c>
      <c r="C3556" s="10" t="str">
        <f>"FES1162565160"</f>
        <v>FES1162565160</v>
      </c>
      <c r="D3556" s="10" t="s">
        <v>19</v>
      </c>
      <c r="E3556" s="10" t="s">
        <v>479</v>
      </c>
      <c r="F3556" s="10" t="str">
        <f>"2170571327 "</f>
        <v xml:space="preserve">2170571327 </v>
      </c>
      <c r="G3556" s="10" t="str">
        <f>"DBC"</f>
        <v>DBC</v>
      </c>
      <c r="H3556" s="10" t="s">
        <v>21</v>
      </c>
      <c r="I3556" s="10" t="s">
        <v>480</v>
      </c>
      <c r="J3556" s="10"/>
      <c r="K3556" s="10" t="str">
        <f>"PFES1162565160_0002"</f>
        <v>PFES1162565160_0002</v>
      </c>
      <c r="L3556" s="10">
        <v>2</v>
      </c>
      <c r="M3556" s="10">
        <v>54</v>
      </c>
    </row>
    <row r="3557" spans="1:13">
      <c r="A3557" s="8">
        <v>42943</v>
      </c>
      <c r="B3557" s="9">
        <v>0.49861111111111112</v>
      </c>
      <c r="C3557" s="10" t="str">
        <f>"FES1162565168"</f>
        <v>FES1162565168</v>
      </c>
      <c r="D3557" s="10" t="s">
        <v>19</v>
      </c>
      <c r="E3557" s="10" t="s">
        <v>378</v>
      </c>
      <c r="F3557" s="10" t="str">
        <f>"2170579524 "</f>
        <v xml:space="preserve">2170579524 </v>
      </c>
      <c r="G3557" s="10" t="str">
        <f>"ON1"</f>
        <v>ON1</v>
      </c>
      <c r="H3557" s="10" t="s">
        <v>21</v>
      </c>
      <c r="I3557" s="10" t="s">
        <v>36</v>
      </c>
      <c r="J3557" s="10" t="str">
        <f>""</f>
        <v/>
      </c>
      <c r="K3557" s="10" t="str">
        <f>"PFES1162565168_0001"</f>
        <v>PFES1162565168_0001</v>
      </c>
      <c r="L3557" s="10">
        <v>1</v>
      </c>
      <c r="M3557" s="10">
        <v>12</v>
      </c>
    </row>
    <row r="3558" spans="1:13">
      <c r="A3558" s="8">
        <v>42943</v>
      </c>
      <c r="B3558" s="9">
        <v>0.49791666666666662</v>
      </c>
      <c r="C3558" s="10" t="str">
        <f>"FES1162565050"</f>
        <v>FES1162565050</v>
      </c>
      <c r="D3558" s="10" t="s">
        <v>19</v>
      </c>
      <c r="E3558" s="10" t="s">
        <v>333</v>
      </c>
      <c r="F3558" s="10" t="str">
        <f>"2170581441 "</f>
        <v xml:space="preserve">2170581441 </v>
      </c>
      <c r="G3558" s="10" t="str">
        <f>"DBC"</f>
        <v>DBC</v>
      </c>
      <c r="H3558" s="10" t="s">
        <v>21</v>
      </c>
      <c r="I3558" s="10" t="s">
        <v>334</v>
      </c>
      <c r="J3558" s="10" t="str">
        <f>""</f>
        <v/>
      </c>
      <c r="K3558" s="10" t="str">
        <f>"PFES1162565050_0001"</f>
        <v>PFES1162565050_0001</v>
      </c>
      <c r="L3558" s="10">
        <v>2</v>
      </c>
      <c r="M3558" s="10">
        <v>21</v>
      </c>
    </row>
    <row r="3559" spans="1:13">
      <c r="A3559" s="8">
        <v>42943</v>
      </c>
      <c r="B3559" s="9">
        <v>0.49791666666666662</v>
      </c>
      <c r="C3559" s="10" t="str">
        <f>"FES1162565050"</f>
        <v>FES1162565050</v>
      </c>
      <c r="D3559" s="10" t="s">
        <v>19</v>
      </c>
      <c r="E3559" s="10" t="s">
        <v>333</v>
      </c>
      <c r="F3559" s="10" t="str">
        <f>"2170581441 "</f>
        <v xml:space="preserve">2170581441 </v>
      </c>
      <c r="G3559" s="10" t="str">
        <f>"DBC"</f>
        <v>DBC</v>
      </c>
      <c r="H3559" s="10" t="s">
        <v>21</v>
      </c>
      <c r="I3559" s="10" t="s">
        <v>334</v>
      </c>
      <c r="J3559" s="10"/>
      <c r="K3559" s="10" t="str">
        <f>"PFES1162565050_0002"</f>
        <v>PFES1162565050_0002</v>
      </c>
      <c r="L3559" s="10">
        <v>2</v>
      </c>
      <c r="M3559" s="10">
        <v>21</v>
      </c>
    </row>
    <row r="3560" spans="1:13">
      <c r="A3560" s="8">
        <v>42943</v>
      </c>
      <c r="B3560" s="9">
        <v>0.49722222222222223</v>
      </c>
      <c r="C3560" s="10" t="str">
        <f>"FES1162565264"</f>
        <v>FES1162565264</v>
      </c>
      <c r="D3560" s="10" t="s">
        <v>19</v>
      </c>
      <c r="E3560" s="10" t="s">
        <v>78</v>
      </c>
      <c r="F3560" s="10" t="str">
        <f>"2170581751 "</f>
        <v xml:space="preserve">2170581751 </v>
      </c>
      <c r="G3560" s="10" t="str">
        <f t="shared" ref="G3560:G3574" si="156">"ON1"</f>
        <v>ON1</v>
      </c>
      <c r="H3560" s="10" t="s">
        <v>21</v>
      </c>
      <c r="I3560" s="10" t="s">
        <v>79</v>
      </c>
      <c r="J3560" s="10" t="str">
        <f>""</f>
        <v/>
      </c>
      <c r="K3560" s="10" t="str">
        <f>"PFES1162565264_0001"</f>
        <v>PFES1162565264_0001</v>
      </c>
      <c r="L3560" s="10">
        <v>1</v>
      </c>
      <c r="M3560" s="10">
        <v>2</v>
      </c>
    </row>
    <row r="3561" spans="1:13">
      <c r="A3561" s="8">
        <v>42943</v>
      </c>
      <c r="B3561" s="9">
        <v>0.49652777777777773</v>
      </c>
      <c r="C3561" s="10" t="str">
        <f>"FES1162565260"</f>
        <v>FES1162565260</v>
      </c>
      <c r="D3561" s="10" t="s">
        <v>19</v>
      </c>
      <c r="E3561" s="10" t="s">
        <v>245</v>
      </c>
      <c r="F3561" s="10" t="str">
        <f>"2170580450 "</f>
        <v xml:space="preserve">2170580450 </v>
      </c>
      <c r="G3561" s="10" t="str">
        <f t="shared" si="156"/>
        <v>ON1</v>
      </c>
      <c r="H3561" s="10" t="s">
        <v>21</v>
      </c>
      <c r="I3561" s="10" t="s">
        <v>246</v>
      </c>
      <c r="J3561" s="10" t="str">
        <f>""</f>
        <v/>
      </c>
      <c r="K3561" s="10" t="str">
        <f>"PFES1162565260_0001"</f>
        <v>PFES1162565260_0001</v>
      </c>
      <c r="L3561" s="10">
        <v>1</v>
      </c>
      <c r="M3561" s="10">
        <v>1</v>
      </c>
    </row>
    <row r="3562" spans="1:13">
      <c r="A3562" s="8">
        <v>42943</v>
      </c>
      <c r="B3562" s="9">
        <v>0.49652777777777773</v>
      </c>
      <c r="C3562" s="10" t="str">
        <f>"FES1162565255"</f>
        <v>FES1162565255</v>
      </c>
      <c r="D3562" s="10" t="s">
        <v>19</v>
      </c>
      <c r="E3562" s="10" t="s">
        <v>1196</v>
      </c>
      <c r="F3562" s="10" t="str">
        <f>"2170581734 "</f>
        <v xml:space="preserve">2170581734 </v>
      </c>
      <c r="G3562" s="10" t="str">
        <f t="shared" si="156"/>
        <v>ON1</v>
      </c>
      <c r="H3562" s="10" t="s">
        <v>21</v>
      </c>
      <c r="I3562" s="10" t="s">
        <v>400</v>
      </c>
      <c r="J3562" s="10" t="str">
        <f>""</f>
        <v/>
      </c>
      <c r="K3562" s="10" t="str">
        <f>"PFES1162565255_0001"</f>
        <v>PFES1162565255_0001</v>
      </c>
      <c r="L3562" s="10">
        <v>1</v>
      </c>
      <c r="M3562" s="10">
        <v>1</v>
      </c>
    </row>
    <row r="3563" spans="1:13">
      <c r="A3563" s="8">
        <v>42943</v>
      </c>
      <c r="B3563" s="9">
        <v>0.49583333333333335</v>
      </c>
      <c r="C3563" s="10" t="str">
        <f>"FES1162565262"</f>
        <v>FES1162565262</v>
      </c>
      <c r="D3563" s="10" t="s">
        <v>19</v>
      </c>
      <c r="E3563" s="10" t="s">
        <v>162</v>
      </c>
      <c r="F3563" s="10" t="str">
        <f>"2170581742 "</f>
        <v xml:space="preserve">2170581742 </v>
      </c>
      <c r="G3563" s="10" t="str">
        <f t="shared" si="156"/>
        <v>ON1</v>
      </c>
      <c r="H3563" s="10" t="s">
        <v>21</v>
      </c>
      <c r="I3563" s="10" t="s">
        <v>163</v>
      </c>
      <c r="J3563" s="10" t="str">
        <f>""</f>
        <v/>
      </c>
      <c r="K3563" s="10" t="str">
        <f>"PFES1162565262_0001"</f>
        <v>PFES1162565262_0001</v>
      </c>
      <c r="L3563" s="10">
        <v>1</v>
      </c>
      <c r="M3563" s="10">
        <v>1</v>
      </c>
    </row>
    <row r="3564" spans="1:13">
      <c r="A3564" s="8">
        <v>42943</v>
      </c>
      <c r="B3564" s="9">
        <v>0.49513888888888885</v>
      </c>
      <c r="C3564" s="10" t="str">
        <f>"FES1162565046"</f>
        <v>FES1162565046</v>
      </c>
      <c r="D3564" s="10" t="s">
        <v>19</v>
      </c>
      <c r="E3564" s="10" t="s">
        <v>1197</v>
      </c>
      <c r="F3564" s="10" t="str">
        <f>"2170573397 "</f>
        <v xml:space="preserve">2170573397 </v>
      </c>
      <c r="G3564" s="10" t="str">
        <f t="shared" si="156"/>
        <v>ON1</v>
      </c>
      <c r="H3564" s="10" t="s">
        <v>21</v>
      </c>
      <c r="I3564" s="10" t="s">
        <v>620</v>
      </c>
      <c r="J3564" s="10" t="str">
        <f>""</f>
        <v/>
      </c>
      <c r="K3564" s="10" t="str">
        <f>"PFES1162565046_0001"</f>
        <v>PFES1162565046_0001</v>
      </c>
      <c r="L3564" s="10">
        <v>1</v>
      </c>
      <c r="M3564" s="10">
        <v>1</v>
      </c>
    </row>
    <row r="3565" spans="1:13">
      <c r="A3565" s="8">
        <v>42943</v>
      </c>
      <c r="B3565" s="9">
        <v>0.49374999999999997</v>
      </c>
      <c r="C3565" s="10" t="str">
        <f>"FES1162565206"</f>
        <v>FES1162565206</v>
      </c>
      <c r="D3565" s="10" t="s">
        <v>19</v>
      </c>
      <c r="E3565" s="10" t="s">
        <v>460</v>
      </c>
      <c r="F3565" s="10" t="str">
        <f>"2170581641 "</f>
        <v xml:space="preserve">2170581641 </v>
      </c>
      <c r="G3565" s="10" t="str">
        <f t="shared" si="156"/>
        <v>ON1</v>
      </c>
      <c r="H3565" s="10" t="s">
        <v>21</v>
      </c>
      <c r="I3565" s="10" t="s">
        <v>461</v>
      </c>
      <c r="J3565" s="10" t="str">
        <f>""</f>
        <v/>
      </c>
      <c r="K3565" s="10" t="str">
        <f>"PFES1162565206_0001"</f>
        <v>PFES1162565206_0001</v>
      </c>
      <c r="L3565" s="10">
        <v>1</v>
      </c>
      <c r="M3565" s="10">
        <v>1</v>
      </c>
    </row>
    <row r="3566" spans="1:13">
      <c r="A3566" s="8">
        <v>42943</v>
      </c>
      <c r="B3566" s="9">
        <v>0.49305555555555558</v>
      </c>
      <c r="C3566" s="10" t="str">
        <f>"FES1162563290"</f>
        <v>FES1162563290</v>
      </c>
      <c r="D3566" s="10" t="s">
        <v>19</v>
      </c>
      <c r="E3566" s="10" t="s">
        <v>55</v>
      </c>
      <c r="F3566" s="10" t="str">
        <f>"2170579456 "</f>
        <v xml:space="preserve">2170579456 </v>
      </c>
      <c r="G3566" s="10" t="str">
        <f t="shared" si="156"/>
        <v>ON1</v>
      </c>
      <c r="H3566" s="10" t="s">
        <v>21</v>
      </c>
      <c r="I3566" s="10" t="s">
        <v>56</v>
      </c>
      <c r="J3566" s="10" t="str">
        <f>""</f>
        <v/>
      </c>
      <c r="K3566" s="10" t="str">
        <f>"PFES1162563290_0001"</f>
        <v>PFES1162563290_0001</v>
      </c>
      <c r="L3566" s="10">
        <v>1</v>
      </c>
      <c r="M3566" s="10">
        <v>1</v>
      </c>
    </row>
    <row r="3567" spans="1:13">
      <c r="A3567" s="8">
        <v>42943</v>
      </c>
      <c r="B3567" s="9">
        <v>0.49305555555555558</v>
      </c>
      <c r="C3567" s="10" t="str">
        <f>"FES1162565184"</f>
        <v>FES1162565184</v>
      </c>
      <c r="D3567" s="10" t="s">
        <v>19</v>
      </c>
      <c r="E3567" s="10" t="s">
        <v>186</v>
      </c>
      <c r="F3567" s="10" t="str">
        <f>"2170581611 "</f>
        <v xml:space="preserve">2170581611 </v>
      </c>
      <c r="G3567" s="10" t="str">
        <f t="shared" si="156"/>
        <v>ON1</v>
      </c>
      <c r="H3567" s="10" t="s">
        <v>21</v>
      </c>
      <c r="I3567" s="10" t="s">
        <v>187</v>
      </c>
      <c r="J3567" s="10" t="str">
        <f>""</f>
        <v/>
      </c>
      <c r="K3567" s="10" t="str">
        <f>"PFES1162565184_0001"</f>
        <v>PFES1162565184_0001</v>
      </c>
      <c r="L3567" s="10">
        <v>1</v>
      </c>
      <c r="M3567" s="10">
        <v>1</v>
      </c>
    </row>
    <row r="3568" spans="1:13">
      <c r="A3568" s="8">
        <v>42943</v>
      </c>
      <c r="B3568" s="9">
        <v>0.4916666666666667</v>
      </c>
      <c r="C3568" s="10" t="str">
        <f>"FES1162565175"</f>
        <v>FES1162565175</v>
      </c>
      <c r="D3568" s="10" t="s">
        <v>19</v>
      </c>
      <c r="E3568" s="10" t="s">
        <v>853</v>
      </c>
      <c r="F3568" s="10" t="str">
        <f>"2170579996 "</f>
        <v xml:space="preserve">2170579996 </v>
      </c>
      <c r="G3568" s="10" t="str">
        <f t="shared" si="156"/>
        <v>ON1</v>
      </c>
      <c r="H3568" s="10" t="s">
        <v>21</v>
      </c>
      <c r="I3568" s="10" t="s">
        <v>179</v>
      </c>
      <c r="J3568" s="10" t="str">
        <f>""</f>
        <v/>
      </c>
      <c r="K3568" s="10" t="str">
        <f>"PFES1162565175_0001"</f>
        <v>PFES1162565175_0001</v>
      </c>
      <c r="L3568" s="10">
        <v>1</v>
      </c>
      <c r="M3568" s="10">
        <v>1</v>
      </c>
    </row>
    <row r="3569" spans="1:13">
      <c r="A3569" s="8">
        <v>42943</v>
      </c>
      <c r="B3569" s="9">
        <v>0.4909722222222222</v>
      </c>
      <c r="C3569" s="10" t="str">
        <f>"FES1162564415"</f>
        <v>FES1162564415</v>
      </c>
      <c r="D3569" s="10" t="s">
        <v>19</v>
      </c>
      <c r="E3569" s="10" t="s">
        <v>1048</v>
      </c>
      <c r="F3569" s="10" t="str">
        <f>"2170578527 "</f>
        <v xml:space="preserve">2170578527 </v>
      </c>
      <c r="G3569" s="10" t="str">
        <f t="shared" si="156"/>
        <v>ON1</v>
      </c>
      <c r="H3569" s="10" t="s">
        <v>21</v>
      </c>
      <c r="I3569" s="10" t="s">
        <v>1049</v>
      </c>
      <c r="J3569" s="10" t="str">
        <f>""</f>
        <v/>
      </c>
      <c r="K3569" s="10" t="str">
        <f>"PFES1162564415_0001"</f>
        <v>PFES1162564415_0001</v>
      </c>
      <c r="L3569" s="10">
        <v>1</v>
      </c>
      <c r="M3569" s="10">
        <v>1</v>
      </c>
    </row>
    <row r="3570" spans="1:13">
      <c r="A3570" s="8">
        <v>42943</v>
      </c>
      <c r="B3570" s="9">
        <v>0.48958333333333331</v>
      </c>
      <c r="C3570" s="10" t="str">
        <f>"FES1162565161"</f>
        <v>FES1162565161</v>
      </c>
      <c r="D3570" s="10" t="s">
        <v>19</v>
      </c>
      <c r="E3570" s="10" t="s">
        <v>178</v>
      </c>
      <c r="F3570" s="10" t="str">
        <f>"2170574666 "</f>
        <v xml:space="preserve">2170574666 </v>
      </c>
      <c r="G3570" s="10" t="str">
        <f t="shared" si="156"/>
        <v>ON1</v>
      </c>
      <c r="H3570" s="10" t="s">
        <v>21</v>
      </c>
      <c r="I3570" s="10" t="s">
        <v>179</v>
      </c>
      <c r="J3570" s="10" t="str">
        <f>""</f>
        <v/>
      </c>
      <c r="K3570" s="10" t="str">
        <f>"PFES1162565161_0001"</f>
        <v>PFES1162565161_0001</v>
      </c>
      <c r="L3570" s="10">
        <v>1</v>
      </c>
      <c r="M3570" s="10">
        <v>1</v>
      </c>
    </row>
    <row r="3571" spans="1:13">
      <c r="A3571" s="8">
        <v>42943</v>
      </c>
      <c r="B3571" s="9">
        <v>0.48888888888888887</v>
      </c>
      <c r="C3571" s="10" t="str">
        <f>"FES1162565210"</f>
        <v>FES1162565210</v>
      </c>
      <c r="D3571" s="10" t="s">
        <v>19</v>
      </c>
      <c r="E3571" s="10" t="s">
        <v>20</v>
      </c>
      <c r="F3571" s="10" t="str">
        <f>"2170581648 "</f>
        <v xml:space="preserve">2170581648 </v>
      </c>
      <c r="G3571" s="10" t="str">
        <f t="shared" si="156"/>
        <v>ON1</v>
      </c>
      <c r="H3571" s="10" t="s">
        <v>21</v>
      </c>
      <c r="I3571" s="10" t="s">
        <v>22</v>
      </c>
      <c r="J3571" s="10" t="str">
        <f>""</f>
        <v/>
      </c>
      <c r="K3571" s="10" t="str">
        <f>"PFES1162565210_0001"</f>
        <v>PFES1162565210_0001</v>
      </c>
      <c r="L3571" s="10">
        <v>1</v>
      </c>
      <c r="M3571" s="10">
        <v>1</v>
      </c>
    </row>
    <row r="3572" spans="1:13">
      <c r="A3572" s="8">
        <v>42943</v>
      </c>
      <c r="B3572" s="9">
        <v>0.48819444444444443</v>
      </c>
      <c r="C3572" s="10" t="str">
        <f>"FES1162565218"</f>
        <v>FES1162565218</v>
      </c>
      <c r="D3572" s="10" t="s">
        <v>19</v>
      </c>
      <c r="E3572" s="10" t="s">
        <v>272</v>
      </c>
      <c r="F3572" s="10" t="str">
        <f>"2170581658 "</f>
        <v xml:space="preserve">2170581658 </v>
      </c>
      <c r="G3572" s="10" t="str">
        <f t="shared" si="156"/>
        <v>ON1</v>
      </c>
      <c r="H3572" s="10" t="s">
        <v>21</v>
      </c>
      <c r="I3572" s="10" t="s">
        <v>166</v>
      </c>
      <c r="J3572" s="10" t="str">
        <f>""</f>
        <v/>
      </c>
      <c r="K3572" s="10" t="str">
        <f>"PFES1162565218_0001"</f>
        <v>PFES1162565218_0001</v>
      </c>
      <c r="L3572" s="10">
        <v>1</v>
      </c>
      <c r="M3572" s="10">
        <v>10</v>
      </c>
    </row>
    <row r="3573" spans="1:13">
      <c r="A3573" s="8">
        <v>42943</v>
      </c>
      <c r="B3573" s="9">
        <v>0.48749999999999999</v>
      </c>
      <c r="C3573" s="10" t="str">
        <f>"FES1162565158"</f>
        <v>FES1162565158</v>
      </c>
      <c r="D3573" s="10" t="s">
        <v>19</v>
      </c>
      <c r="E3573" s="10" t="s">
        <v>471</v>
      </c>
      <c r="F3573" s="10" t="str">
        <f>"2170579344 "</f>
        <v xml:space="preserve">2170579344 </v>
      </c>
      <c r="G3573" s="10" t="str">
        <f t="shared" si="156"/>
        <v>ON1</v>
      </c>
      <c r="H3573" s="10" t="s">
        <v>21</v>
      </c>
      <c r="I3573" s="10" t="s">
        <v>138</v>
      </c>
      <c r="J3573" s="10" t="str">
        <f>""</f>
        <v/>
      </c>
      <c r="K3573" s="10" t="str">
        <f>"PFES1162565158_0001"</f>
        <v>PFES1162565158_0001</v>
      </c>
      <c r="L3573" s="10">
        <v>1</v>
      </c>
      <c r="M3573" s="10">
        <v>1</v>
      </c>
    </row>
    <row r="3574" spans="1:13">
      <c r="A3574" s="8">
        <v>42943</v>
      </c>
      <c r="B3574" s="9">
        <v>0.48680555555555555</v>
      </c>
      <c r="C3574" s="10" t="str">
        <f>"FES1162565193"</f>
        <v>FES1162565193</v>
      </c>
      <c r="D3574" s="10" t="s">
        <v>19</v>
      </c>
      <c r="E3574" s="10" t="s">
        <v>1198</v>
      </c>
      <c r="F3574" s="10" t="str">
        <f>"2170581618 "</f>
        <v xml:space="preserve">2170581618 </v>
      </c>
      <c r="G3574" s="10" t="str">
        <f t="shared" si="156"/>
        <v>ON1</v>
      </c>
      <c r="H3574" s="10" t="s">
        <v>21</v>
      </c>
      <c r="I3574" s="10" t="s">
        <v>1199</v>
      </c>
      <c r="J3574" s="10" t="str">
        <f>""</f>
        <v/>
      </c>
      <c r="K3574" s="10" t="str">
        <f>"PFES1162565193_0001"</f>
        <v>PFES1162565193_0001</v>
      </c>
      <c r="L3574" s="10">
        <v>1</v>
      </c>
      <c r="M3574" s="10">
        <v>1</v>
      </c>
    </row>
    <row r="3575" spans="1:13">
      <c r="A3575" s="8">
        <v>42943</v>
      </c>
      <c r="B3575" s="9">
        <v>0.48541666666666666</v>
      </c>
      <c r="C3575" s="10" t="str">
        <f>"FES1162565133"</f>
        <v>FES1162565133</v>
      </c>
      <c r="D3575" s="10" t="s">
        <v>19</v>
      </c>
      <c r="E3575" s="10" t="s">
        <v>1200</v>
      </c>
      <c r="F3575" s="10" t="str">
        <f>"2170578259 "</f>
        <v xml:space="preserve">2170578259 </v>
      </c>
      <c r="G3575" s="10" t="str">
        <f>"DBC"</f>
        <v>DBC</v>
      </c>
      <c r="H3575" s="10" t="s">
        <v>21</v>
      </c>
      <c r="I3575" s="10" t="s">
        <v>577</v>
      </c>
      <c r="J3575" s="10" t="str">
        <f>"FRAGILE OIL"</f>
        <v>FRAGILE OIL</v>
      </c>
      <c r="K3575" s="10" t="str">
        <f>"PFES1162565133_0001"</f>
        <v>PFES1162565133_0001</v>
      </c>
      <c r="L3575" s="10">
        <v>1</v>
      </c>
      <c r="M3575" s="10">
        <v>3</v>
      </c>
    </row>
    <row r="3576" spans="1:13">
      <c r="A3576" s="8">
        <v>42943</v>
      </c>
      <c r="B3576" s="9">
        <v>0.48402777777777778</v>
      </c>
      <c r="C3576" s="10" t="str">
        <f>"FES1162565191"</f>
        <v>FES1162565191</v>
      </c>
      <c r="D3576" s="10" t="s">
        <v>19</v>
      </c>
      <c r="E3576" s="10" t="s">
        <v>1198</v>
      </c>
      <c r="F3576" s="10" t="str">
        <f>"2170581616 "</f>
        <v xml:space="preserve">2170581616 </v>
      </c>
      <c r="G3576" s="10" t="str">
        <f t="shared" ref="G3576:G3604" si="157">"ON1"</f>
        <v>ON1</v>
      </c>
      <c r="H3576" s="10" t="s">
        <v>21</v>
      </c>
      <c r="I3576" s="10" t="s">
        <v>1199</v>
      </c>
      <c r="J3576" s="10" t="str">
        <f>""</f>
        <v/>
      </c>
      <c r="K3576" s="10" t="str">
        <f>"PFES1162565191_0001"</f>
        <v>PFES1162565191_0001</v>
      </c>
      <c r="L3576" s="10">
        <v>1</v>
      </c>
      <c r="M3576" s="10">
        <v>1</v>
      </c>
    </row>
    <row r="3577" spans="1:13">
      <c r="A3577" s="8">
        <v>42943</v>
      </c>
      <c r="B3577" s="9">
        <v>0.4826388888888889</v>
      </c>
      <c r="C3577" s="10" t="str">
        <f>"FES1162565213"</f>
        <v>FES1162565213</v>
      </c>
      <c r="D3577" s="10" t="s">
        <v>19</v>
      </c>
      <c r="E3577" s="10" t="s">
        <v>1201</v>
      </c>
      <c r="F3577" s="10" t="str">
        <f>"2170581654 "</f>
        <v xml:space="preserve">2170581654 </v>
      </c>
      <c r="G3577" s="10" t="str">
        <f t="shared" si="157"/>
        <v>ON1</v>
      </c>
      <c r="H3577" s="10" t="s">
        <v>21</v>
      </c>
      <c r="I3577" s="10" t="s">
        <v>177</v>
      </c>
      <c r="J3577" s="10" t="str">
        <f>""</f>
        <v/>
      </c>
      <c r="K3577" s="10" t="str">
        <f>"PFES1162565213_0001"</f>
        <v>PFES1162565213_0001</v>
      </c>
      <c r="L3577" s="10">
        <v>1</v>
      </c>
      <c r="M3577" s="10">
        <v>1</v>
      </c>
    </row>
    <row r="3578" spans="1:13">
      <c r="A3578" s="8">
        <v>42943</v>
      </c>
      <c r="B3578" s="9">
        <v>0.48125000000000001</v>
      </c>
      <c r="C3578" s="10" t="str">
        <f>"FES11625655200"</f>
        <v>FES11625655200</v>
      </c>
      <c r="D3578" s="10" t="s">
        <v>19</v>
      </c>
      <c r="E3578" s="10" t="s">
        <v>1202</v>
      </c>
      <c r="F3578" s="10" t="str">
        <f>"2170581623 "</f>
        <v xml:space="preserve">2170581623 </v>
      </c>
      <c r="G3578" s="10" t="str">
        <f t="shared" si="157"/>
        <v>ON1</v>
      </c>
      <c r="H3578" s="10" t="s">
        <v>21</v>
      </c>
      <c r="I3578" s="10" t="s">
        <v>1203</v>
      </c>
      <c r="J3578" s="10" t="str">
        <f>""</f>
        <v/>
      </c>
      <c r="K3578" s="10" t="str">
        <f>"PFES11625655200_0001"</f>
        <v>PFES11625655200_0001</v>
      </c>
      <c r="L3578" s="10">
        <v>1</v>
      </c>
      <c r="M3578" s="10">
        <v>1</v>
      </c>
    </row>
    <row r="3579" spans="1:13">
      <c r="A3579" s="8">
        <v>42943</v>
      </c>
      <c r="B3579" s="9">
        <v>0.48055555555555557</v>
      </c>
      <c r="C3579" s="10" t="str">
        <f>"FES1162565171"</f>
        <v>FES1162565171</v>
      </c>
      <c r="D3579" s="10" t="s">
        <v>19</v>
      </c>
      <c r="E3579" s="10" t="s">
        <v>361</v>
      </c>
      <c r="F3579" s="10" t="str">
        <f>"2170579569 "</f>
        <v xml:space="preserve">2170579569 </v>
      </c>
      <c r="G3579" s="10" t="str">
        <f t="shared" si="157"/>
        <v>ON1</v>
      </c>
      <c r="H3579" s="10" t="s">
        <v>21</v>
      </c>
      <c r="I3579" s="10" t="s">
        <v>106</v>
      </c>
      <c r="J3579" s="10" t="str">
        <f>""</f>
        <v/>
      </c>
      <c r="K3579" s="10" t="str">
        <f>"PFES1162565171_0001"</f>
        <v>PFES1162565171_0001</v>
      </c>
      <c r="L3579" s="10">
        <v>1</v>
      </c>
      <c r="M3579" s="10">
        <v>1</v>
      </c>
    </row>
    <row r="3580" spans="1:13">
      <c r="A3580" s="8">
        <v>42943</v>
      </c>
      <c r="B3580" s="9">
        <v>0.47986111111111113</v>
      </c>
      <c r="C3580" s="10" t="str">
        <f>"FES1162565179"</f>
        <v>FES1162565179</v>
      </c>
      <c r="D3580" s="10" t="s">
        <v>19</v>
      </c>
      <c r="E3580" s="10" t="s">
        <v>69</v>
      </c>
      <c r="F3580" s="10" t="str">
        <f>"2170581602 "</f>
        <v xml:space="preserve">2170581602 </v>
      </c>
      <c r="G3580" s="10" t="str">
        <f t="shared" si="157"/>
        <v>ON1</v>
      </c>
      <c r="H3580" s="10" t="s">
        <v>21</v>
      </c>
      <c r="I3580" s="10" t="s">
        <v>70</v>
      </c>
      <c r="J3580" s="10" t="str">
        <f>""</f>
        <v/>
      </c>
      <c r="K3580" s="10" t="str">
        <f>"PFES1162565179_0001"</f>
        <v>PFES1162565179_0001</v>
      </c>
      <c r="L3580" s="10">
        <v>1</v>
      </c>
      <c r="M3580" s="10">
        <v>1</v>
      </c>
    </row>
    <row r="3581" spans="1:13">
      <c r="A3581" s="8">
        <v>42943</v>
      </c>
      <c r="B3581" s="9">
        <v>0.47847222222222219</v>
      </c>
      <c r="C3581" s="10" t="str">
        <f>"FES1162565073"</f>
        <v>FES1162565073</v>
      </c>
      <c r="D3581" s="10" t="s">
        <v>19</v>
      </c>
      <c r="E3581" s="10" t="s">
        <v>107</v>
      </c>
      <c r="F3581" s="10" t="str">
        <f>"2170581476 "</f>
        <v xml:space="preserve">2170581476 </v>
      </c>
      <c r="G3581" s="10" t="str">
        <f t="shared" si="157"/>
        <v>ON1</v>
      </c>
      <c r="H3581" s="10" t="s">
        <v>21</v>
      </c>
      <c r="I3581" s="10" t="s">
        <v>75</v>
      </c>
      <c r="J3581" s="10" t="str">
        <f>""</f>
        <v/>
      </c>
      <c r="K3581" s="10" t="str">
        <f>"PFES1162565073_0001"</f>
        <v>PFES1162565073_0001</v>
      </c>
      <c r="L3581" s="10">
        <v>1</v>
      </c>
      <c r="M3581" s="10">
        <v>1</v>
      </c>
    </row>
    <row r="3582" spans="1:13">
      <c r="A3582" s="8">
        <v>42943</v>
      </c>
      <c r="B3582" s="9">
        <v>0.4777777777777778</v>
      </c>
      <c r="C3582" s="10" t="str">
        <f>"FES1162565117"</f>
        <v>FES1162565117</v>
      </c>
      <c r="D3582" s="10" t="s">
        <v>19</v>
      </c>
      <c r="E3582" s="10" t="s">
        <v>1095</v>
      </c>
      <c r="F3582" s="10" t="str">
        <f>"2170580078 "</f>
        <v xml:space="preserve">2170580078 </v>
      </c>
      <c r="G3582" s="10" t="str">
        <f t="shared" si="157"/>
        <v>ON1</v>
      </c>
      <c r="H3582" s="10" t="s">
        <v>21</v>
      </c>
      <c r="I3582" s="10" t="s">
        <v>1096</v>
      </c>
      <c r="J3582" s="10" t="str">
        <f>""</f>
        <v/>
      </c>
      <c r="K3582" s="10" t="str">
        <f>"PFES1162565117_0001"</f>
        <v>PFES1162565117_0001</v>
      </c>
      <c r="L3582" s="10">
        <v>1</v>
      </c>
      <c r="M3582" s="10">
        <v>1</v>
      </c>
    </row>
    <row r="3583" spans="1:13">
      <c r="A3583" s="8">
        <v>42943</v>
      </c>
      <c r="B3583" s="9">
        <v>0.4770833333333333</v>
      </c>
      <c r="C3583" s="10" t="str">
        <f>"FES1162565101"</f>
        <v>FES1162565101</v>
      </c>
      <c r="D3583" s="10" t="s">
        <v>19</v>
      </c>
      <c r="E3583" s="10" t="s">
        <v>107</v>
      </c>
      <c r="F3583" s="10" t="str">
        <f>"2170581524 "</f>
        <v xml:space="preserve">2170581524 </v>
      </c>
      <c r="G3583" s="10" t="str">
        <f t="shared" si="157"/>
        <v>ON1</v>
      </c>
      <c r="H3583" s="10" t="s">
        <v>21</v>
      </c>
      <c r="I3583" s="10" t="s">
        <v>75</v>
      </c>
      <c r="J3583" s="10" t="str">
        <f>""</f>
        <v/>
      </c>
      <c r="K3583" s="10" t="str">
        <f>"PFES1162565101_0001"</f>
        <v>PFES1162565101_0001</v>
      </c>
      <c r="L3583" s="10">
        <v>1</v>
      </c>
      <c r="M3583" s="10">
        <v>1</v>
      </c>
    </row>
    <row r="3584" spans="1:13">
      <c r="A3584" s="8">
        <v>42943</v>
      </c>
      <c r="B3584" s="9">
        <v>0.46666666666666662</v>
      </c>
      <c r="C3584" s="10" t="str">
        <f>"FES1162565182"</f>
        <v>FES1162565182</v>
      </c>
      <c r="D3584" s="10" t="s">
        <v>19</v>
      </c>
      <c r="E3584" s="10" t="s">
        <v>536</v>
      </c>
      <c r="F3584" s="10" t="str">
        <f>"2170577640 "</f>
        <v xml:space="preserve">2170577640 </v>
      </c>
      <c r="G3584" s="10" t="str">
        <f t="shared" si="157"/>
        <v>ON1</v>
      </c>
      <c r="H3584" s="10" t="s">
        <v>21</v>
      </c>
      <c r="I3584" s="10" t="s">
        <v>26</v>
      </c>
      <c r="J3584" s="10" t="str">
        <f>""</f>
        <v/>
      </c>
      <c r="K3584" s="10" t="str">
        <f>"PFES1162565182_0001"</f>
        <v>PFES1162565182_0001</v>
      </c>
      <c r="L3584" s="10">
        <v>1</v>
      </c>
      <c r="M3584" s="10">
        <v>2</v>
      </c>
    </row>
    <row r="3585" spans="1:13">
      <c r="A3585" s="8">
        <v>42943</v>
      </c>
      <c r="B3585" s="9">
        <v>0.46597222222222223</v>
      </c>
      <c r="C3585" s="10" t="str">
        <f>"FES1162565074"</f>
        <v>FES1162565074</v>
      </c>
      <c r="D3585" s="10" t="s">
        <v>19</v>
      </c>
      <c r="E3585" s="10" t="s">
        <v>521</v>
      </c>
      <c r="F3585" s="10" t="str">
        <f>"2170581471 "</f>
        <v xml:space="preserve">2170581471 </v>
      </c>
      <c r="G3585" s="10" t="str">
        <f t="shared" si="157"/>
        <v>ON1</v>
      </c>
      <c r="H3585" s="10" t="s">
        <v>21</v>
      </c>
      <c r="I3585" s="10" t="s">
        <v>215</v>
      </c>
      <c r="J3585" s="10" t="str">
        <f>""</f>
        <v/>
      </c>
      <c r="K3585" s="10" t="str">
        <f>"PFES1162565074_0001"</f>
        <v>PFES1162565074_0001</v>
      </c>
      <c r="L3585" s="10">
        <v>1</v>
      </c>
      <c r="M3585" s="10">
        <v>4</v>
      </c>
    </row>
    <row r="3586" spans="1:13">
      <c r="A3586" s="8">
        <v>42943</v>
      </c>
      <c r="B3586" s="9">
        <v>0.4597222222222222</v>
      </c>
      <c r="C3586" s="10" t="str">
        <f>"FES1162565055"</f>
        <v>FES1162565055</v>
      </c>
      <c r="D3586" s="10" t="s">
        <v>19</v>
      </c>
      <c r="E3586" s="10" t="s">
        <v>912</v>
      </c>
      <c r="F3586" s="10" t="str">
        <f>"2170581446 "</f>
        <v xml:space="preserve">2170581446 </v>
      </c>
      <c r="G3586" s="10" t="str">
        <f t="shared" si="157"/>
        <v>ON1</v>
      </c>
      <c r="H3586" s="10" t="s">
        <v>21</v>
      </c>
      <c r="I3586" s="10" t="s">
        <v>387</v>
      </c>
      <c r="J3586" s="10" t="str">
        <f>""</f>
        <v/>
      </c>
      <c r="K3586" s="10" t="str">
        <f>"PFES1162565055_0001"</f>
        <v>PFES1162565055_0001</v>
      </c>
      <c r="L3586" s="10">
        <v>1</v>
      </c>
      <c r="M3586" s="10">
        <v>2</v>
      </c>
    </row>
    <row r="3587" spans="1:13">
      <c r="A3587" s="8">
        <v>42943</v>
      </c>
      <c r="B3587" s="9">
        <v>0.45833333333333331</v>
      </c>
      <c r="C3587" s="10" t="str">
        <f>"FES1162565041"</f>
        <v>FES1162565041</v>
      </c>
      <c r="D3587" s="10" t="s">
        <v>19</v>
      </c>
      <c r="E3587" s="10" t="s">
        <v>546</v>
      </c>
      <c r="F3587" s="10" t="str">
        <f>"2170581427 "</f>
        <v xml:space="preserve">2170581427 </v>
      </c>
      <c r="G3587" s="10" t="str">
        <f t="shared" si="157"/>
        <v>ON1</v>
      </c>
      <c r="H3587" s="10" t="s">
        <v>21</v>
      </c>
      <c r="I3587" s="10" t="s">
        <v>547</v>
      </c>
      <c r="J3587" s="10" t="str">
        <f>""</f>
        <v/>
      </c>
      <c r="K3587" s="10" t="str">
        <f>"PFES1162565041_0001"</f>
        <v>PFES1162565041_0001</v>
      </c>
      <c r="L3587" s="10">
        <v>1</v>
      </c>
      <c r="M3587" s="10">
        <v>1</v>
      </c>
    </row>
    <row r="3588" spans="1:13">
      <c r="A3588" s="8">
        <v>42943</v>
      </c>
      <c r="B3588" s="9">
        <v>0.45763888888888887</v>
      </c>
      <c r="C3588" s="10" t="str">
        <f>"FES1162565159"</f>
        <v>FES1162565159</v>
      </c>
      <c r="D3588" s="10" t="s">
        <v>19</v>
      </c>
      <c r="E3588" s="10" t="s">
        <v>78</v>
      </c>
      <c r="F3588" s="10" t="str">
        <f>"2170579543 "</f>
        <v xml:space="preserve">2170579543 </v>
      </c>
      <c r="G3588" s="10" t="str">
        <f t="shared" si="157"/>
        <v>ON1</v>
      </c>
      <c r="H3588" s="10" t="s">
        <v>21</v>
      </c>
      <c r="I3588" s="10" t="s">
        <v>79</v>
      </c>
      <c r="J3588" s="10" t="str">
        <f>""</f>
        <v/>
      </c>
      <c r="K3588" s="10" t="str">
        <f>"PFES1162565159_0001"</f>
        <v>PFES1162565159_0001</v>
      </c>
      <c r="L3588" s="10">
        <v>1</v>
      </c>
      <c r="M3588" s="10">
        <v>1</v>
      </c>
    </row>
    <row r="3589" spans="1:13">
      <c r="A3589" s="8">
        <v>42943</v>
      </c>
      <c r="B3589" s="9">
        <v>0.45694444444444443</v>
      </c>
      <c r="C3589" s="10" t="str">
        <f>"FES1162565174"</f>
        <v>FES1162565174</v>
      </c>
      <c r="D3589" s="10" t="s">
        <v>19</v>
      </c>
      <c r="E3589" s="10" t="s">
        <v>237</v>
      </c>
      <c r="F3589" s="10" t="str">
        <f>"2170579954 "</f>
        <v xml:space="preserve">2170579954 </v>
      </c>
      <c r="G3589" s="10" t="str">
        <f t="shared" si="157"/>
        <v>ON1</v>
      </c>
      <c r="H3589" s="10" t="s">
        <v>21</v>
      </c>
      <c r="I3589" s="10" t="s">
        <v>238</v>
      </c>
      <c r="J3589" s="10" t="str">
        <f>""</f>
        <v/>
      </c>
      <c r="K3589" s="10" t="str">
        <f>"PFES1162565174_0001"</f>
        <v>PFES1162565174_0001</v>
      </c>
      <c r="L3589" s="10">
        <v>1</v>
      </c>
      <c r="M3589" s="10">
        <v>2</v>
      </c>
    </row>
    <row r="3590" spans="1:13">
      <c r="A3590" s="8">
        <v>42943</v>
      </c>
      <c r="B3590" s="9">
        <v>0.45347222222222222</v>
      </c>
      <c r="C3590" s="10" t="str">
        <f>"FES1162565165"</f>
        <v>FES1162565165</v>
      </c>
      <c r="D3590" s="10" t="s">
        <v>19</v>
      </c>
      <c r="E3590" s="10" t="s">
        <v>184</v>
      </c>
      <c r="F3590" s="10" t="str">
        <f>"2170579174 "</f>
        <v xml:space="preserve">2170579174 </v>
      </c>
      <c r="G3590" s="10" t="str">
        <f t="shared" si="157"/>
        <v>ON1</v>
      </c>
      <c r="H3590" s="10" t="s">
        <v>21</v>
      </c>
      <c r="I3590" s="10" t="s">
        <v>185</v>
      </c>
      <c r="J3590" s="10" t="str">
        <f>""</f>
        <v/>
      </c>
      <c r="K3590" s="10" t="str">
        <f>"PFES1162565165_0001"</f>
        <v>PFES1162565165_0001</v>
      </c>
      <c r="L3590" s="10">
        <v>1</v>
      </c>
      <c r="M3590" s="10">
        <v>1</v>
      </c>
    </row>
    <row r="3591" spans="1:13">
      <c r="A3591" s="8">
        <v>42943</v>
      </c>
      <c r="B3591" s="9">
        <v>0.45069444444444445</v>
      </c>
      <c r="C3591" s="10" t="str">
        <f>"FES1162565080"</f>
        <v>FES1162565080</v>
      </c>
      <c r="D3591" s="10" t="s">
        <v>19</v>
      </c>
      <c r="E3591" s="10" t="s">
        <v>206</v>
      </c>
      <c r="F3591" s="10" t="str">
        <f>"2170581483 "</f>
        <v xml:space="preserve">2170581483 </v>
      </c>
      <c r="G3591" s="10" t="str">
        <f t="shared" si="157"/>
        <v>ON1</v>
      </c>
      <c r="H3591" s="10" t="s">
        <v>21</v>
      </c>
      <c r="I3591" s="10" t="s">
        <v>22</v>
      </c>
      <c r="J3591" s="10" t="str">
        <f>""</f>
        <v/>
      </c>
      <c r="K3591" s="10" t="str">
        <f>"PFES1162565080_0001"</f>
        <v>PFES1162565080_0001</v>
      </c>
      <c r="L3591" s="10">
        <v>1</v>
      </c>
      <c r="M3591" s="10">
        <v>1</v>
      </c>
    </row>
    <row r="3592" spans="1:13">
      <c r="A3592" s="8">
        <v>42943</v>
      </c>
      <c r="B3592" s="9">
        <v>0.44861111111111113</v>
      </c>
      <c r="C3592" s="10" t="str">
        <f>"FES1162565068"</f>
        <v>FES1162565068</v>
      </c>
      <c r="D3592" s="10" t="s">
        <v>19</v>
      </c>
      <c r="E3592" s="10" t="s">
        <v>356</v>
      </c>
      <c r="F3592" s="10" t="str">
        <f>"2170581467 "</f>
        <v xml:space="preserve">2170581467 </v>
      </c>
      <c r="G3592" s="10" t="str">
        <f t="shared" si="157"/>
        <v>ON1</v>
      </c>
      <c r="H3592" s="10" t="s">
        <v>21</v>
      </c>
      <c r="I3592" s="10" t="s">
        <v>119</v>
      </c>
      <c r="J3592" s="10" t="str">
        <f>""</f>
        <v/>
      </c>
      <c r="K3592" s="10" t="str">
        <f>"PFES1162565068_0001"</f>
        <v>PFES1162565068_0001</v>
      </c>
      <c r="L3592" s="10">
        <v>1</v>
      </c>
      <c r="M3592" s="10">
        <v>1</v>
      </c>
    </row>
    <row r="3593" spans="1:13">
      <c r="A3593" s="8">
        <v>42943</v>
      </c>
      <c r="B3593" s="9">
        <v>0.44791666666666669</v>
      </c>
      <c r="C3593" s="10" t="str">
        <f>"FES1162565083"</f>
        <v>FES1162565083</v>
      </c>
      <c r="D3593" s="10" t="s">
        <v>19</v>
      </c>
      <c r="E3593" s="10" t="s">
        <v>345</v>
      </c>
      <c r="F3593" s="10" t="str">
        <f>"2170581488 "</f>
        <v xml:space="preserve">2170581488 </v>
      </c>
      <c r="G3593" s="10" t="str">
        <f t="shared" si="157"/>
        <v>ON1</v>
      </c>
      <c r="H3593" s="10" t="s">
        <v>21</v>
      </c>
      <c r="I3593" s="10" t="s">
        <v>119</v>
      </c>
      <c r="J3593" s="10" t="str">
        <f>""</f>
        <v/>
      </c>
      <c r="K3593" s="10" t="str">
        <f>"PFES1162565083_0001"</f>
        <v>PFES1162565083_0001</v>
      </c>
      <c r="L3593" s="10">
        <v>1</v>
      </c>
      <c r="M3593" s="10">
        <v>1</v>
      </c>
    </row>
    <row r="3594" spans="1:13">
      <c r="A3594" s="8">
        <v>42943</v>
      </c>
      <c r="B3594" s="9">
        <v>0.44513888888888892</v>
      </c>
      <c r="C3594" s="10" t="str">
        <f>"FES1162565060"</f>
        <v>FES1162565060</v>
      </c>
      <c r="D3594" s="10" t="s">
        <v>19</v>
      </c>
      <c r="E3594" s="10" t="s">
        <v>354</v>
      </c>
      <c r="F3594" s="10" t="str">
        <f>"2170581452 "</f>
        <v xml:space="preserve">2170581452 </v>
      </c>
      <c r="G3594" s="10" t="str">
        <f t="shared" si="157"/>
        <v>ON1</v>
      </c>
      <c r="H3594" s="10" t="s">
        <v>21</v>
      </c>
      <c r="I3594" s="10" t="s">
        <v>327</v>
      </c>
      <c r="J3594" s="10" t="str">
        <f>""</f>
        <v/>
      </c>
      <c r="K3594" s="10" t="str">
        <f>"PFES1162565060_0001"</f>
        <v>PFES1162565060_0001</v>
      </c>
      <c r="L3594" s="10">
        <v>1</v>
      </c>
      <c r="M3594" s="10">
        <v>1</v>
      </c>
    </row>
    <row r="3595" spans="1:13">
      <c r="A3595" s="8">
        <v>42943</v>
      </c>
      <c r="B3595" s="9">
        <v>0.44444444444444442</v>
      </c>
      <c r="C3595" s="10" t="str">
        <f>"FES1162565093"</f>
        <v>FES1162565093</v>
      </c>
      <c r="D3595" s="10" t="s">
        <v>19</v>
      </c>
      <c r="E3595" s="10" t="s">
        <v>303</v>
      </c>
      <c r="F3595" s="10" t="str">
        <f>"2170580605 "</f>
        <v xml:space="preserve">2170580605 </v>
      </c>
      <c r="G3595" s="10" t="str">
        <f t="shared" si="157"/>
        <v>ON1</v>
      </c>
      <c r="H3595" s="10" t="s">
        <v>21</v>
      </c>
      <c r="I3595" s="10" t="s">
        <v>119</v>
      </c>
      <c r="J3595" s="10" t="str">
        <f>""</f>
        <v/>
      </c>
      <c r="K3595" s="10" t="str">
        <f>"PFES1162565093_0001"</f>
        <v>PFES1162565093_0001</v>
      </c>
      <c r="L3595" s="10">
        <v>1</v>
      </c>
      <c r="M3595" s="10">
        <v>1</v>
      </c>
    </row>
    <row r="3596" spans="1:13">
      <c r="A3596" s="8">
        <v>42943</v>
      </c>
      <c r="B3596" s="9">
        <v>0.44305555555555554</v>
      </c>
      <c r="C3596" s="10" t="str">
        <f>"FES1162565170"</f>
        <v>FES1162565170</v>
      </c>
      <c r="D3596" s="10" t="s">
        <v>19</v>
      </c>
      <c r="E3596" s="10" t="s">
        <v>922</v>
      </c>
      <c r="F3596" s="10" t="str">
        <f>"2170579540 "</f>
        <v xml:space="preserve">2170579540 </v>
      </c>
      <c r="G3596" s="10" t="str">
        <f t="shared" si="157"/>
        <v>ON1</v>
      </c>
      <c r="H3596" s="10" t="s">
        <v>21</v>
      </c>
      <c r="I3596" s="10" t="s">
        <v>923</v>
      </c>
      <c r="J3596" s="10" t="str">
        <f>""</f>
        <v/>
      </c>
      <c r="K3596" s="10" t="str">
        <f>"PFES1162565170_0001"</f>
        <v>PFES1162565170_0001</v>
      </c>
      <c r="L3596" s="10">
        <v>1</v>
      </c>
      <c r="M3596" s="10">
        <v>1</v>
      </c>
    </row>
    <row r="3597" spans="1:13">
      <c r="A3597" s="8">
        <v>42943</v>
      </c>
      <c r="B3597" s="9">
        <v>0.44166666666666665</v>
      </c>
      <c r="C3597" s="10" t="str">
        <f>"FES1162565054"</f>
        <v>FES1162565054</v>
      </c>
      <c r="D3597" s="10" t="s">
        <v>19</v>
      </c>
      <c r="E3597" s="10" t="s">
        <v>466</v>
      </c>
      <c r="F3597" s="10" t="str">
        <f>"2170581445 "</f>
        <v xml:space="preserve">2170581445 </v>
      </c>
      <c r="G3597" s="10" t="str">
        <f t="shared" si="157"/>
        <v>ON1</v>
      </c>
      <c r="H3597" s="10" t="s">
        <v>21</v>
      </c>
      <c r="I3597" s="10" t="s">
        <v>467</v>
      </c>
      <c r="J3597" s="10" t="str">
        <f>""</f>
        <v/>
      </c>
      <c r="K3597" s="10" t="str">
        <f>"PFES1162565054_0001"</f>
        <v>PFES1162565054_0001</v>
      </c>
      <c r="L3597" s="10">
        <v>1</v>
      </c>
      <c r="M3597" s="10">
        <v>1</v>
      </c>
    </row>
    <row r="3598" spans="1:13">
      <c r="A3598" s="8">
        <v>42943</v>
      </c>
      <c r="B3598" s="9">
        <v>0.44097222222222227</v>
      </c>
      <c r="C3598" s="10" t="str">
        <f>"FES1162565075"</f>
        <v>FES1162565075</v>
      </c>
      <c r="D3598" s="10" t="s">
        <v>19</v>
      </c>
      <c r="E3598" s="10" t="s">
        <v>521</v>
      </c>
      <c r="F3598" s="10" t="str">
        <f>"2170581472 "</f>
        <v xml:space="preserve">2170581472 </v>
      </c>
      <c r="G3598" s="10" t="str">
        <f t="shared" si="157"/>
        <v>ON1</v>
      </c>
      <c r="H3598" s="10" t="s">
        <v>21</v>
      </c>
      <c r="I3598" s="10" t="s">
        <v>215</v>
      </c>
      <c r="J3598" s="10" t="str">
        <f>""</f>
        <v/>
      </c>
      <c r="K3598" s="10" t="str">
        <f>"PFES1162565075_0001"</f>
        <v>PFES1162565075_0001</v>
      </c>
      <c r="L3598" s="10">
        <v>1</v>
      </c>
      <c r="M3598" s="10">
        <v>1</v>
      </c>
    </row>
    <row r="3599" spans="1:13">
      <c r="A3599" s="8">
        <v>42943</v>
      </c>
      <c r="B3599" s="9">
        <v>0.44027777777777777</v>
      </c>
      <c r="C3599" s="10" t="str">
        <f>"FES1162565044"</f>
        <v>FES1162565044</v>
      </c>
      <c r="D3599" s="10" t="s">
        <v>19</v>
      </c>
      <c r="E3599" s="10" t="s">
        <v>329</v>
      </c>
      <c r="F3599" s="10" t="str">
        <f>"2170581430 "</f>
        <v xml:space="preserve">2170581430 </v>
      </c>
      <c r="G3599" s="10" t="str">
        <f t="shared" si="157"/>
        <v>ON1</v>
      </c>
      <c r="H3599" s="10" t="s">
        <v>21</v>
      </c>
      <c r="I3599" s="10" t="s">
        <v>330</v>
      </c>
      <c r="J3599" s="10" t="str">
        <f>""</f>
        <v/>
      </c>
      <c r="K3599" s="10" t="str">
        <f>"PFES1162565044_0001"</f>
        <v>PFES1162565044_0001</v>
      </c>
      <c r="L3599" s="10">
        <v>1</v>
      </c>
      <c r="M3599" s="10">
        <v>1</v>
      </c>
    </row>
    <row r="3600" spans="1:13">
      <c r="A3600" s="8">
        <v>42943</v>
      </c>
      <c r="B3600" s="9">
        <v>0.43888888888888888</v>
      </c>
      <c r="C3600" s="10" t="str">
        <f>"FES1162565097"</f>
        <v>FES1162565097</v>
      </c>
      <c r="D3600" s="10" t="s">
        <v>19</v>
      </c>
      <c r="E3600" s="10" t="s">
        <v>849</v>
      </c>
      <c r="F3600" s="10" t="str">
        <f>"2170581520 "</f>
        <v xml:space="preserve">2170581520 </v>
      </c>
      <c r="G3600" s="10" t="str">
        <f t="shared" si="157"/>
        <v>ON1</v>
      </c>
      <c r="H3600" s="10" t="s">
        <v>21</v>
      </c>
      <c r="I3600" s="10" t="s">
        <v>179</v>
      </c>
      <c r="J3600" s="10" t="str">
        <f>""</f>
        <v/>
      </c>
      <c r="K3600" s="10" t="str">
        <f>"PFES1162565097_0001"</f>
        <v>PFES1162565097_0001</v>
      </c>
      <c r="L3600" s="10">
        <v>1</v>
      </c>
      <c r="M3600" s="10">
        <v>1</v>
      </c>
    </row>
    <row r="3601" spans="1:13">
      <c r="A3601" s="8">
        <v>42943</v>
      </c>
      <c r="B3601" s="9">
        <v>0.40069444444444446</v>
      </c>
      <c r="C3601" s="10" t="str">
        <f>"FES1162565122"</f>
        <v>FES1162565122</v>
      </c>
      <c r="D3601" s="10" t="s">
        <v>19</v>
      </c>
      <c r="E3601" s="10" t="s">
        <v>1006</v>
      </c>
      <c r="F3601" s="10" t="str">
        <f>"2170581548 "</f>
        <v xml:space="preserve">2170581548 </v>
      </c>
      <c r="G3601" s="10" t="str">
        <f t="shared" si="157"/>
        <v>ON1</v>
      </c>
      <c r="H3601" s="10" t="s">
        <v>21</v>
      </c>
      <c r="I3601" s="10" t="s">
        <v>673</v>
      </c>
      <c r="J3601" s="10" t="str">
        <f>""</f>
        <v/>
      </c>
      <c r="K3601" s="10" t="str">
        <f>"PFES1162565122_0001"</f>
        <v>PFES1162565122_0001</v>
      </c>
      <c r="L3601" s="10">
        <v>1</v>
      </c>
      <c r="M3601" s="10">
        <v>1</v>
      </c>
    </row>
    <row r="3602" spans="1:13">
      <c r="A3602" s="8">
        <v>42943</v>
      </c>
      <c r="B3602" s="9">
        <v>0.3972222222222222</v>
      </c>
      <c r="C3602" s="10" t="str">
        <f>"FES1162564924"</f>
        <v>FES1162564924</v>
      </c>
      <c r="D3602" s="10" t="s">
        <v>19</v>
      </c>
      <c r="E3602" s="10" t="s">
        <v>63</v>
      </c>
      <c r="F3602" s="10" t="str">
        <f>"2170578042 "</f>
        <v xml:space="preserve">2170578042 </v>
      </c>
      <c r="G3602" s="10" t="str">
        <f t="shared" si="157"/>
        <v>ON1</v>
      </c>
      <c r="H3602" s="10" t="s">
        <v>21</v>
      </c>
      <c r="I3602" s="10" t="s">
        <v>64</v>
      </c>
      <c r="J3602" s="10" t="str">
        <f>""</f>
        <v/>
      </c>
      <c r="K3602" s="10" t="str">
        <f>"PFES1162564924_0001"</f>
        <v>PFES1162564924_0001</v>
      </c>
      <c r="L3602" s="10">
        <v>1</v>
      </c>
      <c r="M3602" s="10">
        <v>3</v>
      </c>
    </row>
    <row r="3603" spans="1:13">
      <c r="A3603" s="8">
        <v>42943</v>
      </c>
      <c r="B3603" s="9">
        <v>0.39513888888888887</v>
      </c>
      <c r="C3603" s="10" t="str">
        <f>"FES1162565027"</f>
        <v>FES1162565027</v>
      </c>
      <c r="D3603" s="10" t="s">
        <v>19</v>
      </c>
      <c r="E3603" s="10" t="s">
        <v>690</v>
      </c>
      <c r="F3603" s="10" t="str">
        <f>"2170581409 "</f>
        <v xml:space="preserve">2170581409 </v>
      </c>
      <c r="G3603" s="10" t="str">
        <f t="shared" si="157"/>
        <v>ON1</v>
      </c>
      <c r="H3603" s="10" t="s">
        <v>21</v>
      </c>
      <c r="I3603" s="10" t="s">
        <v>691</v>
      </c>
      <c r="J3603" s="10" t="str">
        <f>""</f>
        <v/>
      </c>
      <c r="K3603" s="10" t="str">
        <f>"PFES1162565027_0001"</f>
        <v>PFES1162565027_0001</v>
      </c>
      <c r="L3603" s="10">
        <v>1</v>
      </c>
      <c r="M3603" s="10">
        <v>8</v>
      </c>
    </row>
    <row r="3604" spans="1:13">
      <c r="A3604" s="8">
        <v>42943</v>
      </c>
      <c r="B3604" s="9">
        <v>0.39097222222222222</v>
      </c>
      <c r="C3604" s="10" t="str">
        <f>"FES1162565069"</f>
        <v>FES1162565069</v>
      </c>
      <c r="D3604" s="10" t="s">
        <v>19</v>
      </c>
      <c r="E3604" s="10" t="s">
        <v>651</v>
      </c>
      <c r="F3604" s="10" t="str">
        <f>"2170581468 "</f>
        <v xml:space="preserve">2170581468 </v>
      </c>
      <c r="G3604" s="10" t="str">
        <f t="shared" si="157"/>
        <v>ON1</v>
      </c>
      <c r="H3604" s="10" t="s">
        <v>21</v>
      </c>
      <c r="I3604" s="10" t="s">
        <v>652</v>
      </c>
      <c r="J3604" s="10" t="str">
        <f>""</f>
        <v/>
      </c>
      <c r="K3604" s="10" t="str">
        <f>"PFES1162565069_0001"</f>
        <v>PFES1162565069_0001</v>
      </c>
      <c r="L3604" s="10">
        <v>1</v>
      </c>
      <c r="M3604" s="10">
        <v>5</v>
      </c>
    </row>
    <row r="3605" spans="1:13">
      <c r="A3605" s="8">
        <v>42943</v>
      </c>
      <c r="B3605" s="9">
        <v>0.38750000000000001</v>
      </c>
      <c r="C3605" s="10" t="str">
        <f>"FES1162565162"</f>
        <v>FES1162565162</v>
      </c>
      <c r="D3605" s="10" t="s">
        <v>19</v>
      </c>
      <c r="E3605" s="10" t="s">
        <v>494</v>
      </c>
      <c r="F3605" s="10" t="str">
        <f>"2170578182 "</f>
        <v xml:space="preserve">2170578182 </v>
      </c>
      <c r="G3605" s="10" t="str">
        <f>"ON1"</f>
        <v>ON1</v>
      </c>
      <c r="H3605" s="10" t="s">
        <v>21</v>
      </c>
      <c r="I3605" s="10" t="s">
        <v>495</v>
      </c>
      <c r="J3605" s="10" t="s">
        <v>1089</v>
      </c>
      <c r="K3605" s="10" t="str">
        <f>"PFES1162565162_0001"</f>
        <v>PFES1162565162_0001</v>
      </c>
      <c r="L3605" s="10">
        <v>1</v>
      </c>
      <c r="M3605" s="19"/>
    </row>
    <row r="3606" spans="1:13">
      <c r="A3606" s="8">
        <v>42947</v>
      </c>
      <c r="B3606" s="9">
        <v>0.60902777777777783</v>
      </c>
      <c r="C3606" s="10" t="str">
        <f>"FES1162565750"</f>
        <v>FES1162565750</v>
      </c>
      <c r="D3606" s="10" t="s">
        <v>19</v>
      </c>
      <c r="E3606" s="10" t="s">
        <v>1204</v>
      </c>
      <c r="F3606" s="10" t="str">
        <f>"2170581862 "</f>
        <v xml:space="preserve">2170581862 </v>
      </c>
      <c r="G3606" s="10" t="str">
        <f>"ON2"</f>
        <v>ON2</v>
      </c>
      <c r="H3606" s="10" t="s">
        <v>21</v>
      </c>
      <c r="I3606" s="10" t="s">
        <v>1205</v>
      </c>
      <c r="J3606" s="10" t="str">
        <f>""</f>
        <v/>
      </c>
      <c r="K3606" s="10" t="str">
        <f>"PFES1162565750_0001"</f>
        <v>PFES1162565750_0001</v>
      </c>
      <c r="L3606" s="10">
        <v>1</v>
      </c>
      <c r="M3606" s="10">
        <v>16</v>
      </c>
    </row>
    <row r="3607" spans="1:13">
      <c r="A3607" s="8">
        <v>42947</v>
      </c>
      <c r="B3607" s="9">
        <v>0.60069444444444442</v>
      </c>
      <c r="C3607" s="10" t="str">
        <f>"FES1162565756"</f>
        <v>FES1162565756</v>
      </c>
      <c r="D3607" s="10" t="s">
        <v>19</v>
      </c>
      <c r="E3607" s="10" t="s">
        <v>286</v>
      </c>
      <c r="F3607" s="10" t="str">
        <f>"2170582333 "</f>
        <v xml:space="preserve">2170582333 </v>
      </c>
      <c r="G3607" s="10" t="str">
        <f>"ON1"</f>
        <v>ON1</v>
      </c>
      <c r="H3607" s="10" t="s">
        <v>21</v>
      </c>
      <c r="I3607" s="10" t="s">
        <v>177</v>
      </c>
      <c r="J3607" s="10" t="str">
        <f>""</f>
        <v/>
      </c>
      <c r="K3607" s="10" t="str">
        <f>"PFES1162565756_0001"</f>
        <v>PFES1162565756_0001</v>
      </c>
      <c r="L3607" s="10">
        <v>1</v>
      </c>
      <c r="M3607" s="10">
        <v>2</v>
      </c>
    </row>
    <row r="3608" spans="1:13">
      <c r="A3608" s="8">
        <v>42947</v>
      </c>
      <c r="B3608" s="9">
        <v>0.60069444444444442</v>
      </c>
      <c r="C3608" s="10" t="str">
        <f>"FES1162565715"</f>
        <v>FES1162565715</v>
      </c>
      <c r="D3608" s="10" t="s">
        <v>19</v>
      </c>
      <c r="E3608" s="10" t="s">
        <v>1206</v>
      </c>
      <c r="F3608" s="10" t="str">
        <f>"2170582286 "</f>
        <v xml:space="preserve">2170582286 </v>
      </c>
      <c r="G3608" s="10" t="str">
        <f>"DWN"</f>
        <v>DWN</v>
      </c>
      <c r="H3608" s="10" t="s">
        <v>21</v>
      </c>
      <c r="I3608" s="10" t="s">
        <v>337</v>
      </c>
      <c r="J3608" s="10" t="str">
        <f>"DELIVER BY 10H00"</f>
        <v>DELIVER BY 10H00</v>
      </c>
      <c r="K3608" s="10" t="str">
        <f>"PFES1162565715_0001"</f>
        <v>PFES1162565715_0001</v>
      </c>
      <c r="L3608" s="10">
        <v>1</v>
      </c>
      <c r="M3608" s="10">
        <v>1</v>
      </c>
    </row>
    <row r="3609" spans="1:13">
      <c r="A3609" s="8">
        <v>42947</v>
      </c>
      <c r="B3609" s="9">
        <v>0.60069444444444442</v>
      </c>
      <c r="C3609" s="10" t="str">
        <f>"FES1162565658"</f>
        <v>FES1162565658</v>
      </c>
      <c r="D3609" s="10" t="s">
        <v>19</v>
      </c>
      <c r="E3609" s="10" t="s">
        <v>1207</v>
      </c>
      <c r="F3609" s="10" t="str">
        <f>"2170581708 "</f>
        <v xml:space="preserve">2170581708 </v>
      </c>
      <c r="G3609" s="10" t="str">
        <f>"ON1"</f>
        <v>ON1</v>
      </c>
      <c r="H3609" s="10" t="s">
        <v>21</v>
      </c>
      <c r="I3609" s="10" t="s">
        <v>259</v>
      </c>
      <c r="J3609" s="10" t="str">
        <f>""</f>
        <v/>
      </c>
      <c r="K3609" s="10" t="str">
        <f>"PFES1162565658_0001"</f>
        <v>PFES1162565658_0001</v>
      </c>
      <c r="L3609" s="10">
        <v>1</v>
      </c>
      <c r="M3609" s="10">
        <v>1</v>
      </c>
    </row>
    <row r="3610" spans="1:13">
      <c r="A3610" s="8">
        <v>42947</v>
      </c>
      <c r="B3610" s="9">
        <v>0.59722222222222221</v>
      </c>
      <c r="C3610" s="10" t="str">
        <f>"FES1162565732"</f>
        <v>FES1162565732</v>
      </c>
      <c r="D3610" s="10" t="s">
        <v>19</v>
      </c>
      <c r="E3610" s="10" t="s">
        <v>89</v>
      </c>
      <c r="F3610" s="10" t="str">
        <f>"2170582302 "</f>
        <v xml:space="preserve">2170582302 </v>
      </c>
      <c r="G3610" s="10" t="str">
        <f>"ON1"</f>
        <v>ON1</v>
      </c>
      <c r="H3610" s="10" t="s">
        <v>21</v>
      </c>
      <c r="I3610" s="10" t="s">
        <v>90</v>
      </c>
      <c r="J3610" s="10" t="str">
        <f>""</f>
        <v/>
      </c>
      <c r="K3610" s="10" t="str">
        <f>"PFES1162565732_0001"</f>
        <v>PFES1162565732_0001</v>
      </c>
      <c r="L3610" s="10">
        <v>1</v>
      </c>
      <c r="M3610" s="10">
        <v>1</v>
      </c>
    </row>
    <row r="3611" spans="1:13">
      <c r="A3611" s="8">
        <v>42947</v>
      </c>
      <c r="B3611" s="9">
        <v>0.59652777777777777</v>
      </c>
      <c r="C3611" s="10" t="str">
        <f>"FES1162565735"</f>
        <v>FES1162565735</v>
      </c>
      <c r="D3611" s="10" t="s">
        <v>19</v>
      </c>
      <c r="E3611" s="10" t="s">
        <v>314</v>
      </c>
      <c r="F3611" s="10" t="str">
        <f>"2170582309 "</f>
        <v xml:space="preserve">2170582309 </v>
      </c>
      <c r="G3611" s="10" t="str">
        <f>"ON1"</f>
        <v>ON1</v>
      </c>
      <c r="H3611" s="10" t="s">
        <v>21</v>
      </c>
      <c r="I3611" s="10" t="s">
        <v>90</v>
      </c>
      <c r="J3611" s="10" t="str">
        <f>""</f>
        <v/>
      </c>
      <c r="K3611" s="10" t="str">
        <f>"PFES1162565735_0001"</f>
        <v>PFES1162565735_0001</v>
      </c>
      <c r="L3611" s="10">
        <v>1</v>
      </c>
      <c r="M3611" s="10">
        <v>1</v>
      </c>
    </row>
    <row r="3612" spans="1:13">
      <c r="A3612" s="8">
        <v>42947</v>
      </c>
      <c r="B3612" s="9">
        <v>0.59444444444444444</v>
      </c>
      <c r="C3612" s="10" t="str">
        <f>"FES1162565726"</f>
        <v>FES1162565726</v>
      </c>
      <c r="D3612" s="10" t="s">
        <v>19</v>
      </c>
      <c r="E3612" s="10" t="s">
        <v>371</v>
      </c>
      <c r="F3612" s="10" t="str">
        <f>"2170577396 "</f>
        <v xml:space="preserve">2170577396 </v>
      </c>
      <c r="G3612" s="10" t="str">
        <f>"ON1"</f>
        <v>ON1</v>
      </c>
      <c r="H3612" s="10" t="s">
        <v>21</v>
      </c>
      <c r="I3612" s="10" t="s">
        <v>202</v>
      </c>
      <c r="J3612" s="10" t="str">
        <f>""</f>
        <v/>
      </c>
      <c r="K3612" s="10" t="str">
        <f>"PFES1162565726_0001"</f>
        <v>PFES1162565726_0001</v>
      </c>
      <c r="L3612" s="10">
        <v>2</v>
      </c>
      <c r="M3612" s="10">
        <v>4</v>
      </c>
    </row>
    <row r="3613" spans="1:13">
      <c r="A3613" s="8">
        <v>42947</v>
      </c>
      <c r="B3613" s="9">
        <v>0.59444444444444444</v>
      </c>
      <c r="C3613" s="10" t="str">
        <f>"FES1162565726"</f>
        <v>FES1162565726</v>
      </c>
      <c r="D3613" s="10" t="s">
        <v>19</v>
      </c>
      <c r="E3613" s="10" t="s">
        <v>371</v>
      </c>
      <c r="F3613" s="10" t="str">
        <f>"2170577396 "</f>
        <v xml:space="preserve">2170577396 </v>
      </c>
      <c r="G3613" s="10" t="str">
        <f>"ON1"</f>
        <v>ON1</v>
      </c>
      <c r="H3613" s="10" t="s">
        <v>21</v>
      </c>
      <c r="I3613" s="10" t="s">
        <v>202</v>
      </c>
      <c r="J3613" s="10"/>
      <c r="K3613" s="10" t="str">
        <f>"PFES1162565726_0002"</f>
        <v>PFES1162565726_0002</v>
      </c>
      <c r="L3613" s="10">
        <v>2</v>
      </c>
      <c r="M3613" s="10">
        <v>4</v>
      </c>
    </row>
    <row r="3614" spans="1:13">
      <c r="A3614" s="8">
        <v>42947</v>
      </c>
      <c r="B3614" s="9">
        <v>0.58611111111111114</v>
      </c>
      <c r="C3614" s="10" t="str">
        <f>"FES1162565383"</f>
        <v>FES1162565383</v>
      </c>
      <c r="D3614" s="10" t="s">
        <v>19</v>
      </c>
      <c r="E3614" s="10" t="s">
        <v>1208</v>
      </c>
      <c r="F3614" s="10" t="str">
        <f>"2170569413 "</f>
        <v xml:space="preserve">2170569413 </v>
      </c>
      <c r="G3614" s="10" t="str">
        <f>"DBC"</f>
        <v>DBC</v>
      </c>
      <c r="H3614" s="10" t="s">
        <v>21</v>
      </c>
      <c r="I3614" s="10" t="s">
        <v>183</v>
      </c>
      <c r="J3614" s="10" t="str">
        <f>""</f>
        <v/>
      </c>
      <c r="K3614" s="10" t="str">
        <f>"PFES1162565383_0001"</f>
        <v>PFES1162565383_0001</v>
      </c>
      <c r="L3614" s="10">
        <v>1</v>
      </c>
      <c r="M3614" s="10">
        <v>24</v>
      </c>
    </row>
    <row r="3615" spans="1:13">
      <c r="A3615" s="8">
        <v>42947</v>
      </c>
      <c r="B3615" s="9">
        <v>0.58402777777777781</v>
      </c>
      <c r="C3615" s="10" t="str">
        <f>"FES1162565738"</f>
        <v>FES1162565738</v>
      </c>
      <c r="D3615" s="10" t="s">
        <v>19</v>
      </c>
      <c r="E3615" s="10" t="s">
        <v>39</v>
      </c>
      <c r="F3615" s="10" t="str">
        <f>"2170577918 "</f>
        <v xml:space="preserve">2170577918 </v>
      </c>
      <c r="G3615" s="10" t="str">
        <f t="shared" ref="G3615:G3622" si="158">"ON1"</f>
        <v>ON1</v>
      </c>
      <c r="H3615" s="10" t="s">
        <v>21</v>
      </c>
      <c r="I3615" s="10" t="s">
        <v>40</v>
      </c>
      <c r="J3615" s="10" t="str">
        <f>""</f>
        <v/>
      </c>
      <c r="K3615" s="10" t="str">
        <f>"PFES1162565738_0001"</f>
        <v>PFES1162565738_0001</v>
      </c>
      <c r="L3615" s="10">
        <v>1</v>
      </c>
      <c r="M3615" s="10">
        <v>1</v>
      </c>
    </row>
    <row r="3616" spans="1:13">
      <c r="A3616" s="8">
        <v>42947</v>
      </c>
      <c r="B3616" s="9">
        <v>0.58333333333333337</v>
      </c>
      <c r="C3616" s="10" t="str">
        <f>"FES1162565749"</f>
        <v>FES1162565749</v>
      </c>
      <c r="D3616" s="10" t="s">
        <v>19</v>
      </c>
      <c r="E3616" s="10" t="s">
        <v>158</v>
      </c>
      <c r="F3616" s="10" t="str">
        <f>"2170582324 "</f>
        <v xml:space="preserve">2170582324 </v>
      </c>
      <c r="G3616" s="10" t="str">
        <f t="shared" si="158"/>
        <v>ON1</v>
      </c>
      <c r="H3616" s="10" t="s">
        <v>21</v>
      </c>
      <c r="I3616" s="10" t="s">
        <v>159</v>
      </c>
      <c r="J3616" s="10" t="str">
        <f>""</f>
        <v/>
      </c>
      <c r="K3616" s="10" t="str">
        <f>"PFES1162565749_0001"</f>
        <v>PFES1162565749_0001</v>
      </c>
      <c r="L3616" s="10">
        <v>1</v>
      </c>
      <c r="M3616" s="10">
        <v>1</v>
      </c>
    </row>
    <row r="3617" spans="1:13">
      <c r="A3617" s="8">
        <v>42947</v>
      </c>
      <c r="B3617" s="9">
        <v>0.57777777777777783</v>
      </c>
      <c r="C3617" s="10" t="str">
        <f>"FES1162565721"</f>
        <v>FES1162565721</v>
      </c>
      <c r="D3617" s="10" t="s">
        <v>19</v>
      </c>
      <c r="E3617" s="10" t="s">
        <v>129</v>
      </c>
      <c r="F3617" s="10" t="str">
        <f>"2170580625 "</f>
        <v xml:space="preserve">2170580625 </v>
      </c>
      <c r="G3617" s="10" t="str">
        <f t="shared" si="158"/>
        <v>ON1</v>
      </c>
      <c r="H3617" s="10" t="s">
        <v>21</v>
      </c>
      <c r="I3617" s="10" t="s">
        <v>130</v>
      </c>
      <c r="J3617" s="10" t="str">
        <f>""</f>
        <v/>
      </c>
      <c r="K3617" s="10" t="str">
        <f>"PFES1162565721_0001"</f>
        <v>PFES1162565721_0001</v>
      </c>
      <c r="L3617" s="10">
        <v>1</v>
      </c>
      <c r="M3617" s="10">
        <v>1</v>
      </c>
    </row>
    <row r="3618" spans="1:13">
      <c r="A3618" s="8">
        <v>42947</v>
      </c>
      <c r="B3618" s="9">
        <v>0.57500000000000007</v>
      </c>
      <c r="C3618" s="10" t="str">
        <f>"FES1162565748"</f>
        <v>FES1162565748</v>
      </c>
      <c r="D3618" s="10" t="s">
        <v>19</v>
      </c>
      <c r="E3618" s="10" t="s">
        <v>1209</v>
      </c>
      <c r="F3618" s="10" t="str">
        <f>"2170566923 "</f>
        <v xml:space="preserve">2170566923 </v>
      </c>
      <c r="G3618" s="10" t="str">
        <f t="shared" si="158"/>
        <v>ON1</v>
      </c>
      <c r="H3618" s="10" t="s">
        <v>21</v>
      </c>
      <c r="I3618" s="10" t="s">
        <v>1210</v>
      </c>
      <c r="J3618" s="10" t="str">
        <f>""</f>
        <v/>
      </c>
      <c r="K3618" s="10" t="str">
        <f>"PFES1162565748_0001"</f>
        <v>PFES1162565748_0001</v>
      </c>
      <c r="L3618" s="10">
        <v>1</v>
      </c>
      <c r="M3618" s="10">
        <v>1</v>
      </c>
    </row>
    <row r="3619" spans="1:13">
      <c r="A3619" s="8">
        <v>42947</v>
      </c>
      <c r="B3619" s="9">
        <v>0.55277777777777781</v>
      </c>
      <c r="C3619" s="10" t="str">
        <f>"FES1162565685"</f>
        <v>FES1162565685</v>
      </c>
      <c r="D3619" s="10" t="s">
        <v>19</v>
      </c>
      <c r="E3619" s="10" t="s">
        <v>1211</v>
      </c>
      <c r="F3619" s="10" t="str">
        <f>"2170582058 "</f>
        <v xml:space="preserve">2170582058 </v>
      </c>
      <c r="G3619" s="10" t="str">
        <f t="shared" si="158"/>
        <v>ON1</v>
      </c>
      <c r="H3619" s="10" t="s">
        <v>21</v>
      </c>
      <c r="I3619" s="10" t="s">
        <v>222</v>
      </c>
      <c r="J3619" s="10" t="str">
        <f>""</f>
        <v/>
      </c>
      <c r="K3619" s="10" t="str">
        <f>"PFES1162565685_0001"</f>
        <v>PFES1162565685_0001</v>
      </c>
      <c r="L3619" s="10">
        <v>1</v>
      </c>
      <c r="M3619" s="10">
        <v>3</v>
      </c>
    </row>
    <row r="3620" spans="1:13">
      <c r="A3620" s="8">
        <v>42947</v>
      </c>
      <c r="B3620" s="9">
        <v>0.55138888888888882</v>
      </c>
      <c r="C3620" s="10" t="str">
        <f>"FES1162565100"</f>
        <v>FES1162565100</v>
      </c>
      <c r="D3620" s="10" t="s">
        <v>19</v>
      </c>
      <c r="E3620" s="10" t="s">
        <v>1212</v>
      </c>
      <c r="F3620" s="10" t="str">
        <f>"2170581523 "</f>
        <v xml:space="preserve">2170581523 </v>
      </c>
      <c r="G3620" s="10" t="str">
        <f t="shared" si="158"/>
        <v>ON1</v>
      </c>
      <c r="H3620" s="10" t="s">
        <v>21</v>
      </c>
      <c r="I3620" s="10" t="s">
        <v>974</v>
      </c>
      <c r="J3620" s="10" t="str">
        <f>""</f>
        <v/>
      </c>
      <c r="K3620" s="10" t="str">
        <f>"PFES1162565100_0001"</f>
        <v>PFES1162565100_0001</v>
      </c>
      <c r="L3620" s="10">
        <v>1</v>
      </c>
      <c r="M3620" s="10">
        <v>2</v>
      </c>
    </row>
    <row r="3621" spans="1:13">
      <c r="A3621" s="8">
        <v>42947</v>
      </c>
      <c r="B3621" s="9">
        <v>0.54027777777777775</v>
      </c>
      <c r="C3621" s="10" t="str">
        <f>"FES1162565730"</f>
        <v>FES1162565730</v>
      </c>
      <c r="D3621" s="10" t="s">
        <v>19</v>
      </c>
      <c r="E3621" s="10" t="s">
        <v>173</v>
      </c>
      <c r="F3621" s="10" t="str">
        <f>"2170582300 "</f>
        <v xml:space="preserve">2170582300 </v>
      </c>
      <c r="G3621" s="10" t="str">
        <f t="shared" si="158"/>
        <v>ON1</v>
      </c>
      <c r="H3621" s="10" t="s">
        <v>21</v>
      </c>
      <c r="I3621" s="10" t="s">
        <v>174</v>
      </c>
      <c r="J3621" s="10" t="str">
        <f>""</f>
        <v/>
      </c>
      <c r="K3621" s="10" t="str">
        <f>"PFES1162565730_0001"</f>
        <v>PFES1162565730_0001</v>
      </c>
      <c r="L3621" s="10">
        <v>1</v>
      </c>
      <c r="M3621" s="10">
        <v>1</v>
      </c>
    </row>
    <row r="3622" spans="1:13">
      <c r="A3622" s="8">
        <v>42947</v>
      </c>
      <c r="B3622" s="9">
        <v>0.5395833333333333</v>
      </c>
      <c r="C3622" s="10" t="str">
        <f>"FES1162565710"</f>
        <v>FES1162565710</v>
      </c>
      <c r="D3622" s="10" t="s">
        <v>19</v>
      </c>
      <c r="E3622" s="10" t="s">
        <v>378</v>
      </c>
      <c r="F3622" s="10" t="str">
        <f>"2170578632 "</f>
        <v xml:space="preserve">2170578632 </v>
      </c>
      <c r="G3622" s="10" t="str">
        <f t="shared" si="158"/>
        <v>ON1</v>
      </c>
      <c r="H3622" s="10" t="s">
        <v>21</v>
      </c>
      <c r="I3622" s="10" t="s">
        <v>36</v>
      </c>
      <c r="J3622" s="10" t="str">
        <f>""</f>
        <v/>
      </c>
      <c r="K3622" s="10" t="str">
        <f>"PFES1162565710_0001"</f>
        <v>PFES1162565710_0001</v>
      </c>
      <c r="L3622" s="10">
        <v>1</v>
      </c>
      <c r="M3622" s="10">
        <v>1</v>
      </c>
    </row>
    <row r="3623" spans="1:13">
      <c r="A3623" s="8">
        <v>42947</v>
      </c>
      <c r="B3623" s="9">
        <v>0.5395833333333333</v>
      </c>
      <c r="C3623" s="10" t="str">
        <f>"FES1162565701"</f>
        <v>FES1162565701</v>
      </c>
      <c r="D3623" s="10" t="s">
        <v>19</v>
      </c>
      <c r="E3623" s="10" t="s">
        <v>33</v>
      </c>
      <c r="F3623" s="10" t="str">
        <f>". "</f>
        <v xml:space="preserve">. </v>
      </c>
      <c r="G3623" s="10" t="str">
        <f>"DBC"</f>
        <v>DBC</v>
      </c>
      <c r="H3623" s="10" t="s">
        <v>21</v>
      </c>
      <c r="I3623" s="10" t="s">
        <v>34</v>
      </c>
      <c r="J3623" s="10" t="str">
        <f>""</f>
        <v/>
      </c>
      <c r="K3623" s="10" t="str">
        <f>"PFES1162565701_0001"</f>
        <v>PFES1162565701_0001</v>
      </c>
      <c r="L3623" s="10">
        <v>1</v>
      </c>
      <c r="M3623" s="10">
        <v>17</v>
      </c>
    </row>
    <row r="3624" spans="1:13">
      <c r="A3624" s="8">
        <v>42947</v>
      </c>
      <c r="B3624" s="9">
        <v>0.53888888888888886</v>
      </c>
      <c r="C3624" s="10" t="str">
        <f>"FES1162565700"</f>
        <v>FES1162565700</v>
      </c>
      <c r="D3624" s="10" t="s">
        <v>19</v>
      </c>
      <c r="E3624" s="10" t="s">
        <v>1213</v>
      </c>
      <c r="F3624" s="10" t="str">
        <f>"2170576583 "</f>
        <v xml:space="preserve">2170576583 </v>
      </c>
      <c r="G3624" s="10" t="str">
        <f t="shared" ref="G3624:G3631" si="159">"ON1"</f>
        <v>ON1</v>
      </c>
      <c r="H3624" s="10" t="s">
        <v>21</v>
      </c>
      <c r="I3624" s="10" t="s">
        <v>248</v>
      </c>
      <c r="J3624" s="10" t="str">
        <f>""</f>
        <v/>
      </c>
      <c r="K3624" s="10" t="str">
        <f>"PFES1162565700_0001"</f>
        <v>PFES1162565700_0001</v>
      </c>
      <c r="L3624" s="10">
        <v>1</v>
      </c>
      <c r="M3624" s="10">
        <v>5</v>
      </c>
    </row>
    <row r="3625" spans="1:13">
      <c r="A3625" s="8">
        <v>42947</v>
      </c>
      <c r="B3625" s="9">
        <v>0.53888888888888886</v>
      </c>
      <c r="C3625" s="10" t="str">
        <f>"FES1162565696"</f>
        <v>FES1162565696</v>
      </c>
      <c r="D3625" s="10" t="s">
        <v>19</v>
      </c>
      <c r="E3625" s="10" t="s">
        <v>33</v>
      </c>
      <c r="F3625" s="10" t="str">
        <f>"2170573686 "</f>
        <v xml:space="preserve">2170573686 </v>
      </c>
      <c r="G3625" s="10" t="str">
        <f t="shared" si="159"/>
        <v>ON1</v>
      </c>
      <c r="H3625" s="10" t="s">
        <v>21</v>
      </c>
      <c r="I3625" s="10" t="s">
        <v>34</v>
      </c>
      <c r="J3625" s="10" t="str">
        <f>""</f>
        <v/>
      </c>
      <c r="K3625" s="10" t="str">
        <f>"PFES1162565696_0001"</f>
        <v>PFES1162565696_0001</v>
      </c>
      <c r="L3625" s="10">
        <v>1</v>
      </c>
      <c r="M3625" s="10">
        <v>2</v>
      </c>
    </row>
    <row r="3626" spans="1:13">
      <c r="A3626" s="8">
        <v>42947</v>
      </c>
      <c r="B3626" s="9">
        <v>0.53819444444444442</v>
      </c>
      <c r="C3626" s="10" t="str">
        <f>"FES1162565703"</f>
        <v>FES1162565703</v>
      </c>
      <c r="D3626" s="10" t="s">
        <v>19</v>
      </c>
      <c r="E3626" s="10" t="s">
        <v>378</v>
      </c>
      <c r="F3626" s="10" t="str">
        <f>"2170577334 "</f>
        <v xml:space="preserve">2170577334 </v>
      </c>
      <c r="G3626" s="10" t="str">
        <f t="shared" si="159"/>
        <v>ON1</v>
      </c>
      <c r="H3626" s="10" t="s">
        <v>21</v>
      </c>
      <c r="I3626" s="10" t="s">
        <v>36</v>
      </c>
      <c r="J3626" s="10" t="str">
        <f>""</f>
        <v/>
      </c>
      <c r="K3626" s="10" t="str">
        <f>"PFES1162565703_0001"</f>
        <v>PFES1162565703_0001</v>
      </c>
      <c r="L3626" s="10">
        <v>1</v>
      </c>
      <c r="M3626" s="10">
        <v>3</v>
      </c>
    </row>
    <row r="3627" spans="1:13">
      <c r="A3627" s="8">
        <v>42947</v>
      </c>
      <c r="B3627" s="9">
        <v>0.53819444444444442</v>
      </c>
      <c r="C3627" s="10" t="str">
        <f>"FES1162565704"</f>
        <v>FES1162565704</v>
      </c>
      <c r="D3627" s="10" t="s">
        <v>19</v>
      </c>
      <c r="E3627" s="10" t="s">
        <v>810</v>
      </c>
      <c r="F3627" s="10" t="str">
        <f>"21705877442 "</f>
        <v xml:space="preserve">21705877442 </v>
      </c>
      <c r="G3627" s="10" t="str">
        <f t="shared" si="159"/>
        <v>ON1</v>
      </c>
      <c r="H3627" s="10" t="s">
        <v>21</v>
      </c>
      <c r="I3627" s="10" t="s">
        <v>48</v>
      </c>
      <c r="J3627" s="10" t="str">
        <f>""</f>
        <v/>
      </c>
      <c r="K3627" s="10" t="str">
        <f>"PFES1162565704_0001"</f>
        <v>PFES1162565704_0001</v>
      </c>
      <c r="L3627" s="10">
        <v>1</v>
      </c>
      <c r="M3627" s="10">
        <v>3</v>
      </c>
    </row>
    <row r="3628" spans="1:13">
      <c r="A3628" s="8">
        <v>42947</v>
      </c>
      <c r="B3628" s="9">
        <v>0.53749999999999998</v>
      </c>
      <c r="C3628" s="10" t="str">
        <f>"FES1162565709"</f>
        <v>FES1162565709</v>
      </c>
      <c r="D3628" s="10" t="s">
        <v>19</v>
      </c>
      <c r="E3628" s="10" t="s">
        <v>1214</v>
      </c>
      <c r="F3628" s="10" t="str">
        <f>"217058381 "</f>
        <v xml:space="preserve">217058381 </v>
      </c>
      <c r="G3628" s="10" t="str">
        <f t="shared" si="159"/>
        <v>ON1</v>
      </c>
      <c r="H3628" s="10" t="s">
        <v>21</v>
      </c>
      <c r="I3628" s="10" t="s">
        <v>90</v>
      </c>
      <c r="J3628" s="10" t="str">
        <f>""</f>
        <v/>
      </c>
      <c r="K3628" s="10" t="str">
        <f>"PFES1162565709_0001"</f>
        <v>PFES1162565709_0001</v>
      </c>
      <c r="L3628" s="10">
        <v>1</v>
      </c>
      <c r="M3628" s="10">
        <v>2</v>
      </c>
    </row>
    <row r="3629" spans="1:13">
      <c r="A3629" s="8">
        <v>42947</v>
      </c>
      <c r="B3629" s="9">
        <v>0.53680555555555554</v>
      </c>
      <c r="C3629" s="10" t="str">
        <f>"FES1162565739"</f>
        <v>FES1162565739</v>
      </c>
      <c r="D3629" s="10" t="s">
        <v>19</v>
      </c>
      <c r="E3629" s="10" t="s">
        <v>605</v>
      </c>
      <c r="F3629" s="10" t="str">
        <f>"2170580022 "</f>
        <v xml:space="preserve">2170580022 </v>
      </c>
      <c r="G3629" s="10" t="str">
        <f t="shared" si="159"/>
        <v>ON1</v>
      </c>
      <c r="H3629" s="10" t="s">
        <v>21</v>
      </c>
      <c r="I3629" s="10" t="s">
        <v>567</v>
      </c>
      <c r="J3629" s="10" t="str">
        <f>""</f>
        <v/>
      </c>
      <c r="K3629" s="10" t="str">
        <f>"PFES1162565739_0001"</f>
        <v>PFES1162565739_0001</v>
      </c>
      <c r="L3629" s="10">
        <v>1</v>
      </c>
      <c r="M3629" s="10">
        <v>9</v>
      </c>
    </row>
    <row r="3630" spans="1:13">
      <c r="A3630" s="8">
        <v>42947</v>
      </c>
      <c r="B3630" s="9">
        <v>0.53611111111111109</v>
      </c>
      <c r="C3630" s="10" t="str">
        <f>"FES1162565706"</f>
        <v>FES1162565706</v>
      </c>
      <c r="D3630" s="10" t="s">
        <v>19</v>
      </c>
      <c r="E3630" s="10" t="s">
        <v>844</v>
      </c>
      <c r="F3630" s="10" t="str">
        <f>"217058124 "</f>
        <v xml:space="preserve">217058124 </v>
      </c>
      <c r="G3630" s="10" t="str">
        <f t="shared" si="159"/>
        <v>ON1</v>
      </c>
      <c r="H3630" s="10" t="s">
        <v>21</v>
      </c>
      <c r="I3630" s="10" t="s">
        <v>32</v>
      </c>
      <c r="J3630" s="10" t="str">
        <f>""</f>
        <v/>
      </c>
      <c r="K3630" s="10" t="str">
        <f>"PFES1162565706_0001"</f>
        <v>PFES1162565706_0001</v>
      </c>
      <c r="L3630" s="10">
        <v>2</v>
      </c>
      <c r="M3630" s="10">
        <v>7</v>
      </c>
    </row>
    <row r="3631" spans="1:13">
      <c r="A3631" s="8">
        <v>42947</v>
      </c>
      <c r="B3631" s="9">
        <v>0.53611111111111109</v>
      </c>
      <c r="C3631" s="10" t="str">
        <f>"FES1162565706"</f>
        <v>FES1162565706</v>
      </c>
      <c r="D3631" s="10" t="s">
        <v>19</v>
      </c>
      <c r="E3631" s="10" t="s">
        <v>844</v>
      </c>
      <c r="F3631" s="10" t="str">
        <f>"217058124 "</f>
        <v xml:space="preserve">217058124 </v>
      </c>
      <c r="G3631" s="10" t="str">
        <f t="shared" si="159"/>
        <v>ON1</v>
      </c>
      <c r="H3631" s="10" t="s">
        <v>21</v>
      </c>
      <c r="I3631" s="10" t="s">
        <v>32</v>
      </c>
      <c r="J3631" s="10"/>
      <c r="K3631" s="10" t="str">
        <f>"PFES1162565706_0002"</f>
        <v>PFES1162565706_0002</v>
      </c>
      <c r="L3631" s="10">
        <v>2</v>
      </c>
      <c r="M3631" s="10">
        <v>7</v>
      </c>
    </row>
    <row r="3632" spans="1:13">
      <c r="A3632" s="8">
        <v>42947</v>
      </c>
      <c r="B3632" s="9">
        <v>0.53611111111111109</v>
      </c>
      <c r="C3632" s="10" t="str">
        <f>"FES1162565707"</f>
        <v>FES1162565707</v>
      </c>
      <c r="D3632" s="10" t="s">
        <v>19</v>
      </c>
      <c r="E3632" s="10" t="s">
        <v>450</v>
      </c>
      <c r="F3632" s="10" t="str">
        <f>"217058338 "</f>
        <v xml:space="preserve">217058338 </v>
      </c>
      <c r="G3632" s="10" t="str">
        <f>"ON2"</f>
        <v>ON2</v>
      </c>
      <c r="H3632" s="10" t="s">
        <v>21</v>
      </c>
      <c r="I3632" s="10" t="s">
        <v>259</v>
      </c>
      <c r="J3632" s="10" t="str">
        <f>""</f>
        <v/>
      </c>
      <c r="K3632" s="10" t="str">
        <f>"PFES1162565707_0001"</f>
        <v>PFES1162565707_0001</v>
      </c>
      <c r="L3632" s="10">
        <v>1</v>
      </c>
      <c r="M3632" s="10">
        <v>14</v>
      </c>
    </row>
    <row r="3633" spans="1:13">
      <c r="A3633" s="8">
        <v>42947</v>
      </c>
      <c r="B3633" s="9">
        <v>0.53263888888888888</v>
      </c>
      <c r="C3633" s="10" t="str">
        <f>"FES1162565651"</f>
        <v>FES1162565651</v>
      </c>
      <c r="D3633" s="10" t="s">
        <v>19</v>
      </c>
      <c r="E3633" s="10" t="s">
        <v>650</v>
      </c>
      <c r="F3633" s="10" t="str">
        <f>"2170582229 "</f>
        <v xml:space="preserve">2170582229 </v>
      </c>
      <c r="G3633" s="10" t="str">
        <f>"ON1"</f>
        <v>ON1</v>
      </c>
      <c r="H3633" s="10" t="s">
        <v>21</v>
      </c>
      <c r="I3633" s="10" t="s">
        <v>567</v>
      </c>
      <c r="J3633" s="10" t="str">
        <f>""</f>
        <v/>
      </c>
      <c r="K3633" s="10" t="str">
        <f>"PFES1162565651_0001"</f>
        <v>PFES1162565651_0001</v>
      </c>
      <c r="L3633" s="10">
        <v>1</v>
      </c>
      <c r="M3633" s="10">
        <v>3</v>
      </c>
    </row>
    <row r="3634" spans="1:13">
      <c r="A3634" s="8">
        <v>42947</v>
      </c>
      <c r="B3634" s="9">
        <v>0.53194444444444444</v>
      </c>
      <c r="C3634" s="10" t="str">
        <f>"FES1162565668"</f>
        <v>FES1162565668</v>
      </c>
      <c r="D3634" s="10" t="s">
        <v>19</v>
      </c>
      <c r="E3634" s="10" t="s">
        <v>33</v>
      </c>
      <c r="F3634" s="10" t="str">
        <f>"2170580399 "</f>
        <v xml:space="preserve">2170580399 </v>
      </c>
      <c r="G3634" s="10" t="str">
        <f>"DBC"</f>
        <v>DBC</v>
      </c>
      <c r="H3634" s="10" t="s">
        <v>21</v>
      </c>
      <c r="I3634" s="10" t="s">
        <v>34</v>
      </c>
      <c r="J3634" s="10" t="str">
        <f>""</f>
        <v/>
      </c>
      <c r="K3634" s="10" t="str">
        <f>"PFES1162565668_0001"</f>
        <v>PFES1162565668_0001</v>
      </c>
      <c r="L3634" s="10">
        <v>2</v>
      </c>
      <c r="M3634" s="10">
        <v>37</v>
      </c>
    </row>
    <row r="3635" spans="1:13">
      <c r="A3635" s="8">
        <v>42947</v>
      </c>
      <c r="B3635" s="9">
        <v>0.53194444444444444</v>
      </c>
      <c r="C3635" s="10" t="str">
        <f>"FES1162565668"</f>
        <v>FES1162565668</v>
      </c>
      <c r="D3635" s="10" t="s">
        <v>19</v>
      </c>
      <c r="E3635" s="10" t="s">
        <v>33</v>
      </c>
      <c r="F3635" s="10" t="str">
        <f>"2170580399 "</f>
        <v xml:space="preserve">2170580399 </v>
      </c>
      <c r="G3635" s="10" t="str">
        <f>"DBC"</f>
        <v>DBC</v>
      </c>
      <c r="H3635" s="10" t="s">
        <v>21</v>
      </c>
      <c r="I3635" s="10" t="s">
        <v>34</v>
      </c>
      <c r="J3635" s="10"/>
      <c r="K3635" s="10" t="str">
        <f>"PFES1162565668_0002"</f>
        <v>PFES1162565668_0002</v>
      </c>
      <c r="L3635" s="10">
        <v>2</v>
      </c>
      <c r="M3635" s="10">
        <v>37</v>
      </c>
    </row>
    <row r="3636" spans="1:13">
      <c r="A3636" s="8">
        <v>42947</v>
      </c>
      <c r="B3636" s="9">
        <v>0.53194444444444444</v>
      </c>
      <c r="C3636" s="10" t="str">
        <f>"FES1162565688"</f>
        <v>FES1162565688</v>
      </c>
      <c r="D3636" s="10" t="s">
        <v>19</v>
      </c>
      <c r="E3636" s="10" t="s">
        <v>266</v>
      </c>
      <c r="F3636" s="10" t="str">
        <f>"2170582271 "</f>
        <v xml:space="preserve">2170582271 </v>
      </c>
      <c r="G3636" s="10" t="str">
        <f>"ON1"</f>
        <v>ON1</v>
      </c>
      <c r="H3636" s="10" t="s">
        <v>21</v>
      </c>
      <c r="I3636" s="10" t="s">
        <v>24</v>
      </c>
      <c r="J3636" s="10" t="str">
        <f>""</f>
        <v/>
      </c>
      <c r="K3636" s="10" t="str">
        <f>"PFES1162565688_0001"</f>
        <v>PFES1162565688_0001</v>
      </c>
      <c r="L3636" s="10">
        <v>1</v>
      </c>
      <c r="M3636" s="10">
        <v>5</v>
      </c>
    </row>
    <row r="3637" spans="1:13">
      <c r="A3637" s="8">
        <v>42947</v>
      </c>
      <c r="B3637" s="9">
        <v>0.53125</v>
      </c>
      <c r="C3637" s="10" t="str">
        <f>"FES1162565644"</f>
        <v>FES1162565644</v>
      </c>
      <c r="D3637" s="10" t="s">
        <v>19</v>
      </c>
      <c r="E3637" s="10" t="s">
        <v>860</v>
      </c>
      <c r="F3637" s="10" t="str">
        <f>"2170582186 "</f>
        <v xml:space="preserve">2170582186 </v>
      </c>
      <c r="G3637" s="10" t="str">
        <f>"DBC"</f>
        <v>DBC</v>
      </c>
      <c r="H3637" s="10" t="s">
        <v>21</v>
      </c>
      <c r="I3637" s="10" t="s">
        <v>217</v>
      </c>
      <c r="J3637" s="10" t="str">
        <f>""</f>
        <v/>
      </c>
      <c r="K3637" s="10" t="str">
        <f>"PFES1162565644_0001"</f>
        <v>PFES1162565644_0001</v>
      </c>
      <c r="L3637" s="10">
        <v>2</v>
      </c>
      <c r="M3637" s="10">
        <v>20</v>
      </c>
    </row>
    <row r="3638" spans="1:13">
      <c r="A3638" s="8">
        <v>42947</v>
      </c>
      <c r="B3638" s="9">
        <v>0.53125</v>
      </c>
      <c r="C3638" s="10" t="str">
        <f>"FES1162565644"</f>
        <v>FES1162565644</v>
      </c>
      <c r="D3638" s="10" t="s">
        <v>19</v>
      </c>
      <c r="E3638" s="10" t="s">
        <v>860</v>
      </c>
      <c r="F3638" s="10" t="str">
        <f>"2170582186 "</f>
        <v xml:space="preserve">2170582186 </v>
      </c>
      <c r="G3638" s="10" t="str">
        <f>"DBC"</f>
        <v>DBC</v>
      </c>
      <c r="H3638" s="10" t="s">
        <v>21</v>
      </c>
      <c r="I3638" s="10" t="s">
        <v>217</v>
      </c>
      <c r="J3638" s="10"/>
      <c r="K3638" s="10" t="str">
        <f>"PFES1162565644_0002"</f>
        <v>PFES1162565644_0002</v>
      </c>
      <c r="L3638" s="10">
        <v>2</v>
      </c>
      <c r="M3638" s="10">
        <v>20</v>
      </c>
    </row>
    <row r="3639" spans="1:13">
      <c r="A3639" s="8">
        <v>42947</v>
      </c>
      <c r="B3639" s="9">
        <v>0.53125</v>
      </c>
      <c r="C3639" s="10" t="str">
        <f>"FES1162565698"</f>
        <v>FES1162565698</v>
      </c>
      <c r="D3639" s="10" t="s">
        <v>19</v>
      </c>
      <c r="E3639" s="10" t="s">
        <v>154</v>
      </c>
      <c r="F3639" s="10" t="str">
        <f>"2170575674 "</f>
        <v xml:space="preserve">2170575674 </v>
      </c>
      <c r="G3639" s="10" t="str">
        <f t="shared" ref="G3639:G3647" si="160">"ON1"</f>
        <v>ON1</v>
      </c>
      <c r="H3639" s="10" t="s">
        <v>21</v>
      </c>
      <c r="I3639" s="10" t="s">
        <v>130</v>
      </c>
      <c r="J3639" s="10" t="str">
        <f>""</f>
        <v/>
      </c>
      <c r="K3639" s="10" t="str">
        <f>"PFES1162565698_0001"</f>
        <v>PFES1162565698_0001</v>
      </c>
      <c r="L3639" s="10">
        <v>1</v>
      </c>
      <c r="M3639" s="10">
        <v>2</v>
      </c>
    </row>
    <row r="3640" spans="1:13">
      <c r="A3640" s="8">
        <v>42947</v>
      </c>
      <c r="B3640" s="9">
        <v>0.53055555555555556</v>
      </c>
      <c r="C3640" s="10" t="str">
        <f>"FES1162565702"</f>
        <v>FES1162565702</v>
      </c>
      <c r="D3640" s="10" t="s">
        <v>19</v>
      </c>
      <c r="E3640" s="10" t="s">
        <v>709</v>
      </c>
      <c r="F3640" s="10" t="str">
        <f>"217077167 "</f>
        <v xml:space="preserve">217077167 </v>
      </c>
      <c r="G3640" s="10" t="str">
        <f t="shared" si="160"/>
        <v>ON1</v>
      </c>
      <c r="H3640" s="10" t="s">
        <v>21</v>
      </c>
      <c r="I3640" s="10" t="s">
        <v>224</v>
      </c>
      <c r="J3640" s="10" t="str">
        <f>""</f>
        <v/>
      </c>
      <c r="K3640" s="10" t="str">
        <f>"PFES1162565702_0001"</f>
        <v>PFES1162565702_0001</v>
      </c>
      <c r="L3640" s="10">
        <v>1</v>
      </c>
      <c r="M3640" s="10">
        <v>3</v>
      </c>
    </row>
    <row r="3641" spans="1:13">
      <c r="A3641" s="8">
        <v>42947</v>
      </c>
      <c r="B3641" s="9">
        <v>0.53055555555555556</v>
      </c>
      <c r="C3641" s="10" t="str">
        <f>"FES1162565623"</f>
        <v>FES1162565623</v>
      </c>
      <c r="D3641" s="10" t="s">
        <v>19</v>
      </c>
      <c r="E3641" s="10" t="s">
        <v>245</v>
      </c>
      <c r="F3641" s="10" t="str">
        <f>"2170580201 "</f>
        <v xml:space="preserve">2170580201 </v>
      </c>
      <c r="G3641" s="10" t="str">
        <f t="shared" si="160"/>
        <v>ON1</v>
      </c>
      <c r="H3641" s="10" t="s">
        <v>21</v>
      </c>
      <c r="I3641" s="10" t="s">
        <v>246</v>
      </c>
      <c r="J3641" s="10" t="str">
        <f>""</f>
        <v/>
      </c>
      <c r="K3641" s="10" t="str">
        <f>"PFES1162565623_0001"</f>
        <v>PFES1162565623_0001</v>
      </c>
      <c r="L3641" s="10">
        <v>1</v>
      </c>
      <c r="M3641" s="10">
        <v>2</v>
      </c>
    </row>
    <row r="3642" spans="1:13">
      <c r="A3642" s="8">
        <v>42947</v>
      </c>
      <c r="B3642" s="9">
        <v>0.52986111111111112</v>
      </c>
      <c r="C3642" s="10" t="str">
        <f>"FES1162565714"</f>
        <v>FES1162565714</v>
      </c>
      <c r="D3642" s="10" t="s">
        <v>19</v>
      </c>
      <c r="E3642" s="10" t="s">
        <v>560</v>
      </c>
      <c r="F3642" s="10" t="str">
        <f>"2170582285 "</f>
        <v xml:space="preserve">2170582285 </v>
      </c>
      <c r="G3642" s="10" t="str">
        <f t="shared" si="160"/>
        <v>ON1</v>
      </c>
      <c r="H3642" s="10" t="s">
        <v>21</v>
      </c>
      <c r="I3642" s="10" t="s">
        <v>561</v>
      </c>
      <c r="J3642" s="10" t="str">
        <f>""</f>
        <v/>
      </c>
      <c r="K3642" s="10" t="str">
        <f>"PFES1162565714_0001"</f>
        <v>PFES1162565714_0001</v>
      </c>
      <c r="L3642" s="10">
        <v>1</v>
      </c>
      <c r="M3642" s="10">
        <v>2</v>
      </c>
    </row>
    <row r="3643" spans="1:13">
      <c r="A3643" s="8">
        <v>42947</v>
      </c>
      <c r="B3643" s="9">
        <v>0.52916666666666667</v>
      </c>
      <c r="C3643" s="10" t="str">
        <f>"FES1162565705"</f>
        <v>FES1162565705</v>
      </c>
      <c r="D3643" s="10" t="s">
        <v>19</v>
      </c>
      <c r="E3643" s="10" t="s">
        <v>282</v>
      </c>
      <c r="F3643" s="10" t="str">
        <f>"2170587787 "</f>
        <v xml:space="preserve">2170587787 </v>
      </c>
      <c r="G3643" s="10" t="str">
        <f t="shared" si="160"/>
        <v>ON1</v>
      </c>
      <c r="H3643" s="10" t="s">
        <v>21</v>
      </c>
      <c r="I3643" s="10" t="s">
        <v>252</v>
      </c>
      <c r="J3643" s="10" t="str">
        <f>""</f>
        <v/>
      </c>
      <c r="K3643" s="10" t="str">
        <f>"PFES1162565705_0001"</f>
        <v>PFES1162565705_0001</v>
      </c>
      <c r="L3643" s="10">
        <v>1</v>
      </c>
      <c r="M3643" s="10">
        <v>2</v>
      </c>
    </row>
    <row r="3644" spans="1:13">
      <c r="A3644" s="8">
        <v>42947</v>
      </c>
      <c r="B3644" s="9">
        <v>0.52916666666666667</v>
      </c>
      <c r="C3644" s="10" t="str">
        <f>"FES1162565713"</f>
        <v>FES1162565713</v>
      </c>
      <c r="D3644" s="10" t="s">
        <v>19</v>
      </c>
      <c r="E3644" s="10" t="s">
        <v>184</v>
      </c>
      <c r="F3644" s="10" t="str">
        <f>"2170580183 "</f>
        <v xml:space="preserve">2170580183 </v>
      </c>
      <c r="G3644" s="10" t="str">
        <f t="shared" si="160"/>
        <v>ON1</v>
      </c>
      <c r="H3644" s="10" t="s">
        <v>21</v>
      </c>
      <c r="I3644" s="10" t="s">
        <v>185</v>
      </c>
      <c r="J3644" s="10" t="str">
        <f>""</f>
        <v/>
      </c>
      <c r="K3644" s="10" t="str">
        <f>"PFES1162565713_0001"</f>
        <v>PFES1162565713_0001</v>
      </c>
      <c r="L3644" s="10">
        <v>1</v>
      </c>
      <c r="M3644" s="10">
        <v>3</v>
      </c>
    </row>
    <row r="3645" spans="1:13">
      <c r="A3645" s="8">
        <v>42947</v>
      </c>
      <c r="B3645" s="9">
        <v>0.52847222222222223</v>
      </c>
      <c r="C3645" s="10" t="str">
        <f>"FES1162565626"</f>
        <v>FES1162565626</v>
      </c>
      <c r="D3645" s="10" t="s">
        <v>19</v>
      </c>
      <c r="E3645" s="10" t="s">
        <v>245</v>
      </c>
      <c r="F3645" s="10" t="str">
        <f>"2170580320 "</f>
        <v xml:space="preserve">2170580320 </v>
      </c>
      <c r="G3645" s="10" t="str">
        <f t="shared" si="160"/>
        <v>ON1</v>
      </c>
      <c r="H3645" s="10" t="s">
        <v>21</v>
      </c>
      <c r="I3645" s="10" t="s">
        <v>246</v>
      </c>
      <c r="J3645" s="10" t="str">
        <f>""</f>
        <v/>
      </c>
      <c r="K3645" s="10" t="str">
        <f>"PFES1162565626_0001"</f>
        <v>PFES1162565626_0001</v>
      </c>
      <c r="L3645" s="10">
        <v>1</v>
      </c>
      <c r="M3645" s="10">
        <v>11</v>
      </c>
    </row>
    <row r="3646" spans="1:13">
      <c r="A3646" s="8">
        <v>42947</v>
      </c>
      <c r="B3646" s="9">
        <v>0.52847222222222223</v>
      </c>
      <c r="C3646" s="10" t="str">
        <f>"FES1162565712"</f>
        <v>FES1162565712</v>
      </c>
      <c r="D3646" s="10" t="s">
        <v>19</v>
      </c>
      <c r="E3646" s="10" t="s">
        <v>1215</v>
      </c>
      <c r="F3646" s="10" t="str">
        <f>"217057206 "</f>
        <v xml:space="preserve">217057206 </v>
      </c>
      <c r="G3646" s="10" t="str">
        <f t="shared" si="160"/>
        <v>ON1</v>
      </c>
      <c r="H3646" s="10" t="s">
        <v>21</v>
      </c>
      <c r="I3646" s="10" t="s">
        <v>68</v>
      </c>
      <c r="J3646" s="10" t="str">
        <f>""</f>
        <v/>
      </c>
      <c r="K3646" s="10" t="str">
        <f>"PFES1162565712_0001"</f>
        <v>PFES1162565712_0001</v>
      </c>
      <c r="L3646" s="10">
        <v>1</v>
      </c>
      <c r="M3646" s="10">
        <v>3</v>
      </c>
    </row>
    <row r="3647" spans="1:13">
      <c r="A3647" s="8">
        <v>42947</v>
      </c>
      <c r="B3647" s="9">
        <v>0.52777777777777779</v>
      </c>
      <c r="C3647" s="10" t="str">
        <f>"FES1162565727"</f>
        <v>FES1162565727</v>
      </c>
      <c r="D3647" s="10" t="s">
        <v>19</v>
      </c>
      <c r="E3647" s="10" t="s">
        <v>464</v>
      </c>
      <c r="F3647" s="10" t="str">
        <f>"2170580234 "</f>
        <v xml:space="preserve">2170580234 </v>
      </c>
      <c r="G3647" s="10" t="str">
        <f t="shared" si="160"/>
        <v>ON1</v>
      </c>
      <c r="H3647" s="10" t="s">
        <v>21</v>
      </c>
      <c r="I3647" s="10" t="s">
        <v>330</v>
      </c>
      <c r="J3647" s="10" t="str">
        <f>""</f>
        <v/>
      </c>
      <c r="K3647" s="10" t="str">
        <f>"PFES1162565727_0001"</f>
        <v>PFES1162565727_0001</v>
      </c>
      <c r="L3647" s="10">
        <v>1</v>
      </c>
      <c r="M3647" s="10">
        <v>3</v>
      </c>
    </row>
    <row r="3648" spans="1:13">
      <c r="A3648" s="8">
        <v>42947</v>
      </c>
      <c r="B3648" s="9">
        <v>0.52638888888888891</v>
      </c>
      <c r="C3648" s="10" t="str">
        <f>"FES1162564677"</f>
        <v>FES1162564677</v>
      </c>
      <c r="D3648" s="10" t="s">
        <v>19</v>
      </c>
      <c r="E3648" s="10" t="s">
        <v>696</v>
      </c>
      <c r="F3648" s="10" t="str">
        <f>"2170577960 "</f>
        <v xml:space="preserve">2170577960 </v>
      </c>
      <c r="G3648" s="10" t="str">
        <f>"DBC"</f>
        <v>DBC</v>
      </c>
      <c r="H3648" s="10" t="s">
        <v>21</v>
      </c>
      <c r="I3648" s="10" t="s">
        <v>697</v>
      </c>
      <c r="J3648" s="10" t="str">
        <f>""</f>
        <v/>
      </c>
      <c r="K3648" s="10" t="str">
        <f>"PFES1162564677_0001"</f>
        <v>PFES1162564677_0001</v>
      </c>
      <c r="L3648" s="10">
        <v>1</v>
      </c>
      <c r="M3648" s="10">
        <v>15</v>
      </c>
    </row>
    <row r="3649" spans="1:13">
      <c r="A3649" s="8">
        <v>42947</v>
      </c>
      <c r="B3649" s="9">
        <v>0.52569444444444446</v>
      </c>
      <c r="C3649" s="10" t="str">
        <f>"FES1162565740"</f>
        <v>FES1162565740</v>
      </c>
      <c r="D3649" s="10" t="s">
        <v>19</v>
      </c>
      <c r="E3649" s="10" t="s">
        <v>118</v>
      </c>
      <c r="F3649" s="10" t="str">
        <f>"2170582295 "</f>
        <v xml:space="preserve">2170582295 </v>
      </c>
      <c r="G3649" s="10" t="str">
        <f t="shared" ref="G3649:G3688" si="161">"ON1"</f>
        <v>ON1</v>
      </c>
      <c r="H3649" s="10" t="s">
        <v>21</v>
      </c>
      <c r="I3649" s="10" t="s">
        <v>119</v>
      </c>
      <c r="J3649" s="10" t="str">
        <f>""</f>
        <v/>
      </c>
      <c r="K3649" s="10" t="str">
        <f>"PFES1162565740_0001"</f>
        <v>PFES1162565740_0001</v>
      </c>
      <c r="L3649" s="10">
        <v>1</v>
      </c>
      <c r="M3649" s="10">
        <v>1</v>
      </c>
    </row>
    <row r="3650" spans="1:13">
      <c r="A3650" s="8">
        <v>42947</v>
      </c>
      <c r="B3650" s="9">
        <v>0.52361111111111114</v>
      </c>
      <c r="C3650" s="10" t="str">
        <f>"FES1162565699"</f>
        <v>FES1162565699</v>
      </c>
      <c r="D3650" s="10" t="s">
        <v>19</v>
      </c>
      <c r="E3650" s="10" t="s">
        <v>341</v>
      </c>
      <c r="F3650" s="10" t="str">
        <f>"2170576310 "</f>
        <v xml:space="preserve">2170576310 </v>
      </c>
      <c r="G3650" s="10" t="str">
        <f t="shared" si="161"/>
        <v>ON1</v>
      </c>
      <c r="H3650" s="10" t="s">
        <v>21</v>
      </c>
      <c r="I3650" s="10" t="s">
        <v>342</v>
      </c>
      <c r="J3650" s="10" t="str">
        <f>""</f>
        <v/>
      </c>
      <c r="K3650" s="10" t="str">
        <f>"PFES1162565699_0001"</f>
        <v>PFES1162565699_0001</v>
      </c>
      <c r="L3650" s="10">
        <v>1</v>
      </c>
      <c r="M3650" s="10">
        <v>2</v>
      </c>
    </row>
    <row r="3651" spans="1:13">
      <c r="A3651" s="8">
        <v>42947</v>
      </c>
      <c r="B3651" s="9">
        <v>0.5229166666666667</v>
      </c>
      <c r="C3651" s="10" t="str">
        <f>"FES1162565708"</f>
        <v>FES1162565708</v>
      </c>
      <c r="D3651" s="10" t="s">
        <v>19</v>
      </c>
      <c r="E3651" s="10" t="s">
        <v>286</v>
      </c>
      <c r="F3651" s="10" t="str">
        <f>"2170587373 "</f>
        <v xml:space="preserve">2170587373 </v>
      </c>
      <c r="G3651" s="10" t="str">
        <f t="shared" si="161"/>
        <v>ON1</v>
      </c>
      <c r="H3651" s="10" t="s">
        <v>21</v>
      </c>
      <c r="I3651" s="10" t="s">
        <v>177</v>
      </c>
      <c r="J3651" s="10" t="str">
        <f>""</f>
        <v/>
      </c>
      <c r="K3651" s="10" t="str">
        <f>"PFES1162565708_0001"</f>
        <v>PFES1162565708_0001</v>
      </c>
      <c r="L3651" s="10">
        <v>1</v>
      </c>
      <c r="M3651" s="10">
        <v>3</v>
      </c>
    </row>
    <row r="3652" spans="1:13">
      <c r="A3652" s="8">
        <v>42947</v>
      </c>
      <c r="B3652" s="9">
        <v>0.5229166666666667</v>
      </c>
      <c r="C3652" s="10" t="str">
        <f>"FES1162565717"</f>
        <v>FES1162565717</v>
      </c>
      <c r="D3652" s="10" t="s">
        <v>19</v>
      </c>
      <c r="E3652" s="10" t="s">
        <v>513</v>
      </c>
      <c r="F3652" s="10" t="str">
        <f>"21705877586 "</f>
        <v xml:space="preserve">21705877586 </v>
      </c>
      <c r="G3652" s="10" t="str">
        <f t="shared" si="161"/>
        <v>ON1</v>
      </c>
      <c r="H3652" s="10" t="s">
        <v>21</v>
      </c>
      <c r="I3652" s="10" t="s">
        <v>138</v>
      </c>
      <c r="J3652" s="10" t="str">
        <f>""</f>
        <v/>
      </c>
      <c r="K3652" s="10" t="str">
        <f>"PFES1162565717_0001"</f>
        <v>PFES1162565717_0001</v>
      </c>
      <c r="L3652" s="10">
        <v>1</v>
      </c>
      <c r="M3652" s="10">
        <v>6</v>
      </c>
    </row>
    <row r="3653" spans="1:13">
      <c r="A3653" s="8">
        <v>42947</v>
      </c>
      <c r="B3653" s="9">
        <v>0.52222222222222225</v>
      </c>
      <c r="C3653" s="10" t="str">
        <f>"FES1162565697"</f>
        <v>FES1162565697</v>
      </c>
      <c r="D3653" s="10" t="s">
        <v>19</v>
      </c>
      <c r="E3653" s="10" t="s">
        <v>265</v>
      </c>
      <c r="F3653" s="10" t="str">
        <f>"2170575263 "</f>
        <v xml:space="preserve">2170575263 </v>
      </c>
      <c r="G3653" s="10" t="str">
        <f t="shared" si="161"/>
        <v>ON1</v>
      </c>
      <c r="H3653" s="10" t="s">
        <v>21</v>
      </c>
      <c r="I3653" s="10" t="s">
        <v>230</v>
      </c>
      <c r="J3653" s="10" t="str">
        <f>""</f>
        <v/>
      </c>
      <c r="K3653" s="10" t="str">
        <f>"PFES1162565697_0001"</f>
        <v>PFES1162565697_0001</v>
      </c>
      <c r="L3653" s="10">
        <v>1</v>
      </c>
      <c r="M3653" s="10">
        <v>11</v>
      </c>
    </row>
    <row r="3654" spans="1:13">
      <c r="A3654" s="8">
        <v>42947</v>
      </c>
      <c r="B3654" s="9">
        <v>0.52222222222222225</v>
      </c>
      <c r="C3654" s="10" t="str">
        <f>"FES1162565725"</f>
        <v>FES1162565725</v>
      </c>
      <c r="D3654" s="10" t="s">
        <v>19</v>
      </c>
      <c r="E3654" s="10" t="s">
        <v>1174</v>
      </c>
      <c r="F3654" s="10" t="str">
        <f>"2170582292 "</f>
        <v xml:space="preserve">2170582292 </v>
      </c>
      <c r="G3654" s="10" t="str">
        <f t="shared" si="161"/>
        <v>ON1</v>
      </c>
      <c r="H3654" s="10" t="s">
        <v>21</v>
      </c>
      <c r="I3654" s="10" t="s">
        <v>166</v>
      </c>
      <c r="J3654" s="10" t="str">
        <f>""</f>
        <v/>
      </c>
      <c r="K3654" s="10" t="str">
        <f>"PFES1162565725_0001"</f>
        <v>PFES1162565725_0001</v>
      </c>
      <c r="L3654" s="10">
        <v>1</v>
      </c>
      <c r="M3654" s="10">
        <v>1</v>
      </c>
    </row>
    <row r="3655" spans="1:13">
      <c r="A3655" s="8">
        <v>42947</v>
      </c>
      <c r="B3655" s="9">
        <v>0.52152777777777781</v>
      </c>
      <c r="C3655" s="10" t="str">
        <f>"FES1162565690"</f>
        <v>FES1162565690</v>
      </c>
      <c r="D3655" s="10" t="s">
        <v>19</v>
      </c>
      <c r="E3655" s="10" t="s">
        <v>1216</v>
      </c>
      <c r="F3655" s="10" t="str">
        <f>"2170582210 "</f>
        <v xml:space="preserve">2170582210 </v>
      </c>
      <c r="G3655" s="10" t="str">
        <f t="shared" si="161"/>
        <v>ON1</v>
      </c>
      <c r="H3655" s="10" t="s">
        <v>21</v>
      </c>
      <c r="I3655" s="10" t="s">
        <v>224</v>
      </c>
      <c r="J3655" s="10" t="str">
        <f>""</f>
        <v/>
      </c>
      <c r="K3655" s="10" t="str">
        <f>"PFES1162565690_0001"</f>
        <v>PFES1162565690_0001</v>
      </c>
      <c r="L3655" s="10">
        <v>1</v>
      </c>
      <c r="M3655" s="10">
        <v>1</v>
      </c>
    </row>
    <row r="3656" spans="1:13">
      <c r="A3656" s="8">
        <v>42947</v>
      </c>
      <c r="B3656" s="9">
        <v>0.52083333333333337</v>
      </c>
      <c r="C3656" s="10" t="str">
        <f>"FES1162565686"</f>
        <v>FES1162565686</v>
      </c>
      <c r="D3656" s="10" t="s">
        <v>19</v>
      </c>
      <c r="E3656" s="10" t="s">
        <v>663</v>
      </c>
      <c r="F3656" s="10" t="str">
        <f>"2170582265 "</f>
        <v xml:space="preserve">2170582265 </v>
      </c>
      <c r="G3656" s="10" t="str">
        <f t="shared" si="161"/>
        <v>ON1</v>
      </c>
      <c r="H3656" s="10" t="s">
        <v>21</v>
      </c>
      <c r="I3656" s="10" t="s">
        <v>183</v>
      </c>
      <c r="J3656" s="10" t="str">
        <f>""</f>
        <v/>
      </c>
      <c r="K3656" s="10" t="str">
        <f>"PFES1162565686_0001"</f>
        <v>PFES1162565686_0001</v>
      </c>
      <c r="L3656" s="10">
        <v>1</v>
      </c>
      <c r="M3656" s="10">
        <v>3</v>
      </c>
    </row>
    <row r="3657" spans="1:13">
      <c r="A3657" s="8">
        <v>42947</v>
      </c>
      <c r="B3657" s="9">
        <v>0.52013888888888882</v>
      </c>
      <c r="C3657" s="10" t="str">
        <f>"FES1162565655"</f>
        <v>FES1162565655</v>
      </c>
      <c r="D3657" s="10" t="s">
        <v>19</v>
      </c>
      <c r="E3657" s="10" t="s">
        <v>460</v>
      </c>
      <c r="F3657" s="10" t="str">
        <f>"2170582235 "</f>
        <v xml:space="preserve">2170582235 </v>
      </c>
      <c r="G3657" s="10" t="str">
        <f t="shared" si="161"/>
        <v>ON1</v>
      </c>
      <c r="H3657" s="10" t="s">
        <v>21</v>
      </c>
      <c r="I3657" s="10" t="s">
        <v>461</v>
      </c>
      <c r="J3657" s="10" t="str">
        <f>""</f>
        <v/>
      </c>
      <c r="K3657" s="10" t="str">
        <f>"PFES1162565655_0001"</f>
        <v>PFES1162565655_0001</v>
      </c>
      <c r="L3657" s="10">
        <v>1</v>
      </c>
      <c r="M3657" s="10">
        <v>1</v>
      </c>
    </row>
    <row r="3658" spans="1:13">
      <c r="A3658" s="8">
        <v>42947</v>
      </c>
      <c r="B3658" s="9">
        <v>0.52013888888888882</v>
      </c>
      <c r="C3658" s="10" t="str">
        <f>"FES1162565672"</f>
        <v>FES1162565672</v>
      </c>
      <c r="D3658" s="10" t="s">
        <v>19</v>
      </c>
      <c r="E3658" s="10" t="s">
        <v>33</v>
      </c>
      <c r="F3658" s="10" t="str">
        <f>"2170581617 "</f>
        <v xml:space="preserve">2170581617 </v>
      </c>
      <c r="G3658" s="10" t="str">
        <f t="shared" si="161"/>
        <v>ON1</v>
      </c>
      <c r="H3658" s="10" t="s">
        <v>21</v>
      </c>
      <c r="I3658" s="10" t="s">
        <v>34</v>
      </c>
      <c r="J3658" s="10" t="str">
        <f>""</f>
        <v/>
      </c>
      <c r="K3658" s="10" t="str">
        <f>"PFES1162565672_0001"</f>
        <v>PFES1162565672_0001</v>
      </c>
      <c r="L3658" s="10">
        <v>1</v>
      </c>
      <c r="M3658" s="10">
        <v>1</v>
      </c>
    </row>
    <row r="3659" spans="1:13">
      <c r="A3659" s="8">
        <v>42947</v>
      </c>
      <c r="B3659" s="9">
        <v>0.52013888888888882</v>
      </c>
      <c r="C3659" s="10" t="str">
        <f>"FES1162565648"</f>
        <v>FES1162565648</v>
      </c>
      <c r="D3659" s="10" t="s">
        <v>19</v>
      </c>
      <c r="E3659" s="10" t="s">
        <v>1217</v>
      </c>
      <c r="F3659" s="10" t="str">
        <f>"2170582224 "</f>
        <v xml:space="preserve">2170582224 </v>
      </c>
      <c r="G3659" s="10" t="str">
        <f t="shared" si="161"/>
        <v>ON1</v>
      </c>
      <c r="H3659" s="10" t="s">
        <v>21</v>
      </c>
      <c r="I3659" s="10" t="s">
        <v>100</v>
      </c>
      <c r="J3659" s="10" t="str">
        <f>""</f>
        <v/>
      </c>
      <c r="K3659" s="10" t="str">
        <f>"PFES1162565648_0001"</f>
        <v>PFES1162565648_0001</v>
      </c>
      <c r="L3659" s="10">
        <v>1</v>
      </c>
      <c r="M3659" s="10">
        <v>1</v>
      </c>
    </row>
    <row r="3660" spans="1:13">
      <c r="A3660" s="8">
        <v>42947</v>
      </c>
      <c r="B3660" s="9">
        <v>0.51944444444444449</v>
      </c>
      <c r="C3660" s="10" t="str">
        <f>"FES1162565731"</f>
        <v>FES1162565731</v>
      </c>
      <c r="D3660" s="10" t="s">
        <v>19</v>
      </c>
      <c r="E3660" s="10" t="s">
        <v>632</v>
      </c>
      <c r="F3660" s="10" t="str">
        <f>"2170582301 "</f>
        <v xml:space="preserve">2170582301 </v>
      </c>
      <c r="G3660" s="10" t="str">
        <f t="shared" si="161"/>
        <v>ON1</v>
      </c>
      <c r="H3660" s="10" t="s">
        <v>21</v>
      </c>
      <c r="I3660" s="10" t="s">
        <v>166</v>
      </c>
      <c r="J3660" s="10" t="str">
        <f>""</f>
        <v/>
      </c>
      <c r="K3660" s="10" t="str">
        <f>"PFES1162565731_0001"</f>
        <v>PFES1162565731_0001</v>
      </c>
      <c r="L3660" s="10">
        <v>1</v>
      </c>
      <c r="M3660" s="10">
        <v>1</v>
      </c>
    </row>
    <row r="3661" spans="1:13">
      <c r="A3661" s="8">
        <v>42947</v>
      </c>
      <c r="B3661" s="9">
        <v>0.51944444444444449</v>
      </c>
      <c r="C3661" s="10" t="str">
        <f>"FES1162565691"</f>
        <v>FES1162565691</v>
      </c>
      <c r="D3661" s="10" t="s">
        <v>19</v>
      </c>
      <c r="E3661" s="10" t="s">
        <v>47</v>
      </c>
      <c r="F3661" s="10" t="str">
        <f>"21705823262 "</f>
        <v xml:space="preserve">21705823262 </v>
      </c>
      <c r="G3661" s="10" t="str">
        <f t="shared" si="161"/>
        <v>ON1</v>
      </c>
      <c r="H3661" s="10" t="s">
        <v>21</v>
      </c>
      <c r="I3661" s="10" t="s">
        <v>48</v>
      </c>
      <c r="J3661" s="10" t="str">
        <f>""</f>
        <v/>
      </c>
      <c r="K3661" s="10" t="str">
        <f>"PFES1162565691_0001"</f>
        <v>PFES1162565691_0001</v>
      </c>
      <c r="L3661" s="10">
        <v>1</v>
      </c>
      <c r="M3661" s="10">
        <v>1</v>
      </c>
    </row>
    <row r="3662" spans="1:13">
      <c r="A3662" s="8">
        <v>42947</v>
      </c>
      <c r="B3662" s="9">
        <v>0.51874999999999993</v>
      </c>
      <c r="C3662" s="10" t="str">
        <f>"FES1162565654"</f>
        <v>FES1162565654</v>
      </c>
      <c r="D3662" s="10" t="s">
        <v>19</v>
      </c>
      <c r="E3662" s="10" t="s">
        <v>326</v>
      </c>
      <c r="F3662" s="10" t="str">
        <f>"2170582232 "</f>
        <v xml:space="preserve">2170582232 </v>
      </c>
      <c r="G3662" s="10" t="str">
        <f t="shared" si="161"/>
        <v>ON1</v>
      </c>
      <c r="H3662" s="10" t="s">
        <v>21</v>
      </c>
      <c r="I3662" s="10" t="s">
        <v>327</v>
      </c>
      <c r="J3662" s="10" t="str">
        <f>""</f>
        <v/>
      </c>
      <c r="K3662" s="10" t="str">
        <f>"PFES1162565654_0001"</f>
        <v>PFES1162565654_0001</v>
      </c>
      <c r="L3662" s="10">
        <v>1</v>
      </c>
      <c r="M3662" s="10">
        <v>1</v>
      </c>
    </row>
    <row r="3663" spans="1:13">
      <c r="A3663" s="8">
        <v>42947</v>
      </c>
      <c r="B3663" s="9">
        <v>0.51874999999999993</v>
      </c>
      <c r="C3663" s="10" t="str">
        <f>"FES1162565657"</f>
        <v>FES1162565657</v>
      </c>
      <c r="D3663" s="10" t="s">
        <v>19</v>
      </c>
      <c r="E3663" s="10" t="s">
        <v>1218</v>
      </c>
      <c r="F3663" s="10" t="str">
        <f>"2170581596 "</f>
        <v xml:space="preserve">2170581596 </v>
      </c>
      <c r="G3663" s="10" t="str">
        <f t="shared" si="161"/>
        <v>ON1</v>
      </c>
      <c r="H3663" s="10" t="s">
        <v>21</v>
      </c>
      <c r="I3663" s="10" t="s">
        <v>1219</v>
      </c>
      <c r="J3663" s="10" t="str">
        <f>""</f>
        <v/>
      </c>
      <c r="K3663" s="10" t="str">
        <f>"PFES1162565657_0001"</f>
        <v>PFES1162565657_0001</v>
      </c>
      <c r="L3663" s="10">
        <v>1</v>
      </c>
      <c r="M3663" s="10">
        <v>1</v>
      </c>
    </row>
    <row r="3664" spans="1:13">
      <c r="A3664" s="8">
        <v>42947</v>
      </c>
      <c r="B3664" s="9">
        <v>0.51874999999999993</v>
      </c>
      <c r="C3664" s="10" t="str">
        <f>"FES1162565663"</f>
        <v>FES1162565663</v>
      </c>
      <c r="D3664" s="10" t="s">
        <v>19</v>
      </c>
      <c r="E3664" s="10" t="s">
        <v>1220</v>
      </c>
      <c r="F3664" s="10" t="str">
        <f>"2170582245 "</f>
        <v xml:space="preserve">2170582245 </v>
      </c>
      <c r="G3664" s="10" t="str">
        <f t="shared" si="161"/>
        <v>ON1</v>
      </c>
      <c r="H3664" s="10" t="s">
        <v>21</v>
      </c>
      <c r="I3664" s="10" t="s">
        <v>628</v>
      </c>
      <c r="J3664" s="10" t="str">
        <f>""</f>
        <v/>
      </c>
      <c r="K3664" s="10" t="str">
        <f>"PFES1162565663_0001"</f>
        <v>PFES1162565663_0001</v>
      </c>
      <c r="L3664" s="10">
        <v>1</v>
      </c>
      <c r="M3664" s="10">
        <v>1</v>
      </c>
    </row>
    <row r="3665" spans="1:13">
      <c r="A3665" s="8">
        <v>42947</v>
      </c>
      <c r="B3665" s="9">
        <v>0.51736111111111105</v>
      </c>
      <c r="C3665" s="10" t="str">
        <f>"FES1162565659"</f>
        <v>FES1162565659</v>
      </c>
      <c r="D3665" s="10" t="s">
        <v>19</v>
      </c>
      <c r="E3665" s="10" t="s">
        <v>204</v>
      </c>
      <c r="F3665" s="10" t="str">
        <f>"2170581865 "</f>
        <v xml:space="preserve">2170581865 </v>
      </c>
      <c r="G3665" s="10" t="str">
        <f t="shared" si="161"/>
        <v>ON1</v>
      </c>
      <c r="H3665" s="10" t="s">
        <v>21</v>
      </c>
      <c r="I3665" s="10" t="s">
        <v>205</v>
      </c>
      <c r="J3665" s="10" t="str">
        <f>""</f>
        <v/>
      </c>
      <c r="K3665" s="10" t="str">
        <f>"PFES1162565659_0001"</f>
        <v>PFES1162565659_0001</v>
      </c>
      <c r="L3665" s="10">
        <v>1</v>
      </c>
      <c r="M3665" s="10">
        <v>1</v>
      </c>
    </row>
    <row r="3666" spans="1:13">
      <c r="A3666" s="8">
        <v>42947</v>
      </c>
      <c r="B3666" s="9">
        <v>0.51666666666666672</v>
      </c>
      <c r="C3666" s="10" t="str">
        <f>"FES1162565676"</f>
        <v>FES1162565676</v>
      </c>
      <c r="D3666" s="10" t="s">
        <v>19</v>
      </c>
      <c r="E3666" s="10" t="s">
        <v>33</v>
      </c>
      <c r="F3666" s="10" t="str">
        <f>"2170582248 "</f>
        <v xml:space="preserve">2170582248 </v>
      </c>
      <c r="G3666" s="10" t="str">
        <f t="shared" si="161"/>
        <v>ON1</v>
      </c>
      <c r="H3666" s="10" t="s">
        <v>21</v>
      </c>
      <c r="I3666" s="10" t="s">
        <v>34</v>
      </c>
      <c r="J3666" s="10" t="str">
        <f>""</f>
        <v/>
      </c>
      <c r="K3666" s="10" t="str">
        <f>"PFES1162565676_0001"</f>
        <v>PFES1162565676_0001</v>
      </c>
      <c r="L3666" s="10">
        <v>1</v>
      </c>
      <c r="M3666" s="10">
        <v>1</v>
      </c>
    </row>
    <row r="3667" spans="1:13">
      <c r="A3667" s="8">
        <v>42947</v>
      </c>
      <c r="B3667" s="9">
        <v>0.51597222222222217</v>
      </c>
      <c r="C3667" s="10" t="str">
        <f>"FES1162565679"</f>
        <v>FES1162565679</v>
      </c>
      <c r="D3667" s="10" t="s">
        <v>19</v>
      </c>
      <c r="E3667" s="10" t="s">
        <v>1221</v>
      </c>
      <c r="F3667" s="10" t="str">
        <f>"2170582255 "</f>
        <v xml:space="preserve">2170582255 </v>
      </c>
      <c r="G3667" s="10" t="str">
        <f t="shared" si="161"/>
        <v>ON1</v>
      </c>
      <c r="H3667" s="10" t="s">
        <v>21</v>
      </c>
      <c r="I3667" s="10" t="s">
        <v>90</v>
      </c>
      <c r="J3667" s="10" t="str">
        <f>""</f>
        <v/>
      </c>
      <c r="K3667" s="10" t="str">
        <f>"PFES1162565679_0001"</f>
        <v>PFES1162565679_0001</v>
      </c>
      <c r="L3667" s="10">
        <v>1</v>
      </c>
      <c r="M3667" s="10">
        <v>1</v>
      </c>
    </row>
    <row r="3668" spans="1:13">
      <c r="A3668" s="8">
        <v>42947</v>
      </c>
      <c r="B3668" s="9">
        <v>0.51597222222222217</v>
      </c>
      <c r="C3668" s="10" t="str">
        <f>"FES1162565678"</f>
        <v>FES1162565678</v>
      </c>
      <c r="D3668" s="10" t="s">
        <v>19</v>
      </c>
      <c r="E3668" s="10" t="s">
        <v>76</v>
      </c>
      <c r="F3668" s="10" t="str">
        <f>"2170582252 "</f>
        <v xml:space="preserve">2170582252 </v>
      </c>
      <c r="G3668" s="10" t="str">
        <f t="shared" si="161"/>
        <v>ON1</v>
      </c>
      <c r="H3668" s="10" t="s">
        <v>21</v>
      </c>
      <c r="I3668" s="10" t="s">
        <v>923</v>
      </c>
      <c r="J3668" s="10" t="str">
        <f>""</f>
        <v/>
      </c>
      <c r="K3668" s="10" t="str">
        <f>"PFES1162565678_0001"</f>
        <v>PFES1162565678_0001</v>
      </c>
      <c r="L3668" s="10">
        <v>1</v>
      </c>
      <c r="M3668" s="10">
        <v>3</v>
      </c>
    </row>
    <row r="3669" spans="1:13">
      <c r="A3669" s="8">
        <v>42947</v>
      </c>
      <c r="B3669" s="9">
        <v>0.51597222222222217</v>
      </c>
      <c r="C3669" s="10" t="str">
        <f>"FES1162563341"</f>
        <v>FES1162563341</v>
      </c>
      <c r="D3669" s="10" t="s">
        <v>19</v>
      </c>
      <c r="E3669" s="10" t="s">
        <v>379</v>
      </c>
      <c r="F3669" s="10" t="str">
        <f>"2170579872 "</f>
        <v xml:space="preserve">2170579872 </v>
      </c>
      <c r="G3669" s="10" t="str">
        <f t="shared" si="161"/>
        <v>ON1</v>
      </c>
      <c r="H3669" s="10" t="s">
        <v>21</v>
      </c>
      <c r="I3669" s="10" t="s">
        <v>380</v>
      </c>
      <c r="J3669" s="10" t="str">
        <f>""</f>
        <v/>
      </c>
      <c r="K3669" s="10" t="str">
        <f>"PFES1162563341_0001"</f>
        <v>PFES1162563341_0001</v>
      </c>
      <c r="L3669" s="10">
        <v>1</v>
      </c>
      <c r="M3669" s="10">
        <v>1</v>
      </c>
    </row>
    <row r="3670" spans="1:13">
      <c r="A3670" s="8">
        <v>42947</v>
      </c>
      <c r="B3670" s="9">
        <v>0.51527777777777783</v>
      </c>
      <c r="C3670" s="10" t="str">
        <f>"FES1162565662"</f>
        <v>FES1162565662</v>
      </c>
      <c r="D3670" s="10" t="s">
        <v>19</v>
      </c>
      <c r="E3670" s="10" t="s">
        <v>361</v>
      </c>
      <c r="F3670" s="10" t="str">
        <f>"2170588243 "</f>
        <v xml:space="preserve">2170588243 </v>
      </c>
      <c r="G3670" s="10" t="str">
        <f t="shared" si="161"/>
        <v>ON1</v>
      </c>
      <c r="H3670" s="10" t="s">
        <v>21</v>
      </c>
      <c r="I3670" s="10" t="s">
        <v>106</v>
      </c>
      <c r="J3670" s="10" t="str">
        <f>""</f>
        <v/>
      </c>
      <c r="K3670" s="10" t="str">
        <f>"PFES1162565662_0001"</f>
        <v>PFES1162565662_0001</v>
      </c>
      <c r="L3670" s="10">
        <v>1</v>
      </c>
      <c r="M3670" s="10">
        <v>1</v>
      </c>
    </row>
    <row r="3671" spans="1:13">
      <c r="A3671" s="8">
        <v>42947</v>
      </c>
      <c r="B3671" s="9">
        <v>0.51527777777777783</v>
      </c>
      <c r="C3671" s="10" t="str">
        <f>"FES1162565661"</f>
        <v>FES1162565661</v>
      </c>
      <c r="D3671" s="10" t="s">
        <v>19</v>
      </c>
      <c r="E3671" s="10" t="s">
        <v>768</v>
      </c>
      <c r="F3671" s="10" t="str">
        <f>"2170582242 "</f>
        <v xml:space="preserve">2170582242 </v>
      </c>
      <c r="G3671" s="10" t="str">
        <f t="shared" si="161"/>
        <v>ON1</v>
      </c>
      <c r="H3671" s="10" t="s">
        <v>21</v>
      </c>
      <c r="I3671" s="10" t="s">
        <v>601</v>
      </c>
      <c r="J3671" s="10" t="str">
        <f>""</f>
        <v/>
      </c>
      <c r="K3671" s="10" t="str">
        <f>"PFES1162565661_0001"</f>
        <v>PFES1162565661_0001</v>
      </c>
      <c r="L3671" s="10">
        <v>1</v>
      </c>
      <c r="M3671" s="10">
        <v>1</v>
      </c>
    </row>
    <row r="3672" spans="1:13">
      <c r="A3672" s="8">
        <v>42947</v>
      </c>
      <c r="B3672" s="9">
        <v>0.51458333333333328</v>
      </c>
      <c r="C3672" s="10" t="str">
        <f>"FES1162565664"</f>
        <v>FES1162565664</v>
      </c>
      <c r="D3672" s="10" t="s">
        <v>19</v>
      </c>
      <c r="E3672" s="10" t="s">
        <v>659</v>
      </c>
      <c r="F3672" s="10" t="str">
        <f>"2170582238 "</f>
        <v xml:space="preserve">2170582238 </v>
      </c>
      <c r="G3672" s="10" t="str">
        <f t="shared" si="161"/>
        <v>ON1</v>
      </c>
      <c r="H3672" s="10" t="s">
        <v>21</v>
      </c>
      <c r="I3672" s="10" t="s">
        <v>183</v>
      </c>
      <c r="J3672" s="10" t="str">
        <f>""</f>
        <v/>
      </c>
      <c r="K3672" s="10" t="str">
        <f>"PFES1162565664_0001"</f>
        <v>PFES1162565664_0001</v>
      </c>
      <c r="L3672" s="10">
        <v>1</v>
      </c>
      <c r="M3672" s="10">
        <v>2</v>
      </c>
    </row>
    <row r="3673" spans="1:13">
      <c r="A3673" s="8">
        <v>42947</v>
      </c>
      <c r="B3673" s="9">
        <v>0.49027777777777781</v>
      </c>
      <c r="C3673" s="10" t="str">
        <f>"FES1162565619"</f>
        <v>FES1162565619</v>
      </c>
      <c r="D3673" s="10" t="s">
        <v>19</v>
      </c>
      <c r="E3673" s="10" t="s">
        <v>245</v>
      </c>
      <c r="F3673" s="10" t="str">
        <f>"2170580173 "</f>
        <v xml:space="preserve">2170580173 </v>
      </c>
      <c r="G3673" s="10" t="str">
        <f t="shared" si="161"/>
        <v>ON1</v>
      </c>
      <c r="H3673" s="10" t="s">
        <v>21</v>
      </c>
      <c r="I3673" s="10" t="s">
        <v>246</v>
      </c>
      <c r="J3673" s="10" t="str">
        <f>""</f>
        <v/>
      </c>
      <c r="K3673" s="10" t="str">
        <f>"PFES1162565619_0001"</f>
        <v>PFES1162565619_0001</v>
      </c>
      <c r="L3673" s="10">
        <v>1</v>
      </c>
      <c r="M3673" s="10">
        <v>6</v>
      </c>
    </row>
    <row r="3674" spans="1:13">
      <c r="A3674" s="8">
        <v>42947</v>
      </c>
      <c r="B3674" s="9">
        <v>0.48958333333333331</v>
      </c>
      <c r="C3674" s="10" t="str">
        <f>"FES1162565667"</f>
        <v>FES1162565667</v>
      </c>
      <c r="D3674" s="10" t="s">
        <v>19</v>
      </c>
      <c r="E3674" s="10" t="s">
        <v>606</v>
      </c>
      <c r="F3674" s="10" t="str">
        <f>"21705799993 "</f>
        <v xml:space="preserve">21705799993 </v>
      </c>
      <c r="G3674" s="10" t="str">
        <f t="shared" si="161"/>
        <v>ON1</v>
      </c>
      <c r="H3674" s="10" t="s">
        <v>21</v>
      </c>
      <c r="I3674" s="10" t="s">
        <v>130</v>
      </c>
      <c r="J3674" s="10" t="str">
        <f>""</f>
        <v/>
      </c>
      <c r="K3674" s="10" t="str">
        <f>"PFES1162565667_0001"</f>
        <v>PFES1162565667_0001</v>
      </c>
      <c r="L3674" s="10">
        <v>1</v>
      </c>
      <c r="M3674" s="10">
        <v>5</v>
      </c>
    </row>
    <row r="3675" spans="1:13">
      <c r="A3675" s="8">
        <v>42947</v>
      </c>
      <c r="B3675" s="9">
        <v>0.48958333333333331</v>
      </c>
      <c r="C3675" s="10" t="str">
        <f>"FES1162565601"</f>
        <v>FES1162565601</v>
      </c>
      <c r="D3675" s="10" t="s">
        <v>19</v>
      </c>
      <c r="E3675" s="10" t="s">
        <v>241</v>
      </c>
      <c r="F3675" s="10" t="str">
        <f>"2170582174 "</f>
        <v xml:space="preserve">2170582174 </v>
      </c>
      <c r="G3675" s="10" t="str">
        <f t="shared" si="161"/>
        <v>ON1</v>
      </c>
      <c r="H3675" s="10" t="s">
        <v>21</v>
      </c>
      <c r="I3675" s="10" t="s">
        <v>242</v>
      </c>
      <c r="J3675" s="10" t="str">
        <f>""</f>
        <v/>
      </c>
      <c r="K3675" s="10" t="str">
        <f>"PFES1162565601_0001"</f>
        <v>PFES1162565601_0001</v>
      </c>
      <c r="L3675" s="10">
        <v>1</v>
      </c>
      <c r="M3675" s="10">
        <v>1</v>
      </c>
    </row>
    <row r="3676" spans="1:13">
      <c r="A3676" s="8">
        <v>42947</v>
      </c>
      <c r="B3676" s="9">
        <v>0.48888888888888887</v>
      </c>
      <c r="C3676" s="10" t="str">
        <f>"FES1162565674"</f>
        <v>FES1162565674</v>
      </c>
      <c r="D3676" s="10" t="s">
        <v>19</v>
      </c>
      <c r="E3676" s="10" t="s">
        <v>39</v>
      </c>
      <c r="F3676" s="10" t="str">
        <f>"2170582165 "</f>
        <v xml:space="preserve">2170582165 </v>
      </c>
      <c r="G3676" s="10" t="str">
        <f t="shared" si="161"/>
        <v>ON1</v>
      </c>
      <c r="H3676" s="10" t="s">
        <v>21</v>
      </c>
      <c r="I3676" s="10" t="s">
        <v>40</v>
      </c>
      <c r="J3676" s="10" t="str">
        <f>""</f>
        <v/>
      </c>
      <c r="K3676" s="10" t="str">
        <f>"PFES1162565674_0001"</f>
        <v>PFES1162565674_0001</v>
      </c>
      <c r="L3676" s="10">
        <v>1</v>
      </c>
      <c r="M3676" s="10">
        <v>8</v>
      </c>
    </row>
    <row r="3677" spans="1:13">
      <c r="A3677" s="8">
        <v>42947</v>
      </c>
      <c r="B3677" s="9">
        <v>0.48888888888888887</v>
      </c>
      <c r="C3677" s="10" t="str">
        <f>"FES1162565622"</f>
        <v>FES1162565622</v>
      </c>
      <c r="D3677" s="10" t="s">
        <v>19</v>
      </c>
      <c r="E3677" s="10" t="s">
        <v>245</v>
      </c>
      <c r="F3677" s="10" t="str">
        <f>"2170580195 "</f>
        <v xml:space="preserve">2170580195 </v>
      </c>
      <c r="G3677" s="10" t="str">
        <f t="shared" si="161"/>
        <v>ON1</v>
      </c>
      <c r="H3677" s="10" t="s">
        <v>21</v>
      </c>
      <c r="I3677" s="10" t="s">
        <v>246</v>
      </c>
      <c r="J3677" s="10" t="str">
        <f>""</f>
        <v/>
      </c>
      <c r="K3677" s="10" t="str">
        <f>"PFES1162565622_0001"</f>
        <v>PFES1162565622_0001</v>
      </c>
      <c r="L3677" s="10">
        <v>1</v>
      </c>
      <c r="M3677" s="10">
        <v>2</v>
      </c>
    </row>
    <row r="3678" spans="1:13">
      <c r="A3678" s="8">
        <v>42947</v>
      </c>
      <c r="B3678" s="9">
        <v>0.48819444444444443</v>
      </c>
      <c r="C3678" s="10" t="str">
        <f>"FES1162565628"</f>
        <v>FES1162565628</v>
      </c>
      <c r="D3678" s="10" t="s">
        <v>19</v>
      </c>
      <c r="E3678" s="10" t="s">
        <v>245</v>
      </c>
      <c r="F3678" s="10" t="str">
        <f>"2170580381 "</f>
        <v xml:space="preserve">2170580381 </v>
      </c>
      <c r="G3678" s="10" t="str">
        <f t="shared" si="161"/>
        <v>ON1</v>
      </c>
      <c r="H3678" s="10" t="s">
        <v>21</v>
      </c>
      <c r="I3678" s="10" t="s">
        <v>246</v>
      </c>
      <c r="J3678" s="10" t="str">
        <f>""</f>
        <v/>
      </c>
      <c r="K3678" s="10" t="str">
        <f>"PFES1162565628_0001"</f>
        <v>PFES1162565628_0001</v>
      </c>
      <c r="L3678" s="10">
        <v>1</v>
      </c>
      <c r="M3678" s="10">
        <v>4</v>
      </c>
    </row>
    <row r="3679" spans="1:13">
      <c r="A3679" s="8">
        <v>42947</v>
      </c>
      <c r="B3679" s="9">
        <v>0.48749999999999999</v>
      </c>
      <c r="C3679" s="10" t="str">
        <f>"FES1162565627"</f>
        <v>FES1162565627</v>
      </c>
      <c r="D3679" s="10" t="s">
        <v>19</v>
      </c>
      <c r="E3679" s="10" t="s">
        <v>245</v>
      </c>
      <c r="F3679" s="10" t="str">
        <f>"2170580342 "</f>
        <v xml:space="preserve">2170580342 </v>
      </c>
      <c r="G3679" s="10" t="str">
        <f t="shared" si="161"/>
        <v>ON1</v>
      </c>
      <c r="H3679" s="10" t="s">
        <v>21</v>
      </c>
      <c r="I3679" s="10" t="s">
        <v>246</v>
      </c>
      <c r="J3679" s="10" t="str">
        <f>""</f>
        <v/>
      </c>
      <c r="K3679" s="10" t="str">
        <f>"PFES1162565627_0001"</f>
        <v>PFES1162565627_0001</v>
      </c>
      <c r="L3679" s="10">
        <v>1</v>
      </c>
      <c r="M3679" s="10">
        <v>3</v>
      </c>
    </row>
    <row r="3680" spans="1:13">
      <c r="A3680" s="8">
        <v>42947</v>
      </c>
      <c r="B3680" s="9">
        <v>0.48749999999999999</v>
      </c>
      <c r="C3680" s="10" t="str">
        <f>"FES1162565620"</f>
        <v>FES1162565620</v>
      </c>
      <c r="D3680" s="10" t="s">
        <v>19</v>
      </c>
      <c r="E3680" s="10" t="s">
        <v>245</v>
      </c>
      <c r="F3680" s="10" t="str">
        <f>"2170580188 "</f>
        <v xml:space="preserve">2170580188 </v>
      </c>
      <c r="G3680" s="10" t="str">
        <f t="shared" si="161"/>
        <v>ON1</v>
      </c>
      <c r="H3680" s="10" t="s">
        <v>21</v>
      </c>
      <c r="I3680" s="10" t="s">
        <v>246</v>
      </c>
      <c r="J3680" s="10" t="str">
        <f>""</f>
        <v/>
      </c>
      <c r="K3680" s="10" t="str">
        <f>"PFES1162565620_0001"</f>
        <v>PFES1162565620_0001</v>
      </c>
      <c r="L3680" s="10">
        <v>1</v>
      </c>
      <c r="M3680" s="10">
        <v>3</v>
      </c>
    </row>
    <row r="3681" spans="1:13">
      <c r="A3681" s="8">
        <v>42947</v>
      </c>
      <c r="B3681" s="9">
        <v>0.48749999999999999</v>
      </c>
      <c r="C3681" s="10" t="str">
        <f>"FES1162565675"</f>
        <v>FES1162565675</v>
      </c>
      <c r="D3681" s="10" t="s">
        <v>19</v>
      </c>
      <c r="E3681" s="10" t="s">
        <v>1222</v>
      </c>
      <c r="F3681" s="10" t="str">
        <f>"2170582227 "</f>
        <v xml:space="preserve">2170582227 </v>
      </c>
      <c r="G3681" s="10" t="str">
        <f t="shared" si="161"/>
        <v>ON1</v>
      </c>
      <c r="H3681" s="10" t="s">
        <v>21</v>
      </c>
      <c r="I3681" s="10" t="s">
        <v>500</v>
      </c>
      <c r="J3681" s="10" t="str">
        <f>""</f>
        <v/>
      </c>
      <c r="K3681" s="10" t="str">
        <f>"PFES1162565675_0001"</f>
        <v>PFES1162565675_0001</v>
      </c>
      <c r="L3681" s="10">
        <v>1</v>
      </c>
      <c r="M3681" s="10">
        <v>1</v>
      </c>
    </row>
    <row r="3682" spans="1:13">
      <c r="A3682" s="8">
        <v>42947</v>
      </c>
      <c r="B3682" s="9">
        <v>0.4861111111111111</v>
      </c>
      <c r="C3682" s="10" t="str">
        <f>"FES1162565669"</f>
        <v>FES1162565669</v>
      </c>
      <c r="D3682" s="10" t="s">
        <v>19</v>
      </c>
      <c r="E3682" s="10" t="s">
        <v>436</v>
      </c>
      <c r="F3682" s="10" t="str">
        <f>"2170581162 "</f>
        <v xml:space="preserve">2170581162 </v>
      </c>
      <c r="G3682" s="10" t="str">
        <f t="shared" si="161"/>
        <v>ON1</v>
      </c>
      <c r="H3682" s="10" t="s">
        <v>21</v>
      </c>
      <c r="I3682" s="10" t="s">
        <v>252</v>
      </c>
      <c r="J3682" s="10" t="str">
        <f>""</f>
        <v/>
      </c>
      <c r="K3682" s="10" t="str">
        <f>"PFES1162565669_0001"</f>
        <v>PFES1162565669_0001</v>
      </c>
      <c r="L3682" s="10">
        <v>1</v>
      </c>
      <c r="M3682" s="10">
        <v>1</v>
      </c>
    </row>
    <row r="3683" spans="1:13">
      <c r="A3683" s="8">
        <v>42947</v>
      </c>
      <c r="B3683" s="9">
        <v>0.48541666666666666</v>
      </c>
      <c r="C3683" s="10" t="str">
        <f>"FES1162565611"</f>
        <v>FES1162565611</v>
      </c>
      <c r="D3683" s="10" t="s">
        <v>19</v>
      </c>
      <c r="E3683" s="10" t="s">
        <v>462</v>
      </c>
      <c r="F3683" s="10" t="str">
        <f>"217057329 "</f>
        <v xml:space="preserve">217057329 </v>
      </c>
      <c r="G3683" s="10" t="str">
        <f t="shared" si="161"/>
        <v>ON1</v>
      </c>
      <c r="H3683" s="10" t="s">
        <v>21</v>
      </c>
      <c r="I3683" s="10" t="s">
        <v>463</v>
      </c>
      <c r="J3683" s="10" t="str">
        <f>""</f>
        <v/>
      </c>
      <c r="K3683" s="10" t="str">
        <f>"PFES1162565611_0001"</f>
        <v>PFES1162565611_0001</v>
      </c>
      <c r="L3683" s="10">
        <v>1</v>
      </c>
      <c r="M3683" s="10">
        <v>1</v>
      </c>
    </row>
    <row r="3684" spans="1:13">
      <c r="A3684" s="8">
        <v>42947</v>
      </c>
      <c r="B3684" s="9">
        <v>0.48472222222222222</v>
      </c>
      <c r="C3684" s="10" t="str">
        <f>"FES1162565624"</f>
        <v>FES1162565624</v>
      </c>
      <c r="D3684" s="10" t="s">
        <v>19</v>
      </c>
      <c r="E3684" s="10" t="s">
        <v>1024</v>
      </c>
      <c r="F3684" s="10" t="str">
        <f>"2170580212 "</f>
        <v xml:space="preserve">2170580212 </v>
      </c>
      <c r="G3684" s="10" t="str">
        <f t="shared" si="161"/>
        <v>ON1</v>
      </c>
      <c r="H3684" s="10" t="s">
        <v>21</v>
      </c>
      <c r="I3684" s="10" t="s">
        <v>149</v>
      </c>
      <c r="J3684" s="10" t="str">
        <f>""</f>
        <v/>
      </c>
      <c r="K3684" s="10" t="str">
        <f>"PFES1162565624_0001"</f>
        <v>PFES1162565624_0001</v>
      </c>
      <c r="L3684" s="10">
        <v>1</v>
      </c>
      <c r="M3684" s="10">
        <v>1</v>
      </c>
    </row>
    <row r="3685" spans="1:13">
      <c r="A3685" s="8">
        <v>42947</v>
      </c>
      <c r="B3685" s="9">
        <v>0.48402777777777778</v>
      </c>
      <c r="C3685" s="10" t="str">
        <f>"FES1162565656"</f>
        <v>FES1162565656</v>
      </c>
      <c r="D3685" s="10" t="s">
        <v>19</v>
      </c>
      <c r="E3685" s="10" t="s">
        <v>382</v>
      </c>
      <c r="F3685" s="10" t="str">
        <f>"2170582239 "</f>
        <v xml:space="preserve">2170582239 </v>
      </c>
      <c r="G3685" s="10" t="str">
        <f t="shared" si="161"/>
        <v>ON1</v>
      </c>
      <c r="H3685" s="10" t="s">
        <v>21</v>
      </c>
      <c r="I3685" s="10" t="s">
        <v>383</v>
      </c>
      <c r="J3685" s="10" t="str">
        <f>""</f>
        <v/>
      </c>
      <c r="K3685" s="10" t="str">
        <f>"PFES1162565656_0001"</f>
        <v>PFES1162565656_0001</v>
      </c>
      <c r="L3685" s="10">
        <v>1</v>
      </c>
      <c r="M3685" s="10">
        <v>1</v>
      </c>
    </row>
    <row r="3686" spans="1:13">
      <c r="A3686" s="8">
        <v>42947</v>
      </c>
      <c r="B3686" s="9">
        <v>0.48333333333333334</v>
      </c>
      <c r="C3686" s="10" t="str">
        <f>"FES1162565640"</f>
        <v>FES1162565640</v>
      </c>
      <c r="D3686" s="10" t="s">
        <v>19</v>
      </c>
      <c r="E3686" s="10" t="s">
        <v>39</v>
      </c>
      <c r="F3686" s="10" t="str">
        <f>"2170582205 "</f>
        <v xml:space="preserve">2170582205 </v>
      </c>
      <c r="G3686" s="10" t="str">
        <f t="shared" si="161"/>
        <v>ON1</v>
      </c>
      <c r="H3686" s="10" t="s">
        <v>21</v>
      </c>
      <c r="I3686" s="10" t="s">
        <v>40</v>
      </c>
      <c r="J3686" s="10" t="str">
        <f>""</f>
        <v/>
      </c>
      <c r="K3686" s="10" t="str">
        <f>"PFES1162565640_0001"</f>
        <v>PFES1162565640_0001</v>
      </c>
      <c r="L3686" s="10">
        <v>1</v>
      </c>
      <c r="M3686" s="10">
        <v>1</v>
      </c>
    </row>
    <row r="3687" spans="1:13">
      <c r="A3687" s="8">
        <v>42947</v>
      </c>
      <c r="B3687" s="9">
        <v>0.4604166666666667</v>
      </c>
      <c r="C3687" s="10" t="str">
        <f>"FES1162562917"</f>
        <v>FES1162562917</v>
      </c>
      <c r="D3687" s="10" t="s">
        <v>19</v>
      </c>
      <c r="E3687" s="10" t="s">
        <v>1223</v>
      </c>
      <c r="F3687" s="10" t="str">
        <f>"21705879573 "</f>
        <v xml:space="preserve">21705879573 </v>
      </c>
      <c r="G3687" s="10" t="str">
        <f t="shared" si="161"/>
        <v>ON1</v>
      </c>
      <c r="H3687" s="10" t="s">
        <v>21</v>
      </c>
      <c r="I3687" s="10" t="s">
        <v>503</v>
      </c>
      <c r="J3687" s="10" t="str">
        <f>""</f>
        <v/>
      </c>
      <c r="K3687" s="10" t="str">
        <f>"PFES1162562917_0001"</f>
        <v>PFES1162562917_0001</v>
      </c>
      <c r="L3687" s="10">
        <v>1</v>
      </c>
      <c r="M3687" s="10">
        <v>1</v>
      </c>
    </row>
    <row r="3688" spans="1:13">
      <c r="A3688" s="8">
        <v>42947</v>
      </c>
      <c r="B3688" s="9">
        <v>0.4291666666666667</v>
      </c>
      <c r="C3688" s="10" t="str">
        <f>"FES1162565635"</f>
        <v>FES1162565635</v>
      </c>
      <c r="D3688" s="10" t="s">
        <v>19</v>
      </c>
      <c r="E3688" s="10" t="s">
        <v>78</v>
      </c>
      <c r="F3688" s="10" t="str">
        <f>"2170582200 "</f>
        <v xml:space="preserve">2170582200 </v>
      </c>
      <c r="G3688" s="10" t="str">
        <f t="shared" si="161"/>
        <v>ON1</v>
      </c>
      <c r="H3688" s="10" t="s">
        <v>21</v>
      </c>
      <c r="I3688" s="10" t="s">
        <v>79</v>
      </c>
      <c r="J3688" s="10" t="str">
        <f>""</f>
        <v/>
      </c>
      <c r="K3688" s="10" t="str">
        <f>"PFES1162565635_0001"</f>
        <v>PFES1162565635_0001</v>
      </c>
      <c r="L3688" s="10">
        <v>1</v>
      </c>
      <c r="M3688" s="10">
        <v>8</v>
      </c>
    </row>
    <row r="3689" spans="1:13">
      <c r="A3689" s="8">
        <v>42947</v>
      </c>
      <c r="B3689" s="9">
        <v>0.4284722222222222</v>
      </c>
      <c r="C3689" s="10" t="str">
        <f>"FES1162565649"</f>
        <v>FES1162565649</v>
      </c>
      <c r="D3689" s="10" t="s">
        <v>19</v>
      </c>
      <c r="E3689" s="10" t="s">
        <v>1224</v>
      </c>
      <c r="F3689" s="10" t="str">
        <f>"2170582225 "</f>
        <v xml:space="preserve">2170582225 </v>
      </c>
      <c r="G3689" s="10" t="str">
        <f>"DBC"</f>
        <v>DBC</v>
      </c>
      <c r="H3689" s="10" t="s">
        <v>21</v>
      </c>
      <c r="I3689" s="10" t="s">
        <v>607</v>
      </c>
      <c r="J3689" s="10" t="str">
        <f>""</f>
        <v/>
      </c>
      <c r="K3689" s="10" t="str">
        <f>"PFES1162565649_0001"</f>
        <v>PFES1162565649_0001</v>
      </c>
      <c r="L3689" s="10">
        <v>1</v>
      </c>
      <c r="M3689" s="10">
        <v>24</v>
      </c>
    </row>
    <row r="3690" spans="1:13">
      <c r="A3690" s="8">
        <v>42947</v>
      </c>
      <c r="B3690" s="9">
        <v>0.42777777777777781</v>
      </c>
      <c r="C3690" s="10" t="str">
        <f>"FES1162565609"</f>
        <v>FES1162565609</v>
      </c>
      <c r="D3690" s="10" t="s">
        <v>19</v>
      </c>
      <c r="E3690" s="10" t="s">
        <v>1164</v>
      </c>
      <c r="F3690" s="10" t="str">
        <f>"2170582185 "</f>
        <v xml:space="preserve">2170582185 </v>
      </c>
      <c r="G3690" s="10" t="str">
        <f t="shared" ref="G3690:G3740" si="162">"ON1"</f>
        <v>ON1</v>
      </c>
      <c r="H3690" s="10" t="s">
        <v>21</v>
      </c>
      <c r="I3690" s="10" t="s">
        <v>1165</v>
      </c>
      <c r="J3690" s="10" t="str">
        <f>""</f>
        <v/>
      </c>
      <c r="K3690" s="10" t="str">
        <f>"PFES1162565609_0001"</f>
        <v>PFES1162565609_0001</v>
      </c>
      <c r="L3690" s="10">
        <v>1</v>
      </c>
      <c r="M3690" s="10">
        <v>1</v>
      </c>
    </row>
    <row r="3691" spans="1:13">
      <c r="A3691" s="8">
        <v>42947</v>
      </c>
      <c r="B3691" s="9">
        <v>0.42708333333333331</v>
      </c>
      <c r="C3691" s="10" t="str">
        <f>"FES1162565602"</f>
        <v>FES1162565602</v>
      </c>
      <c r="D3691" s="10" t="s">
        <v>19</v>
      </c>
      <c r="E3691" s="10" t="s">
        <v>802</v>
      </c>
      <c r="F3691" s="10" t="str">
        <f>"2170582175 "</f>
        <v xml:space="preserve">2170582175 </v>
      </c>
      <c r="G3691" s="10" t="str">
        <f t="shared" si="162"/>
        <v>ON1</v>
      </c>
      <c r="H3691" s="10" t="s">
        <v>21</v>
      </c>
      <c r="I3691" s="10" t="s">
        <v>92</v>
      </c>
      <c r="J3691" s="10" t="str">
        <f>""</f>
        <v/>
      </c>
      <c r="K3691" s="10" t="str">
        <f>"PFES1162565602_0001"</f>
        <v>PFES1162565602_0001</v>
      </c>
      <c r="L3691" s="10">
        <v>1</v>
      </c>
      <c r="M3691" s="10">
        <v>1</v>
      </c>
    </row>
    <row r="3692" spans="1:13">
      <c r="A3692" s="8">
        <v>42947</v>
      </c>
      <c r="B3692" s="9">
        <v>0.42708333333333331</v>
      </c>
      <c r="C3692" s="10" t="str">
        <f>"FES1162565647"</f>
        <v>FES1162565647</v>
      </c>
      <c r="D3692" s="10" t="s">
        <v>19</v>
      </c>
      <c r="E3692" s="10" t="s">
        <v>326</v>
      </c>
      <c r="F3692" s="10" t="str">
        <f>"2170582223 "</f>
        <v xml:space="preserve">2170582223 </v>
      </c>
      <c r="G3692" s="10" t="str">
        <f t="shared" si="162"/>
        <v>ON1</v>
      </c>
      <c r="H3692" s="10" t="s">
        <v>21</v>
      </c>
      <c r="I3692" s="10" t="s">
        <v>327</v>
      </c>
      <c r="J3692" s="10" t="str">
        <f>""</f>
        <v/>
      </c>
      <c r="K3692" s="10" t="str">
        <f>"PFES1162565647_0001"</f>
        <v>PFES1162565647_0001</v>
      </c>
      <c r="L3692" s="10">
        <v>1</v>
      </c>
      <c r="M3692" s="10">
        <v>1</v>
      </c>
    </row>
    <row r="3693" spans="1:13">
      <c r="A3693" s="8">
        <v>42947</v>
      </c>
      <c r="B3693" s="9">
        <v>0.42638888888888887</v>
      </c>
      <c r="C3693" s="10" t="str">
        <f>"FES1162565632"</f>
        <v>FES1162565632</v>
      </c>
      <c r="D3693" s="10" t="s">
        <v>19</v>
      </c>
      <c r="E3693" s="10" t="s">
        <v>33</v>
      </c>
      <c r="F3693" s="10" t="str">
        <f>"2170582189 "</f>
        <v xml:space="preserve">2170582189 </v>
      </c>
      <c r="G3693" s="10" t="str">
        <f t="shared" si="162"/>
        <v>ON1</v>
      </c>
      <c r="H3693" s="10" t="s">
        <v>21</v>
      </c>
      <c r="I3693" s="10" t="s">
        <v>34</v>
      </c>
      <c r="J3693" s="10" t="str">
        <f>""</f>
        <v/>
      </c>
      <c r="K3693" s="10" t="str">
        <f>"PFES1162565632_0001"</f>
        <v>PFES1162565632_0001</v>
      </c>
      <c r="L3693" s="10">
        <v>1</v>
      </c>
      <c r="M3693" s="10">
        <v>1</v>
      </c>
    </row>
    <row r="3694" spans="1:13">
      <c r="A3694" s="8">
        <v>42947</v>
      </c>
      <c r="B3694" s="9">
        <v>0.42569444444444443</v>
      </c>
      <c r="C3694" s="10" t="str">
        <f>"FES1162565642"</f>
        <v>FES1162565642</v>
      </c>
      <c r="D3694" s="10" t="s">
        <v>19</v>
      </c>
      <c r="E3694" s="10" t="s">
        <v>1057</v>
      </c>
      <c r="F3694" s="10" t="str">
        <f>"2170582213 "</f>
        <v xml:space="preserve">2170582213 </v>
      </c>
      <c r="G3694" s="10" t="str">
        <f t="shared" si="162"/>
        <v>ON1</v>
      </c>
      <c r="H3694" s="10" t="s">
        <v>21</v>
      </c>
      <c r="I3694" s="10" t="s">
        <v>1058</v>
      </c>
      <c r="J3694" s="10" t="str">
        <f>""</f>
        <v/>
      </c>
      <c r="K3694" s="10" t="str">
        <f>"PFES1162565642_0001"</f>
        <v>PFES1162565642_0001</v>
      </c>
      <c r="L3694" s="10">
        <v>1</v>
      </c>
      <c r="M3694" s="10">
        <v>1</v>
      </c>
    </row>
    <row r="3695" spans="1:13">
      <c r="A3695" s="8">
        <v>42947</v>
      </c>
      <c r="B3695" s="9">
        <v>0.42499999999999999</v>
      </c>
      <c r="C3695" s="10" t="str">
        <f>"FES1162565639"</f>
        <v>FES1162565639</v>
      </c>
      <c r="D3695" s="10" t="s">
        <v>19</v>
      </c>
      <c r="E3695" s="10" t="s">
        <v>574</v>
      </c>
      <c r="F3695" s="10" t="str">
        <f>"2170582214 "</f>
        <v xml:space="preserve">2170582214 </v>
      </c>
      <c r="G3695" s="10" t="str">
        <f t="shared" si="162"/>
        <v>ON1</v>
      </c>
      <c r="H3695" s="10" t="s">
        <v>21</v>
      </c>
      <c r="I3695" s="10" t="s">
        <v>213</v>
      </c>
      <c r="J3695" s="10" t="str">
        <f>""</f>
        <v/>
      </c>
      <c r="K3695" s="10" t="str">
        <f>"PFES1162565639_0001"</f>
        <v>PFES1162565639_0001</v>
      </c>
      <c r="L3695" s="10">
        <v>1</v>
      </c>
      <c r="M3695" s="10">
        <v>1</v>
      </c>
    </row>
    <row r="3696" spans="1:13">
      <c r="A3696" s="8">
        <v>42947</v>
      </c>
      <c r="B3696" s="9">
        <v>0.42499999999999999</v>
      </c>
      <c r="C3696" s="10" t="str">
        <f>"FES1162565641"</f>
        <v>FES1162565641</v>
      </c>
      <c r="D3696" s="10" t="s">
        <v>19</v>
      </c>
      <c r="E3696" s="10" t="s">
        <v>611</v>
      </c>
      <c r="F3696" s="10" t="str">
        <f>"21705208 "</f>
        <v xml:space="preserve">21705208 </v>
      </c>
      <c r="G3696" s="10" t="str">
        <f t="shared" si="162"/>
        <v>ON1</v>
      </c>
      <c r="H3696" s="10" t="s">
        <v>21</v>
      </c>
      <c r="I3696" s="10" t="s">
        <v>48</v>
      </c>
      <c r="J3696" s="10" t="str">
        <f>""</f>
        <v/>
      </c>
      <c r="K3696" s="10" t="str">
        <f>"PFES1162565641_0001"</f>
        <v>PFES1162565641_0001</v>
      </c>
      <c r="L3696" s="10">
        <v>1</v>
      </c>
      <c r="M3696" s="10">
        <v>1</v>
      </c>
    </row>
    <row r="3697" spans="1:13">
      <c r="A3697" s="8">
        <v>42947</v>
      </c>
      <c r="B3697" s="9">
        <v>0.42430555555555555</v>
      </c>
      <c r="C3697" s="10" t="str">
        <f>"FES1162565608"</f>
        <v>FES1162565608</v>
      </c>
      <c r="D3697" s="10" t="s">
        <v>19</v>
      </c>
      <c r="E3697" s="10" t="s">
        <v>33</v>
      </c>
      <c r="F3697" s="10" t="str">
        <f>"2170582181 "</f>
        <v xml:space="preserve">2170582181 </v>
      </c>
      <c r="G3697" s="10" t="str">
        <f t="shared" si="162"/>
        <v>ON1</v>
      </c>
      <c r="H3697" s="10" t="s">
        <v>21</v>
      </c>
      <c r="I3697" s="10" t="s">
        <v>34</v>
      </c>
      <c r="J3697" s="10" t="str">
        <f>""</f>
        <v/>
      </c>
      <c r="K3697" s="10" t="str">
        <f>"PFES1162565608_0001"</f>
        <v>PFES1162565608_0001</v>
      </c>
      <c r="L3697" s="10">
        <v>1</v>
      </c>
      <c r="M3697" s="10">
        <v>1</v>
      </c>
    </row>
    <row r="3698" spans="1:13">
      <c r="A3698" s="8">
        <v>42947</v>
      </c>
      <c r="B3698" s="9">
        <v>0.42430555555555555</v>
      </c>
      <c r="C3698" s="10" t="str">
        <f>"FES1162565606"</f>
        <v>FES1162565606</v>
      </c>
      <c r="D3698" s="10" t="s">
        <v>19</v>
      </c>
      <c r="E3698" s="10" t="s">
        <v>1225</v>
      </c>
      <c r="F3698" s="10" t="str">
        <f>"217058664 "</f>
        <v xml:space="preserve">217058664 </v>
      </c>
      <c r="G3698" s="10" t="str">
        <f t="shared" si="162"/>
        <v>ON1</v>
      </c>
      <c r="H3698" s="10" t="s">
        <v>21</v>
      </c>
      <c r="I3698" s="10" t="s">
        <v>1226</v>
      </c>
      <c r="J3698" s="10" t="str">
        <f>""</f>
        <v/>
      </c>
      <c r="K3698" s="10" t="str">
        <f>"PFES1162565606_0001"</f>
        <v>PFES1162565606_0001</v>
      </c>
      <c r="L3698" s="10">
        <v>1</v>
      </c>
      <c r="M3698" s="10">
        <v>1</v>
      </c>
    </row>
    <row r="3699" spans="1:13">
      <c r="A3699" s="8">
        <v>42947</v>
      </c>
      <c r="B3699" s="9">
        <v>0.4236111111111111</v>
      </c>
      <c r="C3699" s="10" t="str">
        <f>"FES1162565607"</f>
        <v>FES1162565607</v>
      </c>
      <c r="D3699" s="10" t="s">
        <v>19</v>
      </c>
      <c r="E3699" s="10" t="s">
        <v>1225</v>
      </c>
      <c r="F3699" s="10" t="str">
        <f>"2170581386 "</f>
        <v xml:space="preserve">2170581386 </v>
      </c>
      <c r="G3699" s="10" t="str">
        <f t="shared" si="162"/>
        <v>ON1</v>
      </c>
      <c r="H3699" s="10" t="s">
        <v>21</v>
      </c>
      <c r="I3699" s="10" t="s">
        <v>1226</v>
      </c>
      <c r="J3699" s="10" t="str">
        <f>""</f>
        <v/>
      </c>
      <c r="K3699" s="10" t="str">
        <f>"PFES1162565607_0001"</f>
        <v>PFES1162565607_0001</v>
      </c>
      <c r="L3699" s="10">
        <v>1</v>
      </c>
      <c r="M3699" s="10">
        <v>1</v>
      </c>
    </row>
    <row r="3700" spans="1:13">
      <c r="A3700" s="8">
        <v>42947</v>
      </c>
      <c r="B3700" s="9">
        <v>0.4236111111111111</v>
      </c>
      <c r="C3700" s="10" t="str">
        <f>"FES1162565631"</f>
        <v>FES1162565631</v>
      </c>
      <c r="D3700" s="10" t="s">
        <v>19</v>
      </c>
      <c r="E3700" s="10" t="s">
        <v>255</v>
      </c>
      <c r="F3700" s="10" t="str">
        <f>"2170582188 "</f>
        <v xml:space="preserve">2170582188 </v>
      </c>
      <c r="G3700" s="10" t="str">
        <f t="shared" si="162"/>
        <v>ON1</v>
      </c>
      <c r="H3700" s="10" t="s">
        <v>21</v>
      </c>
      <c r="I3700" s="10" t="s">
        <v>256</v>
      </c>
      <c r="J3700" s="10" t="str">
        <f>""</f>
        <v/>
      </c>
      <c r="K3700" s="10" t="str">
        <f>"PFES1162565631_0001"</f>
        <v>PFES1162565631_0001</v>
      </c>
      <c r="L3700" s="10">
        <v>1</v>
      </c>
      <c r="M3700" s="10">
        <v>1</v>
      </c>
    </row>
    <row r="3701" spans="1:13">
      <c r="A3701" s="8">
        <v>42947</v>
      </c>
      <c r="B3701" s="9">
        <v>0.42291666666666666</v>
      </c>
      <c r="C3701" s="10" t="str">
        <f>"FES1162565617"</f>
        <v>FES1162565617</v>
      </c>
      <c r="D3701" s="10" t="s">
        <v>19</v>
      </c>
      <c r="E3701" s="10" t="s">
        <v>1095</v>
      </c>
      <c r="F3701" s="10" t="str">
        <f>"217058007/8 "</f>
        <v xml:space="preserve">217058007/8 </v>
      </c>
      <c r="G3701" s="10" t="str">
        <f t="shared" si="162"/>
        <v>ON1</v>
      </c>
      <c r="H3701" s="10" t="s">
        <v>21</v>
      </c>
      <c r="I3701" s="10" t="s">
        <v>1096</v>
      </c>
      <c r="J3701" s="10" t="str">
        <f>""</f>
        <v/>
      </c>
      <c r="K3701" s="10" t="str">
        <f>"PFES1162565617_0001"</f>
        <v>PFES1162565617_0001</v>
      </c>
      <c r="L3701" s="10">
        <v>1</v>
      </c>
      <c r="M3701" s="10">
        <v>1</v>
      </c>
    </row>
    <row r="3702" spans="1:13">
      <c r="A3702" s="8">
        <v>42947</v>
      </c>
      <c r="B3702" s="9">
        <v>0.42291666666666666</v>
      </c>
      <c r="C3702" s="10" t="str">
        <f>"FES1162565603"</f>
        <v>FES1162565603</v>
      </c>
      <c r="D3702" s="10" t="s">
        <v>19</v>
      </c>
      <c r="E3702" s="10" t="s">
        <v>188</v>
      </c>
      <c r="F3702" s="10" t="str">
        <f>"2170582176 "</f>
        <v xml:space="preserve">2170582176 </v>
      </c>
      <c r="G3702" s="10" t="str">
        <f t="shared" si="162"/>
        <v>ON1</v>
      </c>
      <c r="H3702" s="10" t="s">
        <v>21</v>
      </c>
      <c r="I3702" s="10" t="s">
        <v>189</v>
      </c>
      <c r="J3702" s="10" t="str">
        <f>""</f>
        <v/>
      </c>
      <c r="K3702" s="10" t="str">
        <f>"PFES1162565603_0001"</f>
        <v>PFES1162565603_0001</v>
      </c>
      <c r="L3702" s="10">
        <v>1</v>
      </c>
      <c r="M3702" s="10">
        <v>1</v>
      </c>
    </row>
    <row r="3703" spans="1:13">
      <c r="A3703" s="8">
        <v>42947</v>
      </c>
      <c r="B3703" s="9">
        <v>0.42291666666666666</v>
      </c>
      <c r="C3703" s="10" t="str">
        <f>"FES1162565625"</f>
        <v>FES1162565625</v>
      </c>
      <c r="D3703" s="10" t="s">
        <v>19</v>
      </c>
      <c r="E3703" s="10" t="s">
        <v>25</v>
      </c>
      <c r="F3703" s="10" t="str">
        <f>"2170580226 "</f>
        <v xml:space="preserve">2170580226 </v>
      </c>
      <c r="G3703" s="10" t="str">
        <f t="shared" si="162"/>
        <v>ON1</v>
      </c>
      <c r="H3703" s="10" t="s">
        <v>21</v>
      </c>
      <c r="I3703" s="10" t="s">
        <v>26</v>
      </c>
      <c r="J3703" s="10" t="str">
        <f>""</f>
        <v/>
      </c>
      <c r="K3703" s="10" t="str">
        <f>"PFES1162565625_0001"</f>
        <v>PFES1162565625_0001</v>
      </c>
      <c r="L3703" s="10">
        <v>1</v>
      </c>
      <c r="M3703" s="10">
        <v>1</v>
      </c>
    </row>
    <row r="3704" spans="1:13">
      <c r="A3704" s="8">
        <v>42947</v>
      </c>
      <c r="B3704" s="9">
        <v>0.42222222222222222</v>
      </c>
      <c r="C3704" s="10" t="str">
        <f>"FES1162565618"</f>
        <v>FES1162565618</v>
      </c>
      <c r="D3704" s="10" t="s">
        <v>19</v>
      </c>
      <c r="E3704" s="10" t="s">
        <v>278</v>
      </c>
      <c r="F3704" s="10" t="str">
        <f>"2170580163 "</f>
        <v xml:space="preserve">2170580163 </v>
      </c>
      <c r="G3704" s="10" t="str">
        <f t="shared" si="162"/>
        <v>ON1</v>
      </c>
      <c r="H3704" s="10" t="s">
        <v>21</v>
      </c>
      <c r="I3704" s="10" t="s">
        <v>234</v>
      </c>
      <c r="J3704" s="10" t="str">
        <f>""</f>
        <v/>
      </c>
      <c r="K3704" s="10" t="str">
        <f>"PFES1162565618_0001"</f>
        <v>PFES1162565618_0001</v>
      </c>
      <c r="L3704" s="10">
        <v>1</v>
      </c>
      <c r="M3704" s="10">
        <v>1</v>
      </c>
    </row>
    <row r="3705" spans="1:13">
      <c r="A3705" s="8">
        <v>42947</v>
      </c>
      <c r="B3705" s="9">
        <v>0.42222222222222222</v>
      </c>
      <c r="C3705" s="10" t="str">
        <f>"FES1162565652"</f>
        <v>FES1162565652</v>
      </c>
      <c r="D3705" s="10" t="s">
        <v>19</v>
      </c>
      <c r="E3705" s="10" t="s">
        <v>255</v>
      </c>
      <c r="F3705" s="10" t="str">
        <f>"2170582230 "</f>
        <v xml:space="preserve">2170582230 </v>
      </c>
      <c r="G3705" s="10" t="str">
        <f t="shared" si="162"/>
        <v>ON1</v>
      </c>
      <c r="H3705" s="10" t="s">
        <v>21</v>
      </c>
      <c r="I3705" s="10" t="s">
        <v>256</v>
      </c>
      <c r="J3705" s="10" t="str">
        <f>""</f>
        <v/>
      </c>
      <c r="K3705" s="10" t="str">
        <f>"PFES1162565652_0001"</f>
        <v>PFES1162565652_0001</v>
      </c>
      <c r="L3705" s="10">
        <v>1</v>
      </c>
      <c r="M3705" s="10">
        <v>1</v>
      </c>
    </row>
    <row r="3706" spans="1:13">
      <c r="A3706" s="8">
        <v>42947</v>
      </c>
      <c r="B3706" s="9">
        <v>0.42152777777777778</v>
      </c>
      <c r="C3706" s="10" t="str">
        <f>"FES1162565645"</f>
        <v>FES1162565645</v>
      </c>
      <c r="D3706" s="10" t="s">
        <v>19</v>
      </c>
      <c r="E3706" s="10" t="s">
        <v>255</v>
      </c>
      <c r="F3706" s="10" t="str">
        <f>"2170582220 "</f>
        <v xml:space="preserve">2170582220 </v>
      </c>
      <c r="G3706" s="10" t="str">
        <f t="shared" si="162"/>
        <v>ON1</v>
      </c>
      <c r="H3706" s="10" t="s">
        <v>21</v>
      </c>
      <c r="I3706" s="10" t="s">
        <v>256</v>
      </c>
      <c r="J3706" s="10" t="str">
        <f>""</f>
        <v/>
      </c>
      <c r="K3706" s="10" t="str">
        <f>"PFES1162565645_0001"</f>
        <v>PFES1162565645_0001</v>
      </c>
      <c r="L3706" s="10">
        <v>1</v>
      </c>
      <c r="M3706" s="10">
        <v>1</v>
      </c>
    </row>
    <row r="3707" spans="1:13">
      <c r="A3707" s="8">
        <v>42947</v>
      </c>
      <c r="B3707" s="9">
        <v>0.42152777777777778</v>
      </c>
      <c r="C3707" s="10" t="str">
        <f>"FES1162565614"</f>
        <v>FES1162565614</v>
      </c>
      <c r="D3707" s="10" t="s">
        <v>19</v>
      </c>
      <c r="E3707" s="10" t="s">
        <v>983</v>
      </c>
      <c r="F3707" s="10" t="str">
        <f>"2170589984 "</f>
        <v xml:space="preserve">2170589984 </v>
      </c>
      <c r="G3707" s="10" t="str">
        <f t="shared" si="162"/>
        <v>ON1</v>
      </c>
      <c r="H3707" s="10" t="s">
        <v>21</v>
      </c>
      <c r="I3707" s="10" t="s">
        <v>682</v>
      </c>
      <c r="J3707" s="10" t="str">
        <f>""</f>
        <v/>
      </c>
      <c r="K3707" s="10" t="str">
        <f>"PFES1162565614_0001"</f>
        <v>PFES1162565614_0001</v>
      </c>
      <c r="L3707" s="10">
        <v>1</v>
      </c>
      <c r="M3707" s="10">
        <v>1</v>
      </c>
    </row>
    <row r="3708" spans="1:13">
      <c r="A3708" s="8">
        <v>42947</v>
      </c>
      <c r="B3708" s="9">
        <v>0.42083333333333334</v>
      </c>
      <c r="C3708" s="10" t="str">
        <f>"FES1162565613"</f>
        <v>FES1162565613</v>
      </c>
      <c r="D3708" s="10" t="s">
        <v>19</v>
      </c>
      <c r="E3708" s="10" t="s">
        <v>1227</v>
      </c>
      <c r="F3708" s="10" t="str">
        <f>"2170579834 "</f>
        <v xml:space="preserve">2170579834 </v>
      </c>
      <c r="G3708" s="10" t="str">
        <f t="shared" si="162"/>
        <v>ON1</v>
      </c>
      <c r="H3708" s="10" t="s">
        <v>21</v>
      </c>
      <c r="I3708" s="10" t="s">
        <v>342</v>
      </c>
      <c r="J3708" s="10" t="str">
        <f>""</f>
        <v/>
      </c>
      <c r="K3708" s="10" t="str">
        <f>"PFES1162565613_0001"</f>
        <v>PFES1162565613_0001</v>
      </c>
      <c r="L3708" s="10">
        <v>1</v>
      </c>
      <c r="M3708" s="10">
        <v>1</v>
      </c>
    </row>
    <row r="3709" spans="1:13">
      <c r="A3709" s="8">
        <v>42947</v>
      </c>
      <c r="B3709" s="9">
        <v>0.42083333333333334</v>
      </c>
      <c r="C3709" s="10" t="str">
        <f>"FES1162565636"</f>
        <v>FES1162565636</v>
      </c>
      <c r="D3709" s="10" t="s">
        <v>19</v>
      </c>
      <c r="E3709" s="10" t="s">
        <v>140</v>
      </c>
      <c r="F3709" s="10" t="str">
        <f>"2170582203 "</f>
        <v xml:space="preserve">2170582203 </v>
      </c>
      <c r="G3709" s="10" t="str">
        <f t="shared" si="162"/>
        <v>ON1</v>
      </c>
      <c r="H3709" s="10" t="s">
        <v>21</v>
      </c>
      <c r="I3709" s="10" t="s">
        <v>109</v>
      </c>
      <c r="J3709" s="10" t="str">
        <f>""</f>
        <v/>
      </c>
      <c r="K3709" s="10" t="str">
        <f>"PFES1162565636_0001"</f>
        <v>PFES1162565636_0001</v>
      </c>
      <c r="L3709" s="10">
        <v>1</v>
      </c>
      <c r="M3709" s="10">
        <v>1</v>
      </c>
    </row>
    <row r="3710" spans="1:13">
      <c r="A3710" s="8">
        <v>42947</v>
      </c>
      <c r="B3710" s="9">
        <v>0.68819444444444444</v>
      </c>
      <c r="C3710" s="10" t="str">
        <f>"FES1162565804"</f>
        <v>FES1162565804</v>
      </c>
      <c r="D3710" s="10" t="s">
        <v>19</v>
      </c>
      <c r="E3710" s="10" t="s">
        <v>39</v>
      </c>
      <c r="F3710" s="10" t="str">
        <f>"2170582396 "</f>
        <v xml:space="preserve">2170582396 </v>
      </c>
      <c r="G3710" s="10" t="str">
        <f t="shared" si="162"/>
        <v>ON1</v>
      </c>
      <c r="H3710" s="10" t="s">
        <v>21</v>
      </c>
      <c r="I3710" s="10" t="s">
        <v>40</v>
      </c>
      <c r="J3710" s="10" t="str">
        <f>""</f>
        <v/>
      </c>
      <c r="K3710" s="10" t="str">
        <f>"PFES1162565804_0001"</f>
        <v>PFES1162565804_0001</v>
      </c>
      <c r="L3710" s="10">
        <v>1</v>
      </c>
      <c r="M3710" s="10">
        <v>1</v>
      </c>
    </row>
    <row r="3711" spans="1:13">
      <c r="A3711" s="8">
        <v>42947</v>
      </c>
      <c r="B3711" s="9">
        <v>0.68819444444444444</v>
      </c>
      <c r="C3711" s="10" t="str">
        <f>"FES1162565764"</f>
        <v>FES1162565764</v>
      </c>
      <c r="D3711" s="10" t="s">
        <v>19</v>
      </c>
      <c r="E3711" s="10" t="s">
        <v>1228</v>
      </c>
      <c r="F3711" s="10" t="str">
        <f>"2170581424 "</f>
        <v xml:space="preserve">2170581424 </v>
      </c>
      <c r="G3711" s="10" t="str">
        <f t="shared" si="162"/>
        <v>ON1</v>
      </c>
      <c r="H3711" s="10" t="s">
        <v>21</v>
      </c>
      <c r="I3711" s="10" t="s">
        <v>400</v>
      </c>
      <c r="J3711" s="10" t="str">
        <f>""</f>
        <v/>
      </c>
      <c r="K3711" s="10" t="str">
        <f>"PFES1162565764_0001"</f>
        <v>PFES1162565764_0001</v>
      </c>
      <c r="L3711" s="10">
        <v>1</v>
      </c>
      <c r="M3711" s="10">
        <v>2</v>
      </c>
    </row>
    <row r="3712" spans="1:13">
      <c r="A3712" s="8">
        <v>42947</v>
      </c>
      <c r="B3712" s="9">
        <v>0.68819444444444444</v>
      </c>
      <c r="C3712" s="10" t="str">
        <f>"FES1162565783"</f>
        <v>FES1162565783</v>
      </c>
      <c r="D3712" s="10" t="s">
        <v>19</v>
      </c>
      <c r="E3712" s="10" t="s">
        <v>415</v>
      </c>
      <c r="F3712" s="10" t="str">
        <f>"2170582371 "</f>
        <v xml:space="preserve">2170582371 </v>
      </c>
      <c r="G3712" s="10" t="str">
        <f t="shared" si="162"/>
        <v>ON1</v>
      </c>
      <c r="H3712" s="10" t="s">
        <v>21</v>
      </c>
      <c r="I3712" s="10" t="s">
        <v>92</v>
      </c>
      <c r="J3712" s="10" t="str">
        <f>""</f>
        <v/>
      </c>
      <c r="K3712" s="10" t="str">
        <f>"PFES1162565783_0001"</f>
        <v>PFES1162565783_0001</v>
      </c>
      <c r="L3712" s="10">
        <v>1</v>
      </c>
      <c r="M3712" s="10">
        <v>3</v>
      </c>
    </row>
    <row r="3713" spans="1:13">
      <c r="A3713" s="8">
        <v>42947</v>
      </c>
      <c r="B3713" s="9">
        <v>0.6875</v>
      </c>
      <c r="C3713" s="10" t="str">
        <f>"FES1162565789"</f>
        <v>FES1162565789</v>
      </c>
      <c r="D3713" s="10" t="s">
        <v>19</v>
      </c>
      <c r="E3713" s="10" t="s">
        <v>33</v>
      </c>
      <c r="F3713" s="10" t="str">
        <f>"2170582378 "</f>
        <v xml:space="preserve">2170582378 </v>
      </c>
      <c r="G3713" s="10" t="str">
        <f t="shared" si="162"/>
        <v>ON1</v>
      </c>
      <c r="H3713" s="10" t="s">
        <v>21</v>
      </c>
      <c r="I3713" s="10" t="s">
        <v>34</v>
      </c>
      <c r="J3713" s="10" t="str">
        <f>""</f>
        <v/>
      </c>
      <c r="K3713" s="10" t="str">
        <f>"PFES1162565789_0001"</f>
        <v>PFES1162565789_0001</v>
      </c>
      <c r="L3713" s="10">
        <v>1</v>
      </c>
      <c r="M3713" s="10">
        <v>5</v>
      </c>
    </row>
    <row r="3714" spans="1:13">
      <c r="A3714" s="8">
        <v>42947</v>
      </c>
      <c r="B3714" s="9">
        <v>0.6875</v>
      </c>
      <c r="C3714" s="10" t="str">
        <f>"FES1162565803"</f>
        <v>FES1162565803</v>
      </c>
      <c r="D3714" s="10" t="s">
        <v>19</v>
      </c>
      <c r="E3714" s="10" t="s">
        <v>1036</v>
      </c>
      <c r="F3714" s="10" t="str">
        <f>"2170582393 "</f>
        <v xml:space="preserve">2170582393 </v>
      </c>
      <c r="G3714" s="10" t="str">
        <f t="shared" si="162"/>
        <v>ON1</v>
      </c>
      <c r="H3714" s="10" t="s">
        <v>21</v>
      </c>
      <c r="I3714" s="10" t="s">
        <v>803</v>
      </c>
      <c r="J3714" s="10" t="str">
        <f>""</f>
        <v/>
      </c>
      <c r="K3714" s="10" t="str">
        <f>"PFES1162565803_0001"</f>
        <v>PFES1162565803_0001</v>
      </c>
      <c r="L3714" s="10">
        <v>1</v>
      </c>
      <c r="M3714" s="10">
        <v>1</v>
      </c>
    </row>
    <row r="3715" spans="1:13">
      <c r="A3715" s="8">
        <v>42947</v>
      </c>
      <c r="B3715" s="9">
        <v>0.68680555555555556</v>
      </c>
      <c r="C3715" s="10" t="str">
        <f>"FES1162565800"</f>
        <v>FES1162565800</v>
      </c>
      <c r="D3715" s="10" t="s">
        <v>19</v>
      </c>
      <c r="E3715" s="10" t="s">
        <v>866</v>
      </c>
      <c r="F3715" s="10" t="str">
        <f>"2170582390 "</f>
        <v xml:space="preserve">2170582390 </v>
      </c>
      <c r="G3715" s="10" t="str">
        <f t="shared" si="162"/>
        <v>ON1</v>
      </c>
      <c r="H3715" s="10" t="s">
        <v>21</v>
      </c>
      <c r="I3715" s="10" t="s">
        <v>364</v>
      </c>
      <c r="J3715" s="10" t="str">
        <f>""</f>
        <v/>
      </c>
      <c r="K3715" s="10" t="str">
        <f>"PFES1162565800_0001"</f>
        <v>PFES1162565800_0001</v>
      </c>
      <c r="L3715" s="10">
        <v>1</v>
      </c>
      <c r="M3715" s="10">
        <v>1</v>
      </c>
    </row>
    <row r="3716" spans="1:13">
      <c r="A3716" s="8">
        <v>42947</v>
      </c>
      <c r="B3716" s="9">
        <v>0.68611111111111101</v>
      </c>
      <c r="C3716" s="10" t="str">
        <f>"FES1162565799"</f>
        <v>FES1162565799</v>
      </c>
      <c r="D3716" s="10" t="s">
        <v>19</v>
      </c>
      <c r="E3716" s="10" t="s">
        <v>598</v>
      </c>
      <c r="F3716" s="10" t="str">
        <f>"2170582388 "</f>
        <v xml:space="preserve">2170582388 </v>
      </c>
      <c r="G3716" s="10" t="str">
        <f t="shared" si="162"/>
        <v>ON1</v>
      </c>
      <c r="H3716" s="10" t="s">
        <v>21</v>
      </c>
      <c r="I3716" s="10" t="s">
        <v>599</v>
      </c>
      <c r="J3716" s="10" t="str">
        <f>""</f>
        <v/>
      </c>
      <c r="K3716" s="10" t="str">
        <f>"PFES1162565799_0001"</f>
        <v>PFES1162565799_0001</v>
      </c>
      <c r="L3716" s="10">
        <v>1</v>
      </c>
      <c r="M3716" s="10">
        <v>1</v>
      </c>
    </row>
    <row r="3717" spans="1:13">
      <c r="A3717" s="8">
        <v>42947</v>
      </c>
      <c r="B3717" s="9">
        <v>0.68611111111111101</v>
      </c>
      <c r="C3717" s="10" t="str">
        <f>"FES1162565797"</f>
        <v>FES1162565797</v>
      </c>
      <c r="D3717" s="10" t="s">
        <v>19</v>
      </c>
      <c r="E3717" s="10" t="s">
        <v>527</v>
      </c>
      <c r="F3717" s="10" t="str">
        <f>"2170571948 3"</f>
        <v>2170571948 3</v>
      </c>
      <c r="G3717" s="10" t="str">
        <f t="shared" si="162"/>
        <v>ON1</v>
      </c>
      <c r="H3717" s="10" t="s">
        <v>21</v>
      </c>
      <c r="I3717" s="10" t="s">
        <v>217</v>
      </c>
      <c r="J3717" s="10" t="str">
        <f>""</f>
        <v/>
      </c>
      <c r="K3717" s="10" t="str">
        <f>"PFES1162565797_0001"</f>
        <v>PFES1162565797_0001</v>
      </c>
      <c r="L3717" s="10">
        <v>1</v>
      </c>
      <c r="M3717" s="10">
        <v>1</v>
      </c>
    </row>
    <row r="3718" spans="1:13">
      <c r="A3718" s="8">
        <v>42947</v>
      </c>
      <c r="B3718" s="9">
        <v>0.68263888888888891</v>
      </c>
      <c r="C3718" s="10" t="str">
        <f>"FES1162565784"</f>
        <v>FES1162565784</v>
      </c>
      <c r="D3718" s="10" t="s">
        <v>19</v>
      </c>
      <c r="E3718" s="10" t="s">
        <v>175</v>
      </c>
      <c r="F3718" s="10" t="str">
        <f>"2170582373 "</f>
        <v xml:space="preserve">2170582373 </v>
      </c>
      <c r="G3718" s="10" t="str">
        <f t="shared" si="162"/>
        <v>ON1</v>
      </c>
      <c r="H3718" s="10" t="s">
        <v>21</v>
      </c>
      <c r="I3718" s="10" t="s">
        <v>168</v>
      </c>
      <c r="J3718" s="10" t="str">
        <f>""</f>
        <v/>
      </c>
      <c r="K3718" s="10" t="str">
        <f>"PFES1162565784_0001"</f>
        <v>PFES1162565784_0001</v>
      </c>
      <c r="L3718" s="10">
        <v>1</v>
      </c>
      <c r="M3718" s="10">
        <v>5</v>
      </c>
    </row>
    <row r="3719" spans="1:13">
      <c r="A3719" s="8">
        <v>42947</v>
      </c>
      <c r="B3719" s="9">
        <v>0.68194444444444446</v>
      </c>
      <c r="C3719" s="10" t="str">
        <f>"FES1162565791"</f>
        <v>FES1162565791</v>
      </c>
      <c r="D3719" s="10" t="s">
        <v>19</v>
      </c>
      <c r="E3719" s="10" t="s">
        <v>946</v>
      </c>
      <c r="F3719" s="10" t="str">
        <f>"2170582325 "</f>
        <v xml:space="preserve">2170582325 </v>
      </c>
      <c r="G3719" s="10" t="str">
        <f t="shared" si="162"/>
        <v>ON1</v>
      </c>
      <c r="H3719" s="10" t="s">
        <v>21</v>
      </c>
      <c r="I3719" s="10" t="s">
        <v>168</v>
      </c>
      <c r="J3719" s="10" t="str">
        <f>""</f>
        <v/>
      </c>
      <c r="K3719" s="10" t="str">
        <f>"PFES1162565791_0001"</f>
        <v>PFES1162565791_0001</v>
      </c>
      <c r="L3719" s="10">
        <v>1</v>
      </c>
      <c r="M3719" s="10">
        <v>10</v>
      </c>
    </row>
    <row r="3720" spans="1:13">
      <c r="A3720" s="8">
        <v>42947</v>
      </c>
      <c r="B3720" s="9">
        <v>0.68194444444444446</v>
      </c>
      <c r="C3720" s="10" t="str">
        <f>"FES1162565755"</f>
        <v>FES1162565755</v>
      </c>
      <c r="D3720" s="10" t="s">
        <v>19</v>
      </c>
      <c r="E3720" s="10" t="s">
        <v>404</v>
      </c>
      <c r="F3720" s="10" t="str">
        <f>"2170582330 "</f>
        <v xml:space="preserve">2170582330 </v>
      </c>
      <c r="G3720" s="10" t="str">
        <f t="shared" si="162"/>
        <v>ON1</v>
      </c>
      <c r="H3720" s="10" t="s">
        <v>21</v>
      </c>
      <c r="I3720" s="10" t="s">
        <v>405</v>
      </c>
      <c r="J3720" s="10" t="str">
        <f>""</f>
        <v/>
      </c>
      <c r="K3720" s="10" t="str">
        <f>"PFES1162565755_0001"</f>
        <v>PFES1162565755_0001</v>
      </c>
      <c r="L3720" s="10">
        <v>1</v>
      </c>
      <c r="M3720" s="10">
        <v>1</v>
      </c>
    </row>
    <row r="3721" spans="1:13">
      <c r="A3721" s="8">
        <v>42947</v>
      </c>
      <c r="B3721" s="9">
        <v>0.68125000000000002</v>
      </c>
      <c r="C3721" s="10" t="str">
        <f>"FES1162565794"</f>
        <v>FES1162565794</v>
      </c>
      <c r="D3721" s="10" t="s">
        <v>19</v>
      </c>
      <c r="E3721" s="10" t="s">
        <v>112</v>
      </c>
      <c r="F3721" s="10" t="str">
        <f>"2170582387 "</f>
        <v xml:space="preserve">2170582387 </v>
      </c>
      <c r="G3721" s="10" t="str">
        <f t="shared" si="162"/>
        <v>ON1</v>
      </c>
      <c r="H3721" s="10" t="s">
        <v>21</v>
      </c>
      <c r="I3721" s="10" t="s">
        <v>113</v>
      </c>
      <c r="J3721" s="10" t="str">
        <f>""</f>
        <v/>
      </c>
      <c r="K3721" s="10" t="str">
        <f>"PFES1162565794_0001"</f>
        <v>PFES1162565794_0001</v>
      </c>
      <c r="L3721" s="10">
        <v>1</v>
      </c>
      <c r="M3721" s="10">
        <v>5</v>
      </c>
    </row>
    <row r="3722" spans="1:13">
      <c r="A3722" s="8">
        <v>42947</v>
      </c>
      <c r="B3722" s="9">
        <v>0.68125000000000002</v>
      </c>
      <c r="C3722" s="10" t="str">
        <f>"FES1162565801"</f>
        <v>FES1162565801</v>
      </c>
      <c r="D3722" s="10" t="s">
        <v>19</v>
      </c>
      <c r="E3722" s="10" t="s">
        <v>326</v>
      </c>
      <c r="F3722" s="10" t="str">
        <f>"2170582391 "</f>
        <v xml:space="preserve">2170582391 </v>
      </c>
      <c r="G3722" s="10" t="str">
        <f t="shared" si="162"/>
        <v>ON1</v>
      </c>
      <c r="H3722" s="10" t="s">
        <v>21</v>
      </c>
      <c r="I3722" s="10" t="s">
        <v>327</v>
      </c>
      <c r="J3722" s="10" t="str">
        <f>""</f>
        <v/>
      </c>
      <c r="K3722" s="10" t="str">
        <f>"PFES1162565801_0001"</f>
        <v>PFES1162565801_0001</v>
      </c>
      <c r="L3722" s="10">
        <v>1</v>
      </c>
      <c r="M3722" s="10">
        <v>1</v>
      </c>
    </row>
    <row r="3723" spans="1:13">
      <c r="A3723" s="8">
        <v>42947</v>
      </c>
      <c r="B3723" s="9">
        <v>0.68055555555555547</v>
      </c>
      <c r="C3723" s="10" t="str">
        <f>"FES1162565792"</f>
        <v>FES1162565792</v>
      </c>
      <c r="D3723" s="10" t="s">
        <v>19</v>
      </c>
      <c r="E3723" s="10" t="s">
        <v>112</v>
      </c>
      <c r="F3723" s="10" t="str">
        <f>"2170582384 "</f>
        <v xml:space="preserve">2170582384 </v>
      </c>
      <c r="G3723" s="10" t="str">
        <f t="shared" si="162"/>
        <v>ON1</v>
      </c>
      <c r="H3723" s="10" t="s">
        <v>21</v>
      </c>
      <c r="I3723" s="10" t="s">
        <v>113</v>
      </c>
      <c r="J3723" s="10" t="str">
        <f>""</f>
        <v/>
      </c>
      <c r="K3723" s="10" t="str">
        <f>"PFES1162565792_0001"</f>
        <v>PFES1162565792_0001</v>
      </c>
      <c r="L3723" s="10">
        <v>1</v>
      </c>
      <c r="M3723" s="10">
        <v>1</v>
      </c>
    </row>
    <row r="3724" spans="1:13">
      <c r="A3724" s="8">
        <v>42947</v>
      </c>
      <c r="B3724" s="9">
        <v>0.67986111111111114</v>
      </c>
      <c r="C3724" s="10" t="str">
        <f>"FES1162565793"</f>
        <v>FES1162565793</v>
      </c>
      <c r="D3724" s="10" t="s">
        <v>19</v>
      </c>
      <c r="E3724" s="10" t="s">
        <v>1036</v>
      </c>
      <c r="F3724" s="10" t="str">
        <f>"2170582386 "</f>
        <v xml:space="preserve">2170582386 </v>
      </c>
      <c r="G3724" s="10" t="str">
        <f t="shared" si="162"/>
        <v>ON1</v>
      </c>
      <c r="H3724" s="10" t="s">
        <v>21</v>
      </c>
      <c r="I3724" s="10" t="s">
        <v>803</v>
      </c>
      <c r="J3724" s="10" t="str">
        <f>""</f>
        <v/>
      </c>
      <c r="K3724" s="10" t="str">
        <f>"PFES1162565793_0001"</f>
        <v>PFES1162565793_0001</v>
      </c>
      <c r="L3724" s="10">
        <v>1</v>
      </c>
      <c r="M3724" s="10">
        <v>1</v>
      </c>
    </row>
    <row r="3725" spans="1:13">
      <c r="A3725" s="8">
        <v>42947</v>
      </c>
      <c r="B3725" s="9">
        <v>0.67986111111111114</v>
      </c>
      <c r="C3725" s="10" t="str">
        <f>"FES1162565769"</f>
        <v>FES1162565769</v>
      </c>
      <c r="D3725" s="10" t="s">
        <v>19</v>
      </c>
      <c r="E3725" s="10" t="s">
        <v>1212</v>
      </c>
      <c r="F3725" s="10" t="str">
        <f>"2170581507 "</f>
        <v xml:space="preserve">2170581507 </v>
      </c>
      <c r="G3725" s="10" t="str">
        <f t="shared" si="162"/>
        <v>ON1</v>
      </c>
      <c r="H3725" s="10" t="s">
        <v>21</v>
      </c>
      <c r="I3725" s="10" t="s">
        <v>974</v>
      </c>
      <c r="J3725" s="10" t="str">
        <f>""</f>
        <v/>
      </c>
      <c r="K3725" s="10" t="str">
        <f>"PFES1162565769_0001"</f>
        <v>PFES1162565769_0001</v>
      </c>
      <c r="L3725" s="10">
        <v>1</v>
      </c>
      <c r="M3725" s="10">
        <v>3</v>
      </c>
    </row>
    <row r="3726" spans="1:13">
      <c r="A3726" s="8">
        <v>42947</v>
      </c>
      <c r="B3726" s="9">
        <v>0.6777777777777777</v>
      </c>
      <c r="C3726" s="10" t="str">
        <f>"FES1162565782"</f>
        <v>FES1162565782</v>
      </c>
      <c r="D3726" s="10" t="s">
        <v>19</v>
      </c>
      <c r="E3726" s="10" t="s">
        <v>603</v>
      </c>
      <c r="F3726" s="10" t="str">
        <f>"2170582370 "</f>
        <v xml:space="preserve">2170582370 </v>
      </c>
      <c r="G3726" s="10" t="str">
        <f t="shared" si="162"/>
        <v>ON1</v>
      </c>
      <c r="H3726" s="10" t="s">
        <v>21</v>
      </c>
      <c r="I3726" s="10" t="s">
        <v>232</v>
      </c>
      <c r="J3726" s="10" t="str">
        <f>""</f>
        <v/>
      </c>
      <c r="K3726" s="10" t="str">
        <f>"PFES1162565782_0001"</f>
        <v>PFES1162565782_0001</v>
      </c>
      <c r="L3726" s="10">
        <v>1</v>
      </c>
      <c r="M3726" s="10">
        <v>1</v>
      </c>
    </row>
    <row r="3727" spans="1:13">
      <c r="A3727" s="8">
        <v>42947</v>
      </c>
      <c r="B3727" s="9">
        <v>0.67708333333333337</v>
      </c>
      <c r="C3727" s="10" t="str">
        <f>"FES1162565786"</f>
        <v>FES1162565786</v>
      </c>
      <c r="D3727" s="10" t="s">
        <v>19</v>
      </c>
      <c r="E3727" s="10" t="s">
        <v>164</v>
      </c>
      <c r="F3727" s="10" t="str">
        <f>"2170582372 "</f>
        <v xml:space="preserve">2170582372 </v>
      </c>
      <c r="G3727" s="10" t="str">
        <f t="shared" si="162"/>
        <v>ON1</v>
      </c>
      <c r="H3727" s="10" t="s">
        <v>21</v>
      </c>
      <c r="I3727" s="10" t="s">
        <v>147</v>
      </c>
      <c r="J3727" s="10" t="str">
        <f>""</f>
        <v/>
      </c>
      <c r="K3727" s="10" t="str">
        <f>"PFES1162565786_0001"</f>
        <v>PFES1162565786_0001</v>
      </c>
      <c r="L3727" s="10">
        <v>1</v>
      </c>
      <c r="M3727" s="10">
        <v>1</v>
      </c>
    </row>
    <row r="3728" spans="1:13">
      <c r="A3728" s="8">
        <v>42947</v>
      </c>
      <c r="B3728" s="9">
        <v>0.67569444444444438</v>
      </c>
      <c r="C3728" s="10" t="str">
        <f>"FES1162565785"</f>
        <v>FES1162565785</v>
      </c>
      <c r="D3728" s="10" t="s">
        <v>19</v>
      </c>
      <c r="E3728" s="10" t="s">
        <v>39</v>
      </c>
      <c r="F3728" s="10" t="str">
        <f>"2170582375 "</f>
        <v xml:space="preserve">2170582375 </v>
      </c>
      <c r="G3728" s="10" t="str">
        <f t="shared" si="162"/>
        <v>ON1</v>
      </c>
      <c r="H3728" s="10" t="s">
        <v>21</v>
      </c>
      <c r="I3728" s="10" t="s">
        <v>40</v>
      </c>
      <c r="J3728" s="10" t="str">
        <f>""</f>
        <v/>
      </c>
      <c r="K3728" s="10" t="str">
        <f>"PFES1162565785_0001"</f>
        <v>PFES1162565785_0001</v>
      </c>
      <c r="L3728" s="10">
        <v>1</v>
      </c>
      <c r="M3728" s="10">
        <v>4</v>
      </c>
    </row>
    <row r="3729" spans="1:13">
      <c r="A3729" s="8">
        <v>42947</v>
      </c>
      <c r="B3729" s="9">
        <v>0.67499999999999993</v>
      </c>
      <c r="C3729" s="10" t="str">
        <f>"FES1162565760"</f>
        <v>FES1162565760</v>
      </c>
      <c r="D3729" s="10" t="s">
        <v>19</v>
      </c>
      <c r="E3729" s="10" t="s">
        <v>436</v>
      </c>
      <c r="F3729" s="10" t="str">
        <f>"2170582342 "</f>
        <v xml:space="preserve">2170582342 </v>
      </c>
      <c r="G3729" s="10" t="str">
        <f t="shared" si="162"/>
        <v>ON1</v>
      </c>
      <c r="H3729" s="10" t="s">
        <v>21</v>
      </c>
      <c r="I3729" s="10" t="s">
        <v>252</v>
      </c>
      <c r="J3729" s="10" t="str">
        <f>""</f>
        <v/>
      </c>
      <c r="K3729" s="10" t="str">
        <f>"PFES1162565760_0001"</f>
        <v>PFES1162565760_0001</v>
      </c>
      <c r="L3729" s="10">
        <v>1</v>
      </c>
      <c r="M3729" s="10">
        <v>1</v>
      </c>
    </row>
    <row r="3730" spans="1:13">
      <c r="A3730" s="8">
        <v>42947</v>
      </c>
      <c r="B3730" s="9">
        <v>0.66805555555555562</v>
      </c>
      <c r="C3730" s="10" t="str">
        <f>"FES1162565775"</f>
        <v>FES1162565775</v>
      </c>
      <c r="D3730" s="10" t="s">
        <v>19</v>
      </c>
      <c r="E3730" s="10" t="s">
        <v>326</v>
      </c>
      <c r="F3730" s="10" t="str">
        <f>"2170582360 "</f>
        <v xml:space="preserve">2170582360 </v>
      </c>
      <c r="G3730" s="10" t="str">
        <f t="shared" si="162"/>
        <v>ON1</v>
      </c>
      <c r="H3730" s="10" t="s">
        <v>21</v>
      </c>
      <c r="I3730" s="10" t="s">
        <v>327</v>
      </c>
      <c r="J3730" s="10" t="str">
        <f>""</f>
        <v/>
      </c>
      <c r="K3730" s="10" t="str">
        <f>"PFES1162565775_0001"</f>
        <v>PFES1162565775_0001</v>
      </c>
      <c r="L3730" s="10">
        <v>1</v>
      </c>
      <c r="M3730" s="10">
        <v>1</v>
      </c>
    </row>
    <row r="3731" spans="1:13">
      <c r="A3731" s="8">
        <v>42947</v>
      </c>
      <c r="B3731" s="9">
        <v>0.66597222222222219</v>
      </c>
      <c r="C3731" s="10" t="str">
        <f>"FES1162565768"</f>
        <v>FES1162565768</v>
      </c>
      <c r="D3731" s="10" t="s">
        <v>19</v>
      </c>
      <c r="E3731" s="10" t="s">
        <v>1229</v>
      </c>
      <c r="F3731" s="10" t="str">
        <f>"2170582354 "</f>
        <v xml:space="preserve">2170582354 </v>
      </c>
      <c r="G3731" s="10" t="str">
        <f t="shared" si="162"/>
        <v>ON1</v>
      </c>
      <c r="H3731" s="10" t="s">
        <v>21</v>
      </c>
      <c r="I3731" s="10" t="s">
        <v>170</v>
      </c>
      <c r="J3731" s="10" t="str">
        <f>""</f>
        <v/>
      </c>
      <c r="K3731" s="10" t="str">
        <f>"PFES1162565768_0001"</f>
        <v>PFES1162565768_0001</v>
      </c>
      <c r="L3731" s="10">
        <v>1</v>
      </c>
      <c r="M3731" s="10">
        <v>1</v>
      </c>
    </row>
    <row r="3732" spans="1:13">
      <c r="A3732" s="8">
        <v>42947</v>
      </c>
      <c r="B3732" s="9">
        <v>0.6645833333333333</v>
      </c>
      <c r="C3732" s="10" t="str">
        <f>"FES1162565766"</f>
        <v>FES1162565766</v>
      </c>
      <c r="D3732" s="10" t="s">
        <v>19</v>
      </c>
      <c r="E3732" s="10" t="s">
        <v>33</v>
      </c>
      <c r="F3732" s="10" t="str">
        <f>"2170582352 "</f>
        <v xml:space="preserve">2170582352 </v>
      </c>
      <c r="G3732" s="10" t="str">
        <f t="shared" si="162"/>
        <v>ON1</v>
      </c>
      <c r="H3732" s="10" t="s">
        <v>21</v>
      </c>
      <c r="I3732" s="10" t="s">
        <v>34</v>
      </c>
      <c r="J3732" s="10" t="str">
        <f>""</f>
        <v/>
      </c>
      <c r="K3732" s="10" t="str">
        <f>"PFES1162565766_0001"</f>
        <v>PFES1162565766_0001</v>
      </c>
      <c r="L3732" s="10">
        <v>1</v>
      </c>
      <c r="M3732" s="10">
        <v>1</v>
      </c>
    </row>
    <row r="3733" spans="1:13">
      <c r="A3733" s="8">
        <v>42947</v>
      </c>
      <c r="B3733" s="9">
        <v>0.66319444444444442</v>
      </c>
      <c r="C3733" s="10" t="str">
        <f>"FES1162565765"</f>
        <v>FES1162565765</v>
      </c>
      <c r="D3733" s="10" t="s">
        <v>19</v>
      </c>
      <c r="E3733" s="10" t="s">
        <v>62</v>
      </c>
      <c r="F3733" s="10" t="str">
        <f>"2170582347 "</f>
        <v xml:space="preserve">2170582347 </v>
      </c>
      <c r="G3733" s="10" t="str">
        <f t="shared" si="162"/>
        <v>ON1</v>
      </c>
      <c r="H3733" s="10" t="s">
        <v>21</v>
      </c>
      <c r="I3733" s="10" t="s">
        <v>40</v>
      </c>
      <c r="J3733" s="10" t="str">
        <f>""</f>
        <v/>
      </c>
      <c r="K3733" s="10" t="str">
        <f>"PFES1162565765_0001"</f>
        <v>PFES1162565765_0001</v>
      </c>
      <c r="L3733" s="10">
        <v>1</v>
      </c>
      <c r="M3733" s="10">
        <v>1</v>
      </c>
    </row>
    <row r="3734" spans="1:13">
      <c r="A3734" s="8">
        <v>42947</v>
      </c>
      <c r="B3734" s="9">
        <v>0.66249999999999998</v>
      </c>
      <c r="C3734" s="10" t="str">
        <f>"FES1162565773"</f>
        <v>FES1162565773</v>
      </c>
      <c r="D3734" s="10" t="s">
        <v>19</v>
      </c>
      <c r="E3734" s="10" t="s">
        <v>732</v>
      </c>
      <c r="F3734" s="10" t="str">
        <f>"2170582351 "</f>
        <v xml:space="preserve">2170582351 </v>
      </c>
      <c r="G3734" s="10" t="str">
        <f t="shared" si="162"/>
        <v>ON1</v>
      </c>
      <c r="H3734" s="10" t="s">
        <v>21</v>
      </c>
      <c r="I3734" s="10" t="s">
        <v>656</v>
      </c>
      <c r="J3734" s="10" t="str">
        <f>""</f>
        <v/>
      </c>
      <c r="K3734" s="10" t="str">
        <f>"PFES1162565773_0001"</f>
        <v>PFES1162565773_0001</v>
      </c>
      <c r="L3734" s="10">
        <v>1</v>
      </c>
      <c r="M3734" s="10">
        <v>1</v>
      </c>
    </row>
    <row r="3735" spans="1:13">
      <c r="A3735" s="8">
        <v>42947</v>
      </c>
      <c r="B3735" s="9">
        <v>0.66180555555555554</v>
      </c>
      <c r="C3735" s="10" t="str">
        <f>"FES1162565772"</f>
        <v>FES1162565772</v>
      </c>
      <c r="D3735" s="10" t="s">
        <v>19</v>
      </c>
      <c r="E3735" s="10" t="s">
        <v>494</v>
      </c>
      <c r="F3735" s="10" t="str">
        <f>"2170582346 "</f>
        <v xml:space="preserve">2170582346 </v>
      </c>
      <c r="G3735" s="10" t="str">
        <f t="shared" si="162"/>
        <v>ON1</v>
      </c>
      <c r="H3735" s="10" t="s">
        <v>21</v>
      </c>
      <c r="I3735" s="10" t="s">
        <v>495</v>
      </c>
      <c r="J3735" s="10" t="str">
        <f>""</f>
        <v/>
      </c>
      <c r="K3735" s="10" t="str">
        <f>"PFES1162565772_0001"</f>
        <v>PFES1162565772_0001</v>
      </c>
      <c r="L3735" s="10">
        <v>1</v>
      </c>
      <c r="M3735" s="10">
        <v>1</v>
      </c>
    </row>
    <row r="3736" spans="1:13">
      <c r="A3736" s="8">
        <v>42947</v>
      </c>
      <c r="B3736" s="9">
        <v>0.66111111111111109</v>
      </c>
      <c r="C3736" s="10" t="str">
        <f>"FES1162565777"</f>
        <v>FES1162565777</v>
      </c>
      <c r="D3736" s="10" t="s">
        <v>19</v>
      </c>
      <c r="E3736" s="10" t="s">
        <v>499</v>
      </c>
      <c r="F3736" s="10" t="str">
        <f>"2170582369 "</f>
        <v xml:space="preserve">2170582369 </v>
      </c>
      <c r="G3736" s="10" t="str">
        <f t="shared" si="162"/>
        <v>ON1</v>
      </c>
      <c r="H3736" s="10" t="s">
        <v>21</v>
      </c>
      <c r="I3736" s="10" t="s">
        <v>500</v>
      </c>
      <c r="J3736" s="10" t="str">
        <f>""</f>
        <v/>
      </c>
      <c r="K3736" s="10" t="str">
        <f>"PFES1162565777_0001"</f>
        <v>PFES1162565777_0001</v>
      </c>
      <c r="L3736" s="10">
        <v>1</v>
      </c>
      <c r="M3736" s="10">
        <v>1</v>
      </c>
    </row>
    <row r="3737" spans="1:13">
      <c r="A3737" s="8">
        <v>42947</v>
      </c>
      <c r="B3737" s="9">
        <v>0.66041666666666665</v>
      </c>
      <c r="C3737" s="10" t="str">
        <f>"FES1162565788"</f>
        <v>FES1162565788</v>
      </c>
      <c r="D3737" s="10" t="s">
        <v>19</v>
      </c>
      <c r="E3737" s="10" t="s">
        <v>643</v>
      </c>
      <c r="F3737" s="10" t="str">
        <f>"2170582377 "</f>
        <v xml:space="preserve">2170582377 </v>
      </c>
      <c r="G3737" s="10" t="str">
        <f t="shared" si="162"/>
        <v>ON1</v>
      </c>
      <c r="H3737" s="10" t="s">
        <v>21</v>
      </c>
      <c r="I3737" s="10" t="s">
        <v>185</v>
      </c>
      <c r="J3737" s="10" t="str">
        <f>""</f>
        <v/>
      </c>
      <c r="K3737" s="10" t="str">
        <f>"PFES1162565788_0001"</f>
        <v>PFES1162565788_0001</v>
      </c>
      <c r="L3737" s="10">
        <v>1</v>
      </c>
      <c r="M3737" s="10">
        <v>1</v>
      </c>
    </row>
    <row r="3738" spans="1:13">
      <c r="A3738" s="8">
        <v>42947</v>
      </c>
      <c r="B3738" s="9">
        <v>0.65972222222222221</v>
      </c>
      <c r="C3738" s="10" t="str">
        <f>"FES1162565779"</f>
        <v>FES1162565779</v>
      </c>
      <c r="D3738" s="10" t="s">
        <v>19</v>
      </c>
      <c r="E3738" s="10" t="s">
        <v>676</v>
      </c>
      <c r="F3738" s="10" t="str">
        <f>"2170582364 "</f>
        <v xml:space="preserve">2170582364 </v>
      </c>
      <c r="G3738" s="10" t="str">
        <f t="shared" si="162"/>
        <v>ON1</v>
      </c>
      <c r="H3738" s="10" t="s">
        <v>21</v>
      </c>
      <c r="I3738" s="10" t="s">
        <v>677</v>
      </c>
      <c r="J3738" s="10" t="str">
        <f>""</f>
        <v/>
      </c>
      <c r="K3738" s="10" t="str">
        <f>"PFES1162565779_0001"</f>
        <v>PFES1162565779_0001</v>
      </c>
      <c r="L3738" s="10">
        <v>1</v>
      </c>
      <c r="M3738" s="10">
        <v>3</v>
      </c>
    </row>
    <row r="3739" spans="1:13">
      <c r="A3739" s="8">
        <v>42947</v>
      </c>
      <c r="B3739" s="9">
        <v>0.65763888888888888</v>
      </c>
      <c r="C3739" s="10" t="str">
        <f>"FES1162565774"</f>
        <v>FES1162565774</v>
      </c>
      <c r="D3739" s="10" t="s">
        <v>19</v>
      </c>
      <c r="E3739" s="10" t="s">
        <v>1230</v>
      </c>
      <c r="F3739" s="10" t="str">
        <f>"2170582359 "</f>
        <v xml:space="preserve">2170582359 </v>
      </c>
      <c r="G3739" s="10" t="str">
        <f t="shared" si="162"/>
        <v>ON1</v>
      </c>
      <c r="H3739" s="10" t="s">
        <v>21</v>
      </c>
      <c r="I3739" s="10" t="s">
        <v>1181</v>
      </c>
      <c r="J3739" s="10" t="str">
        <f>""</f>
        <v/>
      </c>
      <c r="K3739" s="10" t="str">
        <f>"PFES1162565774_0001"</f>
        <v>PFES1162565774_0001</v>
      </c>
      <c r="L3739" s="10">
        <v>1</v>
      </c>
      <c r="M3739" s="10">
        <v>2</v>
      </c>
    </row>
    <row r="3740" spans="1:13">
      <c r="A3740" s="8">
        <v>42947</v>
      </c>
      <c r="B3740" s="9">
        <v>0.64861111111111114</v>
      </c>
      <c r="C3740" s="10" t="str">
        <f>"FES1162565763"</f>
        <v>FES1162565763</v>
      </c>
      <c r="D3740" s="10" t="s">
        <v>19</v>
      </c>
      <c r="E3740" s="10" t="s">
        <v>112</v>
      </c>
      <c r="F3740" s="10" t="str">
        <f>"2170582345 "</f>
        <v xml:space="preserve">2170582345 </v>
      </c>
      <c r="G3740" s="10" t="str">
        <f t="shared" si="162"/>
        <v>ON1</v>
      </c>
      <c r="H3740" s="10" t="s">
        <v>21</v>
      </c>
      <c r="I3740" s="10" t="s">
        <v>113</v>
      </c>
      <c r="J3740" s="10" t="str">
        <f>""</f>
        <v/>
      </c>
      <c r="K3740" s="10" t="str">
        <f>"PFES1162565763_0001"</f>
        <v>PFES1162565763_0001</v>
      </c>
      <c r="L3740" s="10">
        <v>1</v>
      </c>
      <c r="M3740" s="10">
        <v>2</v>
      </c>
    </row>
    <row r="3741" spans="1:13">
      <c r="A3741" s="8">
        <v>42947</v>
      </c>
      <c r="B3741" s="9">
        <v>0.64583333333333337</v>
      </c>
      <c r="C3741" s="10" t="str">
        <f>"FES1162565744"</f>
        <v>FES1162565744</v>
      </c>
      <c r="D3741" s="10" t="s">
        <v>19</v>
      </c>
      <c r="E3741" s="10" t="s">
        <v>190</v>
      </c>
      <c r="F3741" s="10" t="str">
        <f>"2170581319 "</f>
        <v xml:space="preserve">2170581319 </v>
      </c>
      <c r="G3741" s="10" t="str">
        <f>"DBC"</f>
        <v>DBC</v>
      </c>
      <c r="H3741" s="10" t="s">
        <v>21</v>
      </c>
      <c r="I3741" s="10" t="s">
        <v>569</v>
      </c>
      <c r="J3741" s="10" t="str">
        <f>""</f>
        <v/>
      </c>
      <c r="K3741" s="10" t="str">
        <f>"PFES1162565744_0001"</f>
        <v>PFES1162565744_0001</v>
      </c>
      <c r="L3741" s="10">
        <v>1</v>
      </c>
      <c r="M3741" s="10">
        <v>35</v>
      </c>
    </row>
    <row r="3742" spans="1:13">
      <c r="A3742" s="8">
        <v>42947</v>
      </c>
      <c r="B3742" s="9">
        <v>0.64444444444444449</v>
      </c>
      <c r="C3742" s="10" t="str">
        <f>"FES1162565780"</f>
        <v>FES1162565780</v>
      </c>
      <c r="D3742" s="10" t="s">
        <v>19</v>
      </c>
      <c r="E3742" s="10" t="s">
        <v>33</v>
      </c>
      <c r="F3742" s="10" t="str">
        <f>"2170582365 "</f>
        <v xml:space="preserve">2170582365 </v>
      </c>
      <c r="G3742" s="10" t="str">
        <f>"ON1"</f>
        <v>ON1</v>
      </c>
      <c r="H3742" s="10" t="s">
        <v>21</v>
      </c>
      <c r="I3742" s="10" t="s">
        <v>34</v>
      </c>
      <c r="J3742" s="10" t="str">
        <f>""</f>
        <v/>
      </c>
      <c r="K3742" s="10" t="str">
        <f>"PFES1162565780_0001"</f>
        <v>PFES1162565780_0001</v>
      </c>
      <c r="L3742" s="10">
        <v>1</v>
      </c>
      <c r="M3742" s="10">
        <v>1</v>
      </c>
    </row>
    <row r="3743" spans="1:13">
      <c r="A3743" s="21">
        <v>42944</v>
      </c>
      <c r="B3743" s="22">
        <v>0.62986111111111109</v>
      </c>
      <c r="C3743" s="23" t="s">
        <v>1231</v>
      </c>
      <c r="D3743" s="23" t="s">
        <v>19</v>
      </c>
      <c r="E3743" s="23" t="s">
        <v>1232</v>
      </c>
      <c r="F3743" s="23" t="s">
        <v>1233</v>
      </c>
      <c r="G3743" s="23" t="s">
        <v>1234</v>
      </c>
      <c r="H3743" s="23" t="s">
        <v>21</v>
      </c>
      <c r="I3743" s="23" t="s">
        <v>174</v>
      </c>
      <c r="J3743" s="23" t="s">
        <v>1235</v>
      </c>
      <c r="K3743" s="23" t="s">
        <v>1236</v>
      </c>
      <c r="L3743" s="23">
        <v>1</v>
      </c>
      <c r="M3743" s="23">
        <v>3</v>
      </c>
    </row>
    <row r="3744" spans="1:13">
      <c r="A3744" s="21">
        <v>42944</v>
      </c>
      <c r="B3744" s="22">
        <v>0.62777777777777777</v>
      </c>
      <c r="C3744" s="23" t="s">
        <v>1237</v>
      </c>
      <c r="D3744" s="23" t="s">
        <v>19</v>
      </c>
      <c r="E3744" s="23" t="s">
        <v>616</v>
      </c>
      <c r="F3744" s="23" t="s">
        <v>1238</v>
      </c>
      <c r="G3744" s="23" t="s">
        <v>1239</v>
      </c>
      <c r="H3744" s="23" t="s">
        <v>21</v>
      </c>
      <c r="I3744" s="23" t="s">
        <v>32</v>
      </c>
      <c r="J3744" s="23" t="s">
        <v>1235</v>
      </c>
      <c r="K3744" s="23" t="s">
        <v>1240</v>
      </c>
      <c r="L3744" s="23">
        <v>1</v>
      </c>
      <c r="M3744" s="23">
        <v>6</v>
      </c>
    </row>
    <row r="3745" spans="1:13">
      <c r="A3745" s="21">
        <v>42944</v>
      </c>
      <c r="B3745" s="22">
        <v>0.62708333333333333</v>
      </c>
      <c r="C3745" s="23" t="s">
        <v>1241</v>
      </c>
      <c r="D3745" s="23" t="s">
        <v>19</v>
      </c>
      <c r="E3745" s="23" t="s">
        <v>39</v>
      </c>
      <c r="F3745" s="23" t="s">
        <v>1242</v>
      </c>
      <c r="G3745" s="23" t="s">
        <v>1234</v>
      </c>
      <c r="H3745" s="23" t="s">
        <v>21</v>
      </c>
      <c r="I3745" s="23" t="s">
        <v>40</v>
      </c>
      <c r="J3745" s="23" t="s">
        <v>1235</v>
      </c>
      <c r="K3745" s="23" t="s">
        <v>1243</v>
      </c>
      <c r="L3745" s="23">
        <v>2</v>
      </c>
      <c r="M3745" s="23">
        <v>5</v>
      </c>
    </row>
    <row r="3746" spans="1:13">
      <c r="A3746" s="21">
        <v>42944</v>
      </c>
      <c r="B3746" s="22">
        <v>0.62708333333333333</v>
      </c>
      <c r="C3746" s="23" t="s">
        <v>1241</v>
      </c>
      <c r="D3746" s="23" t="s">
        <v>19</v>
      </c>
      <c r="E3746" s="23" t="s">
        <v>39</v>
      </c>
      <c r="F3746" s="23" t="s">
        <v>1242</v>
      </c>
      <c r="G3746" s="23" t="s">
        <v>1234</v>
      </c>
      <c r="H3746" s="23" t="s">
        <v>21</v>
      </c>
      <c r="I3746" s="23" t="s">
        <v>40</v>
      </c>
      <c r="J3746" s="23"/>
      <c r="K3746" s="23" t="s">
        <v>1244</v>
      </c>
      <c r="L3746" s="23">
        <v>2</v>
      </c>
      <c r="M3746" s="23">
        <v>5</v>
      </c>
    </row>
    <row r="3747" spans="1:13">
      <c r="A3747" s="21">
        <v>42944</v>
      </c>
      <c r="B3747" s="22">
        <v>0.625</v>
      </c>
      <c r="C3747" s="23" t="s">
        <v>1245</v>
      </c>
      <c r="D3747" s="23" t="s">
        <v>19</v>
      </c>
      <c r="E3747" s="23" t="s">
        <v>683</v>
      </c>
      <c r="F3747" s="23" t="s">
        <v>1246</v>
      </c>
      <c r="G3747" s="23" t="s">
        <v>1234</v>
      </c>
      <c r="H3747" s="23" t="s">
        <v>21</v>
      </c>
      <c r="I3747" s="23" t="s">
        <v>684</v>
      </c>
      <c r="J3747" s="23" t="s">
        <v>1235</v>
      </c>
      <c r="K3747" s="23" t="s">
        <v>1247</v>
      </c>
      <c r="L3747" s="23">
        <v>1</v>
      </c>
      <c r="M3747" s="23">
        <v>1</v>
      </c>
    </row>
    <row r="3748" spans="1:13">
      <c r="A3748" s="21">
        <v>42944</v>
      </c>
      <c r="B3748" s="22">
        <v>0.62430555555555556</v>
      </c>
      <c r="C3748" s="23" t="s">
        <v>1248</v>
      </c>
      <c r="D3748" s="23" t="s">
        <v>19</v>
      </c>
      <c r="E3748" s="23" t="s">
        <v>952</v>
      </c>
      <c r="F3748" s="23" t="s">
        <v>1249</v>
      </c>
      <c r="G3748" s="23" t="s">
        <v>1234</v>
      </c>
      <c r="H3748" s="23" t="s">
        <v>21</v>
      </c>
      <c r="I3748" s="23" t="s">
        <v>364</v>
      </c>
      <c r="J3748" s="23" t="s">
        <v>1235</v>
      </c>
      <c r="K3748" s="23" t="s">
        <v>1250</v>
      </c>
      <c r="L3748" s="23">
        <v>1</v>
      </c>
      <c r="M3748" s="23">
        <v>1</v>
      </c>
    </row>
    <row r="3749" spans="1:13">
      <c r="A3749" s="21">
        <v>42944</v>
      </c>
      <c r="B3749" s="22">
        <v>0.62361111111111112</v>
      </c>
      <c r="C3749" s="23" t="s">
        <v>1251</v>
      </c>
      <c r="D3749" s="23" t="s">
        <v>19</v>
      </c>
      <c r="E3749" s="23" t="s">
        <v>498</v>
      </c>
      <c r="F3749" s="23" t="s">
        <v>1252</v>
      </c>
      <c r="G3749" s="23" t="s">
        <v>1253</v>
      </c>
      <c r="H3749" s="23" t="s">
        <v>21</v>
      </c>
      <c r="I3749" s="23" t="s">
        <v>84</v>
      </c>
      <c r="J3749" s="23" t="s">
        <v>1235</v>
      </c>
      <c r="K3749" s="23" t="s">
        <v>1254</v>
      </c>
      <c r="L3749" s="23">
        <v>1</v>
      </c>
      <c r="M3749" s="23">
        <v>20</v>
      </c>
    </row>
    <row r="3750" spans="1:13">
      <c r="A3750" s="21">
        <v>42944</v>
      </c>
      <c r="B3750" s="22">
        <v>0.62222222222222223</v>
      </c>
      <c r="C3750" s="23" t="s">
        <v>1255</v>
      </c>
      <c r="D3750" s="23" t="s">
        <v>19</v>
      </c>
      <c r="E3750" s="23" t="s">
        <v>220</v>
      </c>
      <c r="F3750" s="23" t="s">
        <v>1256</v>
      </c>
      <c r="G3750" s="23" t="s">
        <v>1239</v>
      </c>
      <c r="H3750" s="23" t="s">
        <v>21</v>
      </c>
      <c r="I3750" s="23" t="s">
        <v>90</v>
      </c>
      <c r="J3750" s="23" t="s">
        <v>1235</v>
      </c>
      <c r="K3750" s="23" t="s">
        <v>1257</v>
      </c>
      <c r="L3750" s="23">
        <v>1</v>
      </c>
      <c r="M3750" s="23">
        <v>10</v>
      </c>
    </row>
    <row r="3751" spans="1:13">
      <c r="A3751" s="21">
        <v>42944</v>
      </c>
      <c r="B3751" s="22">
        <v>0.62083333333333335</v>
      </c>
      <c r="C3751" s="23" t="s">
        <v>1258</v>
      </c>
      <c r="D3751" s="23" t="s">
        <v>19</v>
      </c>
      <c r="E3751" s="23" t="s">
        <v>45</v>
      </c>
      <c r="F3751" s="23" t="s">
        <v>1259</v>
      </c>
      <c r="G3751" s="23" t="s">
        <v>1239</v>
      </c>
      <c r="H3751" s="23" t="s">
        <v>21</v>
      </c>
      <c r="I3751" s="23" t="s">
        <v>46</v>
      </c>
      <c r="J3751" s="23" t="s">
        <v>1235</v>
      </c>
      <c r="K3751" s="23" t="s">
        <v>1260</v>
      </c>
      <c r="L3751" s="23">
        <v>1</v>
      </c>
      <c r="M3751" s="23">
        <v>10</v>
      </c>
    </row>
    <row r="3752" spans="1:13">
      <c r="A3752" s="21">
        <v>42944</v>
      </c>
      <c r="B3752" s="22">
        <v>0.62013888888888891</v>
      </c>
      <c r="C3752" s="23" t="s">
        <v>1261</v>
      </c>
      <c r="D3752" s="23" t="s">
        <v>19</v>
      </c>
      <c r="E3752" s="23" t="s">
        <v>288</v>
      </c>
      <c r="F3752" s="23" t="s">
        <v>1262</v>
      </c>
      <c r="G3752" s="23" t="s">
        <v>1234</v>
      </c>
      <c r="H3752" s="23" t="s">
        <v>21</v>
      </c>
      <c r="I3752" s="23" t="s">
        <v>84</v>
      </c>
      <c r="J3752" s="23" t="s">
        <v>1235</v>
      </c>
      <c r="K3752" s="23" t="s">
        <v>1263</v>
      </c>
      <c r="L3752" s="23">
        <v>1</v>
      </c>
      <c r="M3752" s="23">
        <v>1</v>
      </c>
    </row>
    <row r="3753" spans="1:13">
      <c r="A3753" s="21">
        <v>42944</v>
      </c>
      <c r="B3753" s="22">
        <v>0.61875000000000002</v>
      </c>
      <c r="C3753" s="23" t="s">
        <v>1264</v>
      </c>
      <c r="D3753" s="23" t="s">
        <v>19</v>
      </c>
      <c r="E3753" s="23" t="s">
        <v>1265</v>
      </c>
      <c r="F3753" s="23" t="s">
        <v>1266</v>
      </c>
      <c r="G3753" s="23" t="s">
        <v>1234</v>
      </c>
      <c r="H3753" s="23" t="s">
        <v>21</v>
      </c>
      <c r="I3753" s="23" t="s">
        <v>630</v>
      </c>
      <c r="J3753" s="23" t="s">
        <v>1235</v>
      </c>
      <c r="K3753" s="23" t="s">
        <v>1267</v>
      </c>
      <c r="L3753" s="23">
        <v>1</v>
      </c>
      <c r="M3753" s="23">
        <v>1</v>
      </c>
    </row>
    <row r="3754" spans="1:13">
      <c r="A3754" s="21">
        <v>42944</v>
      </c>
      <c r="B3754" s="22">
        <v>0.61805555555555558</v>
      </c>
      <c r="C3754" s="23" t="s">
        <v>1268</v>
      </c>
      <c r="D3754" s="23" t="s">
        <v>19</v>
      </c>
      <c r="E3754" s="23" t="s">
        <v>381</v>
      </c>
      <c r="F3754" s="23" t="s">
        <v>1269</v>
      </c>
      <c r="G3754" s="23" t="s">
        <v>1234</v>
      </c>
      <c r="H3754" s="23" t="s">
        <v>21</v>
      </c>
      <c r="I3754" s="23" t="s">
        <v>149</v>
      </c>
      <c r="J3754" s="23" t="s">
        <v>1235</v>
      </c>
      <c r="K3754" s="23" t="s">
        <v>1270</v>
      </c>
      <c r="L3754" s="23">
        <v>1</v>
      </c>
      <c r="M3754" s="23">
        <v>1</v>
      </c>
    </row>
    <row r="3755" spans="1:13">
      <c r="A3755" s="21">
        <v>42944</v>
      </c>
      <c r="B3755" s="22">
        <v>0.61736111111111114</v>
      </c>
      <c r="C3755" s="23" t="s">
        <v>1271</v>
      </c>
      <c r="D3755" s="23" t="s">
        <v>19</v>
      </c>
      <c r="E3755" s="23" t="s">
        <v>1272</v>
      </c>
      <c r="F3755" s="23" t="s">
        <v>1273</v>
      </c>
      <c r="G3755" s="23" t="s">
        <v>1253</v>
      </c>
      <c r="H3755" s="23" t="s">
        <v>21</v>
      </c>
      <c r="I3755" s="23" t="s">
        <v>70</v>
      </c>
      <c r="J3755" s="23" t="s">
        <v>1235</v>
      </c>
      <c r="K3755" s="23" t="s">
        <v>1274</v>
      </c>
      <c r="L3755" s="23">
        <v>7</v>
      </c>
      <c r="M3755" s="23">
        <v>90</v>
      </c>
    </row>
    <row r="3756" spans="1:13">
      <c r="A3756" s="21">
        <v>42944</v>
      </c>
      <c r="B3756" s="22">
        <v>0.61736111111111114</v>
      </c>
      <c r="C3756" s="23" t="s">
        <v>1271</v>
      </c>
      <c r="D3756" s="23" t="s">
        <v>19</v>
      </c>
      <c r="E3756" s="23" t="s">
        <v>1272</v>
      </c>
      <c r="F3756" s="23" t="s">
        <v>1273</v>
      </c>
      <c r="G3756" s="23" t="s">
        <v>1253</v>
      </c>
      <c r="H3756" s="23" t="s">
        <v>21</v>
      </c>
      <c r="I3756" s="23" t="s">
        <v>70</v>
      </c>
      <c r="J3756" s="23"/>
      <c r="K3756" s="23" t="s">
        <v>1275</v>
      </c>
      <c r="L3756" s="23">
        <v>7</v>
      </c>
      <c r="M3756" s="23">
        <v>90</v>
      </c>
    </row>
    <row r="3757" spans="1:13">
      <c r="A3757" s="21">
        <v>42944</v>
      </c>
      <c r="B3757" s="22">
        <v>0.61736111111111114</v>
      </c>
      <c r="C3757" s="23" t="s">
        <v>1271</v>
      </c>
      <c r="D3757" s="23" t="s">
        <v>19</v>
      </c>
      <c r="E3757" s="23" t="s">
        <v>1272</v>
      </c>
      <c r="F3757" s="23" t="s">
        <v>1273</v>
      </c>
      <c r="G3757" s="23" t="s">
        <v>1253</v>
      </c>
      <c r="H3757" s="23" t="s">
        <v>21</v>
      </c>
      <c r="I3757" s="23" t="s">
        <v>70</v>
      </c>
      <c r="J3757" s="23"/>
      <c r="K3757" s="23" t="s">
        <v>1276</v>
      </c>
      <c r="L3757" s="23">
        <v>7</v>
      </c>
      <c r="M3757" s="23">
        <v>90</v>
      </c>
    </row>
    <row r="3758" spans="1:13">
      <c r="A3758" s="21">
        <v>42944</v>
      </c>
      <c r="B3758" s="22">
        <v>0.61736111111111114</v>
      </c>
      <c r="C3758" s="23" t="s">
        <v>1271</v>
      </c>
      <c r="D3758" s="23" t="s">
        <v>19</v>
      </c>
      <c r="E3758" s="23" t="s">
        <v>1272</v>
      </c>
      <c r="F3758" s="23" t="s">
        <v>1273</v>
      </c>
      <c r="G3758" s="23" t="s">
        <v>1253</v>
      </c>
      <c r="H3758" s="23" t="s">
        <v>21</v>
      </c>
      <c r="I3758" s="23" t="s">
        <v>70</v>
      </c>
      <c r="J3758" s="23"/>
      <c r="K3758" s="23" t="s">
        <v>1277</v>
      </c>
      <c r="L3758" s="23">
        <v>7</v>
      </c>
      <c r="M3758" s="23">
        <v>90</v>
      </c>
    </row>
    <row r="3759" spans="1:13">
      <c r="A3759" s="21">
        <v>42944</v>
      </c>
      <c r="B3759" s="22">
        <v>0.61736111111111114</v>
      </c>
      <c r="C3759" s="23" t="s">
        <v>1271</v>
      </c>
      <c r="D3759" s="23" t="s">
        <v>19</v>
      </c>
      <c r="E3759" s="23" t="s">
        <v>1272</v>
      </c>
      <c r="F3759" s="23" t="s">
        <v>1273</v>
      </c>
      <c r="G3759" s="23" t="s">
        <v>1253</v>
      </c>
      <c r="H3759" s="23" t="s">
        <v>21</v>
      </c>
      <c r="I3759" s="23" t="s">
        <v>70</v>
      </c>
      <c r="J3759" s="23"/>
      <c r="K3759" s="23" t="s">
        <v>1278</v>
      </c>
      <c r="L3759" s="23">
        <v>7</v>
      </c>
      <c r="M3759" s="23">
        <v>90</v>
      </c>
    </row>
    <row r="3760" spans="1:13">
      <c r="A3760" s="21">
        <v>42944</v>
      </c>
      <c r="B3760" s="22">
        <v>0.61736111111111114</v>
      </c>
      <c r="C3760" s="23" t="s">
        <v>1271</v>
      </c>
      <c r="D3760" s="23" t="s">
        <v>19</v>
      </c>
      <c r="E3760" s="23" t="s">
        <v>1272</v>
      </c>
      <c r="F3760" s="23" t="s">
        <v>1273</v>
      </c>
      <c r="G3760" s="23" t="s">
        <v>1253</v>
      </c>
      <c r="H3760" s="23" t="s">
        <v>21</v>
      </c>
      <c r="I3760" s="23" t="s">
        <v>70</v>
      </c>
      <c r="J3760" s="23"/>
      <c r="K3760" s="23" t="s">
        <v>1279</v>
      </c>
      <c r="L3760" s="23">
        <v>7</v>
      </c>
      <c r="M3760" s="23">
        <v>90</v>
      </c>
    </row>
    <row r="3761" spans="1:13">
      <c r="A3761" s="21">
        <v>42944</v>
      </c>
      <c r="B3761" s="22">
        <v>0.61736111111111114</v>
      </c>
      <c r="C3761" s="23" t="s">
        <v>1271</v>
      </c>
      <c r="D3761" s="23" t="s">
        <v>19</v>
      </c>
      <c r="E3761" s="23" t="s">
        <v>1272</v>
      </c>
      <c r="F3761" s="23" t="s">
        <v>1273</v>
      </c>
      <c r="G3761" s="23" t="s">
        <v>1253</v>
      </c>
      <c r="H3761" s="23" t="s">
        <v>21</v>
      </c>
      <c r="I3761" s="23" t="s">
        <v>70</v>
      </c>
      <c r="J3761" s="23"/>
      <c r="K3761" s="23" t="s">
        <v>1280</v>
      </c>
      <c r="L3761" s="23">
        <v>7</v>
      </c>
      <c r="M3761" s="23">
        <v>90</v>
      </c>
    </row>
    <row r="3762" spans="1:13">
      <c r="A3762" s="21">
        <v>42944</v>
      </c>
      <c r="B3762" s="22">
        <v>0.61388888888888882</v>
      </c>
      <c r="C3762" s="23" t="s">
        <v>1281</v>
      </c>
      <c r="D3762" s="23" t="s">
        <v>19</v>
      </c>
      <c r="E3762" s="23" t="s">
        <v>63</v>
      </c>
      <c r="F3762" s="23" t="s">
        <v>1282</v>
      </c>
      <c r="G3762" s="23" t="s">
        <v>1234</v>
      </c>
      <c r="H3762" s="23" t="s">
        <v>21</v>
      </c>
      <c r="I3762" s="23" t="s">
        <v>64</v>
      </c>
      <c r="J3762" s="23" t="s">
        <v>1235</v>
      </c>
      <c r="K3762" s="23" t="s">
        <v>1283</v>
      </c>
      <c r="L3762" s="23">
        <v>1</v>
      </c>
      <c r="M3762" s="23">
        <v>1</v>
      </c>
    </row>
    <row r="3763" spans="1:13">
      <c r="A3763" s="21">
        <v>42944</v>
      </c>
      <c r="B3763" s="22">
        <v>0.61041666666666672</v>
      </c>
      <c r="C3763" s="23" t="s">
        <v>1284</v>
      </c>
      <c r="D3763" s="23" t="s">
        <v>19</v>
      </c>
      <c r="E3763" s="23" t="s">
        <v>1285</v>
      </c>
      <c r="F3763" s="23" t="s">
        <v>1286</v>
      </c>
      <c r="G3763" s="23" t="s">
        <v>1234</v>
      </c>
      <c r="H3763" s="23" t="s">
        <v>21</v>
      </c>
      <c r="I3763" s="23" t="s">
        <v>61</v>
      </c>
      <c r="J3763" s="23" t="s">
        <v>1235</v>
      </c>
      <c r="K3763" s="23" t="s">
        <v>1287</v>
      </c>
      <c r="L3763" s="23">
        <v>1</v>
      </c>
      <c r="M3763" s="23">
        <v>1</v>
      </c>
    </row>
    <row r="3764" spans="1:13">
      <c r="A3764" s="21">
        <v>42944</v>
      </c>
      <c r="B3764" s="22">
        <v>0.60972222222222217</v>
      </c>
      <c r="C3764" s="23" t="s">
        <v>1288</v>
      </c>
      <c r="D3764" s="23" t="s">
        <v>19</v>
      </c>
      <c r="E3764" s="23" t="s">
        <v>436</v>
      </c>
      <c r="F3764" s="23" t="s">
        <v>1289</v>
      </c>
      <c r="G3764" s="23" t="s">
        <v>1234</v>
      </c>
      <c r="H3764" s="23" t="s">
        <v>21</v>
      </c>
      <c r="I3764" s="23" t="s">
        <v>252</v>
      </c>
      <c r="J3764" s="23" t="s">
        <v>1235</v>
      </c>
      <c r="K3764" s="23" t="s">
        <v>1290</v>
      </c>
      <c r="L3764" s="23">
        <v>1</v>
      </c>
      <c r="M3764" s="23">
        <v>1</v>
      </c>
    </row>
    <row r="3765" spans="1:13">
      <c r="A3765" s="21">
        <v>42944</v>
      </c>
      <c r="B3765" s="22">
        <v>0.6069444444444444</v>
      </c>
      <c r="C3765" s="23" t="s">
        <v>1291</v>
      </c>
      <c r="D3765" s="23" t="s">
        <v>19</v>
      </c>
      <c r="E3765" s="23" t="s">
        <v>415</v>
      </c>
      <c r="F3765" s="23" t="s">
        <v>1292</v>
      </c>
      <c r="G3765" s="23" t="s">
        <v>1234</v>
      </c>
      <c r="H3765" s="23" t="s">
        <v>21</v>
      </c>
      <c r="I3765" s="23" t="s">
        <v>92</v>
      </c>
      <c r="J3765" s="23" t="s">
        <v>1235</v>
      </c>
      <c r="K3765" s="23" t="s">
        <v>1293</v>
      </c>
      <c r="L3765" s="23">
        <v>1</v>
      </c>
      <c r="M3765" s="23">
        <v>1</v>
      </c>
    </row>
    <row r="3766" spans="1:13">
      <c r="A3766" s="21">
        <v>42944</v>
      </c>
      <c r="B3766" s="22">
        <v>0.60555555555555551</v>
      </c>
      <c r="C3766" s="23" t="s">
        <v>1294</v>
      </c>
      <c r="D3766" s="23" t="s">
        <v>19</v>
      </c>
      <c r="E3766" s="23" t="s">
        <v>173</v>
      </c>
      <c r="F3766" s="23" t="s">
        <v>1295</v>
      </c>
      <c r="G3766" s="23" t="s">
        <v>1234</v>
      </c>
      <c r="H3766" s="23" t="s">
        <v>21</v>
      </c>
      <c r="I3766" s="23" t="s">
        <v>174</v>
      </c>
      <c r="J3766" s="23" t="s">
        <v>1235</v>
      </c>
      <c r="K3766" s="23" t="s">
        <v>1296</v>
      </c>
      <c r="L3766" s="23">
        <v>1</v>
      </c>
      <c r="M3766" s="23">
        <v>1</v>
      </c>
    </row>
    <row r="3767" spans="1:13">
      <c r="A3767" s="21">
        <v>42944</v>
      </c>
      <c r="B3767" s="22">
        <v>0.60486111111111118</v>
      </c>
      <c r="C3767" s="23" t="s">
        <v>1297</v>
      </c>
      <c r="D3767" s="23" t="s">
        <v>19</v>
      </c>
      <c r="E3767" s="23" t="s">
        <v>33</v>
      </c>
      <c r="F3767" s="23" t="s">
        <v>1298</v>
      </c>
      <c r="G3767" s="23" t="s">
        <v>1234</v>
      </c>
      <c r="H3767" s="23" t="s">
        <v>21</v>
      </c>
      <c r="I3767" s="23" t="s">
        <v>34</v>
      </c>
      <c r="J3767" s="23" t="s">
        <v>1235</v>
      </c>
      <c r="K3767" s="23" t="s">
        <v>1299</v>
      </c>
      <c r="L3767" s="23">
        <v>1</v>
      </c>
      <c r="M3767" s="23">
        <v>2</v>
      </c>
    </row>
    <row r="3768" spans="1:13">
      <c r="A3768" s="21">
        <v>42944</v>
      </c>
      <c r="B3768" s="22">
        <v>0.60486111111111118</v>
      </c>
      <c r="C3768" s="23" t="s">
        <v>1300</v>
      </c>
      <c r="D3768" s="23" t="s">
        <v>19</v>
      </c>
      <c r="E3768" s="23" t="s">
        <v>39</v>
      </c>
      <c r="F3768" s="23" t="s">
        <v>1301</v>
      </c>
      <c r="G3768" s="23" t="s">
        <v>1234</v>
      </c>
      <c r="H3768" s="23" t="s">
        <v>21</v>
      </c>
      <c r="I3768" s="23" t="s">
        <v>40</v>
      </c>
      <c r="J3768" s="23" t="s">
        <v>1235</v>
      </c>
      <c r="K3768" s="23" t="s">
        <v>1302</v>
      </c>
      <c r="L3768" s="23">
        <v>1</v>
      </c>
      <c r="M3768" s="23">
        <v>1</v>
      </c>
    </row>
    <row r="3769" spans="1:13">
      <c r="A3769" s="21">
        <v>42944</v>
      </c>
      <c r="B3769" s="22">
        <v>0.60416666666666663</v>
      </c>
      <c r="C3769" s="23" t="s">
        <v>1303</v>
      </c>
      <c r="D3769" s="23" t="s">
        <v>19</v>
      </c>
      <c r="E3769" s="23" t="s">
        <v>774</v>
      </c>
      <c r="F3769" s="23" t="s">
        <v>1304</v>
      </c>
      <c r="G3769" s="23" t="s">
        <v>1253</v>
      </c>
      <c r="H3769" s="23" t="s">
        <v>21</v>
      </c>
      <c r="I3769" s="23" t="s">
        <v>697</v>
      </c>
      <c r="J3769" s="23" t="s">
        <v>1235</v>
      </c>
      <c r="K3769" s="23" t="s">
        <v>1305</v>
      </c>
      <c r="L3769" s="23">
        <v>2</v>
      </c>
      <c r="M3769" s="23">
        <v>33</v>
      </c>
    </row>
    <row r="3770" spans="1:13">
      <c r="A3770" s="21">
        <v>42944</v>
      </c>
      <c r="B3770" s="22">
        <v>0.60416666666666663</v>
      </c>
      <c r="C3770" s="23" t="s">
        <v>1303</v>
      </c>
      <c r="D3770" s="23" t="s">
        <v>19</v>
      </c>
      <c r="E3770" s="23" t="s">
        <v>774</v>
      </c>
      <c r="F3770" s="23" t="s">
        <v>1304</v>
      </c>
      <c r="G3770" s="23" t="s">
        <v>1253</v>
      </c>
      <c r="H3770" s="23" t="s">
        <v>21</v>
      </c>
      <c r="I3770" s="23" t="s">
        <v>697</v>
      </c>
      <c r="J3770" s="23"/>
      <c r="K3770" s="23" t="s">
        <v>1306</v>
      </c>
      <c r="L3770" s="23">
        <v>2</v>
      </c>
      <c r="M3770" s="23">
        <v>33</v>
      </c>
    </row>
    <row r="3771" spans="1:13">
      <c r="A3771" s="21">
        <v>42944</v>
      </c>
      <c r="B3771" s="22">
        <v>0.60416666666666663</v>
      </c>
      <c r="C3771" s="23" t="s">
        <v>1307</v>
      </c>
      <c r="D3771" s="23" t="s">
        <v>19</v>
      </c>
      <c r="E3771" s="23" t="s">
        <v>860</v>
      </c>
      <c r="F3771" s="23" t="s">
        <v>1308</v>
      </c>
      <c r="G3771" s="23" t="s">
        <v>1234</v>
      </c>
      <c r="H3771" s="23" t="s">
        <v>21</v>
      </c>
      <c r="I3771" s="23" t="s">
        <v>217</v>
      </c>
      <c r="J3771" s="23" t="s">
        <v>1235</v>
      </c>
      <c r="K3771" s="23" t="s">
        <v>1309</v>
      </c>
      <c r="L3771" s="23">
        <v>1</v>
      </c>
      <c r="M3771" s="23">
        <v>2</v>
      </c>
    </row>
    <row r="3772" spans="1:13">
      <c r="A3772" s="21">
        <v>42944</v>
      </c>
      <c r="B3772" s="22">
        <v>0.60347222222222219</v>
      </c>
      <c r="C3772" s="23" t="s">
        <v>1310</v>
      </c>
      <c r="D3772" s="23" t="s">
        <v>19</v>
      </c>
      <c r="E3772" s="23" t="s">
        <v>62</v>
      </c>
      <c r="F3772" s="23" t="s">
        <v>1311</v>
      </c>
      <c r="G3772" s="23" t="s">
        <v>1234</v>
      </c>
      <c r="H3772" s="23" t="s">
        <v>21</v>
      </c>
      <c r="I3772" s="23" t="s">
        <v>40</v>
      </c>
      <c r="J3772" s="23" t="s">
        <v>1235</v>
      </c>
      <c r="K3772" s="23" t="s">
        <v>1312</v>
      </c>
      <c r="L3772" s="23">
        <v>1</v>
      </c>
      <c r="M3772" s="23">
        <v>1</v>
      </c>
    </row>
    <row r="3773" spans="1:13">
      <c r="A3773" s="21">
        <v>42944</v>
      </c>
      <c r="B3773" s="22">
        <v>0.60347222222222219</v>
      </c>
      <c r="C3773" s="23" t="s">
        <v>1313</v>
      </c>
      <c r="D3773" s="23" t="s">
        <v>19</v>
      </c>
      <c r="E3773" s="23" t="s">
        <v>154</v>
      </c>
      <c r="F3773" s="23" t="s">
        <v>1314</v>
      </c>
      <c r="G3773" s="23" t="s">
        <v>1234</v>
      </c>
      <c r="H3773" s="23" t="s">
        <v>21</v>
      </c>
      <c r="I3773" s="23" t="s">
        <v>130</v>
      </c>
      <c r="J3773" s="23" t="s">
        <v>1235</v>
      </c>
      <c r="K3773" s="23" t="s">
        <v>1315</v>
      </c>
      <c r="L3773" s="23">
        <v>1</v>
      </c>
      <c r="M3773" s="23">
        <v>1</v>
      </c>
    </row>
    <row r="3774" spans="1:13">
      <c r="A3774" s="21">
        <v>42944</v>
      </c>
      <c r="B3774" s="22">
        <v>0.60277777777777775</v>
      </c>
      <c r="C3774" s="23" t="s">
        <v>1316</v>
      </c>
      <c r="D3774" s="23" t="s">
        <v>19</v>
      </c>
      <c r="E3774" s="23" t="s">
        <v>39</v>
      </c>
      <c r="F3774" s="23" t="s">
        <v>1317</v>
      </c>
      <c r="G3774" s="23" t="s">
        <v>1234</v>
      </c>
      <c r="H3774" s="23" t="s">
        <v>21</v>
      </c>
      <c r="I3774" s="23" t="s">
        <v>40</v>
      </c>
      <c r="J3774" s="23" t="s">
        <v>1235</v>
      </c>
      <c r="K3774" s="23" t="s">
        <v>1318</v>
      </c>
      <c r="L3774" s="23">
        <v>1</v>
      </c>
      <c r="M3774" s="23">
        <v>1</v>
      </c>
    </row>
    <row r="3775" spans="1:13">
      <c r="A3775" s="21">
        <v>42944</v>
      </c>
      <c r="B3775" s="22">
        <v>0.60277777777777775</v>
      </c>
      <c r="C3775" s="23" t="s">
        <v>1319</v>
      </c>
      <c r="D3775" s="23" t="s">
        <v>19</v>
      </c>
      <c r="E3775" s="23" t="s">
        <v>297</v>
      </c>
      <c r="F3775" s="23" t="s">
        <v>1320</v>
      </c>
      <c r="G3775" s="23" t="s">
        <v>1234</v>
      </c>
      <c r="H3775" s="23" t="s">
        <v>21</v>
      </c>
      <c r="I3775" s="23" t="s">
        <v>98</v>
      </c>
      <c r="J3775" s="23" t="s">
        <v>1235</v>
      </c>
      <c r="K3775" s="23" t="s">
        <v>1321</v>
      </c>
      <c r="L3775" s="23">
        <v>1</v>
      </c>
      <c r="M3775" s="23">
        <v>1</v>
      </c>
    </row>
    <row r="3776" spans="1:13">
      <c r="A3776" s="21">
        <v>42944</v>
      </c>
      <c r="B3776" s="22">
        <v>0.59513888888888888</v>
      </c>
      <c r="C3776" s="23" t="s">
        <v>1322</v>
      </c>
      <c r="D3776" s="23" t="s">
        <v>19</v>
      </c>
      <c r="E3776" s="23" t="s">
        <v>1323</v>
      </c>
      <c r="F3776" s="23" t="s">
        <v>1324</v>
      </c>
      <c r="G3776" s="23" t="s">
        <v>1253</v>
      </c>
      <c r="H3776" s="23" t="s">
        <v>21</v>
      </c>
      <c r="I3776" s="23" t="s">
        <v>697</v>
      </c>
      <c r="J3776" s="23" t="s">
        <v>1235</v>
      </c>
      <c r="K3776" s="23" t="s">
        <v>1325</v>
      </c>
      <c r="L3776" s="23">
        <v>1</v>
      </c>
      <c r="M3776" s="23">
        <v>25</v>
      </c>
    </row>
    <row r="3777" spans="1:13">
      <c r="A3777" s="21">
        <v>42944</v>
      </c>
      <c r="B3777" s="22">
        <v>0.59305555555555556</v>
      </c>
      <c r="C3777" s="23" t="s">
        <v>1326</v>
      </c>
      <c r="D3777" s="23" t="s">
        <v>19</v>
      </c>
      <c r="E3777" s="23" t="s">
        <v>336</v>
      </c>
      <c r="F3777" s="23" t="s">
        <v>1327</v>
      </c>
      <c r="G3777" s="23" t="s">
        <v>1253</v>
      </c>
      <c r="H3777" s="23" t="s">
        <v>21</v>
      </c>
      <c r="I3777" s="23" t="s">
        <v>337</v>
      </c>
      <c r="J3777" s="23" t="s">
        <v>1235</v>
      </c>
      <c r="K3777" s="23" t="s">
        <v>1328</v>
      </c>
      <c r="L3777" s="23">
        <v>1</v>
      </c>
      <c r="M3777" s="23">
        <v>20</v>
      </c>
    </row>
    <row r="3778" spans="1:13">
      <c r="A3778" s="21">
        <v>42944</v>
      </c>
      <c r="B3778" s="22">
        <v>0.59236111111111112</v>
      </c>
      <c r="C3778" s="23" t="s">
        <v>1329</v>
      </c>
      <c r="D3778" s="23" t="s">
        <v>19</v>
      </c>
      <c r="E3778" s="23" t="s">
        <v>1330</v>
      </c>
      <c r="F3778" s="23" t="s">
        <v>1331</v>
      </c>
      <c r="G3778" s="23" t="s">
        <v>1234</v>
      </c>
      <c r="H3778" s="23" t="s">
        <v>21</v>
      </c>
      <c r="I3778" s="23" t="s">
        <v>1332</v>
      </c>
      <c r="J3778" s="23" t="s">
        <v>1235</v>
      </c>
      <c r="K3778" s="23" t="s">
        <v>1333</v>
      </c>
      <c r="L3778" s="23">
        <v>1</v>
      </c>
      <c r="M3778" s="23">
        <v>2</v>
      </c>
    </row>
    <row r="3779" spans="1:13">
      <c r="A3779" s="21">
        <v>42944</v>
      </c>
      <c r="B3779" s="22">
        <v>0.59166666666666667</v>
      </c>
      <c r="C3779" s="23" t="s">
        <v>1334</v>
      </c>
      <c r="D3779" s="23" t="s">
        <v>19</v>
      </c>
      <c r="E3779" s="23" t="s">
        <v>716</v>
      </c>
      <c r="F3779" s="23" t="s">
        <v>1335</v>
      </c>
      <c r="G3779" s="23" t="s">
        <v>1234</v>
      </c>
      <c r="H3779" s="23" t="s">
        <v>21</v>
      </c>
      <c r="I3779" s="23" t="s">
        <v>700</v>
      </c>
      <c r="J3779" s="23" t="s">
        <v>1235</v>
      </c>
      <c r="K3779" s="23" t="s">
        <v>1336</v>
      </c>
      <c r="L3779" s="23">
        <v>1</v>
      </c>
      <c r="M3779" s="23">
        <v>10</v>
      </c>
    </row>
    <row r="3780" spans="1:13">
      <c r="A3780" s="21">
        <v>42944</v>
      </c>
      <c r="B3780" s="22">
        <v>0.59166666666666667</v>
      </c>
      <c r="C3780" s="23" t="s">
        <v>1337</v>
      </c>
      <c r="D3780" s="23" t="s">
        <v>19</v>
      </c>
      <c r="E3780" s="23" t="s">
        <v>646</v>
      </c>
      <c r="F3780" s="23" t="s">
        <v>1338</v>
      </c>
      <c r="G3780" s="23" t="s">
        <v>1234</v>
      </c>
      <c r="H3780" s="23" t="s">
        <v>21</v>
      </c>
      <c r="I3780" s="23" t="s">
        <v>113</v>
      </c>
      <c r="J3780" s="23" t="s">
        <v>1235</v>
      </c>
      <c r="K3780" s="23" t="s">
        <v>1339</v>
      </c>
      <c r="L3780" s="23">
        <v>1</v>
      </c>
      <c r="M3780" s="23">
        <v>1</v>
      </c>
    </row>
    <row r="3781" spans="1:13">
      <c r="A3781" s="21">
        <v>42944</v>
      </c>
      <c r="B3781" s="22">
        <v>0.59097222222222223</v>
      </c>
      <c r="C3781" s="23" t="s">
        <v>1340</v>
      </c>
      <c r="D3781" s="23" t="s">
        <v>19</v>
      </c>
      <c r="E3781" s="23" t="s">
        <v>853</v>
      </c>
      <c r="F3781" s="23" t="s">
        <v>1341</v>
      </c>
      <c r="G3781" s="23" t="s">
        <v>1234</v>
      </c>
      <c r="H3781" s="23" t="s">
        <v>21</v>
      </c>
      <c r="I3781" s="23" t="s">
        <v>179</v>
      </c>
      <c r="J3781" s="23" t="s">
        <v>1235</v>
      </c>
      <c r="K3781" s="23" t="s">
        <v>1342</v>
      </c>
      <c r="L3781" s="23">
        <v>1</v>
      </c>
      <c r="M3781" s="23">
        <v>1</v>
      </c>
    </row>
    <row r="3782" spans="1:13">
      <c r="A3782" s="21">
        <v>42944</v>
      </c>
      <c r="B3782" s="22">
        <v>0.59027777777777779</v>
      </c>
      <c r="C3782" s="23" t="s">
        <v>1343</v>
      </c>
      <c r="D3782" s="23" t="s">
        <v>19</v>
      </c>
      <c r="E3782" s="23" t="s">
        <v>895</v>
      </c>
      <c r="F3782" s="23" t="s">
        <v>1344</v>
      </c>
      <c r="G3782" s="23" t="s">
        <v>1234</v>
      </c>
      <c r="H3782" s="23" t="s">
        <v>21</v>
      </c>
      <c r="I3782" s="23" t="s">
        <v>896</v>
      </c>
      <c r="J3782" s="23" t="s">
        <v>1235</v>
      </c>
      <c r="K3782" s="23" t="s">
        <v>1345</v>
      </c>
      <c r="L3782" s="23">
        <v>1</v>
      </c>
      <c r="M3782" s="23">
        <v>13</v>
      </c>
    </row>
    <row r="3783" spans="1:13">
      <c r="A3783" s="21">
        <v>42944</v>
      </c>
      <c r="B3783" s="22">
        <v>0.59027777777777779</v>
      </c>
      <c r="C3783" s="23" t="s">
        <v>1346</v>
      </c>
      <c r="D3783" s="23" t="s">
        <v>19</v>
      </c>
      <c r="E3783" s="23" t="s">
        <v>589</v>
      </c>
      <c r="F3783" s="23" t="s">
        <v>1347</v>
      </c>
      <c r="G3783" s="23" t="s">
        <v>1234</v>
      </c>
      <c r="H3783" s="23" t="s">
        <v>21</v>
      </c>
      <c r="I3783" s="23" t="s">
        <v>330</v>
      </c>
      <c r="J3783" s="23" t="s">
        <v>1235</v>
      </c>
      <c r="K3783" s="23" t="s">
        <v>1348</v>
      </c>
      <c r="L3783" s="23">
        <v>1</v>
      </c>
      <c r="M3783" s="23">
        <v>1</v>
      </c>
    </row>
    <row r="3784" spans="1:13">
      <c r="A3784" s="21">
        <v>42944</v>
      </c>
      <c r="B3784" s="22">
        <v>0.59027777777777779</v>
      </c>
      <c r="C3784" s="23" t="s">
        <v>1349</v>
      </c>
      <c r="D3784" s="23" t="s">
        <v>19</v>
      </c>
      <c r="E3784" s="23" t="s">
        <v>365</v>
      </c>
      <c r="F3784" s="23" t="s">
        <v>1350</v>
      </c>
      <c r="G3784" s="23" t="s">
        <v>1234</v>
      </c>
      <c r="H3784" s="23" t="s">
        <v>21</v>
      </c>
      <c r="I3784" s="23" t="s">
        <v>330</v>
      </c>
      <c r="J3784" s="23" t="s">
        <v>1235</v>
      </c>
      <c r="K3784" s="23" t="s">
        <v>1351</v>
      </c>
      <c r="L3784" s="23">
        <v>1</v>
      </c>
      <c r="M3784" s="23">
        <v>1</v>
      </c>
    </row>
    <row r="3785" spans="1:13">
      <c r="A3785" s="21">
        <v>42944</v>
      </c>
      <c r="B3785" s="22">
        <v>0.58958333333333335</v>
      </c>
      <c r="C3785" s="23" t="s">
        <v>1352</v>
      </c>
      <c r="D3785" s="23" t="s">
        <v>19</v>
      </c>
      <c r="E3785" s="23" t="s">
        <v>560</v>
      </c>
      <c r="F3785" s="23" t="s">
        <v>1353</v>
      </c>
      <c r="G3785" s="23" t="s">
        <v>1234</v>
      </c>
      <c r="H3785" s="23" t="s">
        <v>21</v>
      </c>
      <c r="I3785" s="23" t="s">
        <v>561</v>
      </c>
      <c r="J3785" s="23" t="s">
        <v>1235</v>
      </c>
      <c r="K3785" s="23" t="s">
        <v>1354</v>
      </c>
      <c r="L3785" s="23">
        <v>1</v>
      </c>
      <c r="M3785" s="23">
        <v>1</v>
      </c>
    </row>
    <row r="3786" spans="1:13">
      <c r="A3786" s="21">
        <v>42944</v>
      </c>
      <c r="B3786" s="22">
        <v>0.58888888888888891</v>
      </c>
      <c r="C3786" s="23" t="s">
        <v>1355</v>
      </c>
      <c r="D3786" s="23" t="s">
        <v>19</v>
      </c>
      <c r="E3786" s="23" t="s">
        <v>239</v>
      </c>
      <c r="F3786" s="23" t="s">
        <v>1356</v>
      </c>
      <c r="G3786" s="23" t="s">
        <v>1234</v>
      </c>
      <c r="H3786" s="23" t="s">
        <v>21</v>
      </c>
      <c r="I3786" s="23" t="s">
        <v>240</v>
      </c>
      <c r="J3786" s="23" t="s">
        <v>1235</v>
      </c>
      <c r="K3786" s="23" t="s">
        <v>1357</v>
      </c>
      <c r="L3786" s="23">
        <v>1</v>
      </c>
      <c r="M3786" s="23">
        <v>1</v>
      </c>
    </row>
    <row r="3787" spans="1:13">
      <c r="A3787" s="21">
        <v>42944</v>
      </c>
      <c r="B3787" s="22">
        <v>0.58888888888888891</v>
      </c>
      <c r="C3787" s="23" t="s">
        <v>1358</v>
      </c>
      <c r="D3787" s="23" t="s">
        <v>19</v>
      </c>
      <c r="E3787" s="23" t="s">
        <v>1055</v>
      </c>
      <c r="F3787" s="23" t="s">
        <v>1359</v>
      </c>
      <c r="G3787" s="23" t="s">
        <v>1234</v>
      </c>
      <c r="H3787" s="23" t="s">
        <v>21</v>
      </c>
      <c r="I3787" s="23" t="s">
        <v>28</v>
      </c>
      <c r="J3787" s="23" t="s">
        <v>1235</v>
      </c>
      <c r="K3787" s="23" t="s">
        <v>1360</v>
      </c>
      <c r="L3787" s="23">
        <v>1</v>
      </c>
      <c r="M3787" s="23">
        <v>1</v>
      </c>
    </row>
    <row r="3788" spans="1:13">
      <c r="A3788" s="21">
        <v>42944</v>
      </c>
      <c r="B3788" s="22">
        <v>0.58472222222222225</v>
      </c>
      <c r="C3788" s="23" t="s">
        <v>1361</v>
      </c>
      <c r="D3788" s="23" t="s">
        <v>19</v>
      </c>
      <c r="E3788" s="23" t="s">
        <v>129</v>
      </c>
      <c r="F3788" s="23" t="s">
        <v>1362</v>
      </c>
      <c r="G3788" s="23" t="s">
        <v>1363</v>
      </c>
      <c r="H3788" s="23" t="s">
        <v>21</v>
      </c>
      <c r="I3788" s="23" t="s">
        <v>130</v>
      </c>
      <c r="J3788" s="23" t="s">
        <v>1364</v>
      </c>
      <c r="K3788" s="23" t="s">
        <v>1365</v>
      </c>
      <c r="L3788" s="23">
        <v>1</v>
      </c>
      <c r="M3788" s="23">
        <v>1</v>
      </c>
    </row>
    <row r="3789" spans="1:13">
      <c r="A3789" s="21">
        <v>42944</v>
      </c>
      <c r="B3789" s="22">
        <v>0.5805555555555556</v>
      </c>
      <c r="C3789" s="23" t="s">
        <v>1366</v>
      </c>
      <c r="D3789" s="23" t="s">
        <v>19</v>
      </c>
      <c r="E3789" s="23" t="s">
        <v>1367</v>
      </c>
      <c r="F3789" s="23" t="s">
        <v>1368</v>
      </c>
      <c r="G3789" s="23" t="s">
        <v>1234</v>
      </c>
      <c r="H3789" s="23" t="s">
        <v>21</v>
      </c>
      <c r="I3789" s="23" t="s">
        <v>84</v>
      </c>
      <c r="J3789" s="23" t="s">
        <v>1369</v>
      </c>
      <c r="K3789" s="23" t="s">
        <v>1370</v>
      </c>
      <c r="L3789" s="23">
        <v>1</v>
      </c>
      <c r="M3789" s="23">
        <v>2</v>
      </c>
    </row>
    <row r="3790" spans="1:13">
      <c r="A3790" s="21">
        <v>42944</v>
      </c>
      <c r="B3790" s="22">
        <v>0.57916666666666672</v>
      </c>
      <c r="C3790" s="23" t="s">
        <v>1371</v>
      </c>
      <c r="D3790" s="23" t="s">
        <v>19</v>
      </c>
      <c r="E3790" s="23" t="s">
        <v>827</v>
      </c>
      <c r="F3790" s="23" t="s">
        <v>1372</v>
      </c>
      <c r="G3790" s="23" t="s">
        <v>1234</v>
      </c>
      <c r="H3790" s="23" t="s">
        <v>21</v>
      </c>
      <c r="I3790" s="23" t="s">
        <v>828</v>
      </c>
      <c r="J3790" s="23" t="s">
        <v>1235</v>
      </c>
      <c r="K3790" s="23" t="s">
        <v>1373</v>
      </c>
      <c r="L3790" s="23">
        <v>1</v>
      </c>
      <c r="M3790" s="23">
        <v>1</v>
      </c>
    </row>
    <row r="3791" spans="1:13">
      <c r="A3791" s="21">
        <v>42944</v>
      </c>
      <c r="B3791" s="22">
        <v>0.57847222222222217</v>
      </c>
      <c r="C3791" s="23" t="s">
        <v>1374</v>
      </c>
      <c r="D3791" s="23" t="s">
        <v>19</v>
      </c>
      <c r="E3791" s="23" t="s">
        <v>190</v>
      </c>
      <c r="F3791" s="23" t="s">
        <v>1375</v>
      </c>
      <c r="G3791" s="23" t="s">
        <v>1234</v>
      </c>
      <c r="H3791" s="23" t="s">
        <v>21</v>
      </c>
      <c r="I3791" s="23" t="s">
        <v>52</v>
      </c>
      <c r="J3791" s="23" t="s">
        <v>1235</v>
      </c>
      <c r="K3791" s="23" t="s">
        <v>1376</v>
      </c>
      <c r="L3791" s="23">
        <v>1</v>
      </c>
      <c r="M3791" s="23">
        <v>1</v>
      </c>
    </row>
    <row r="3792" spans="1:13">
      <c r="A3792" s="21">
        <v>42944</v>
      </c>
      <c r="B3792" s="22">
        <v>0.57708333333333328</v>
      </c>
      <c r="C3792" s="23" t="s">
        <v>1377</v>
      </c>
      <c r="D3792" s="23" t="s">
        <v>19</v>
      </c>
      <c r="E3792" s="23" t="s">
        <v>33</v>
      </c>
      <c r="F3792" s="23" t="s">
        <v>1378</v>
      </c>
      <c r="G3792" s="23" t="s">
        <v>1234</v>
      </c>
      <c r="H3792" s="23" t="s">
        <v>21</v>
      </c>
      <c r="I3792" s="23" t="s">
        <v>34</v>
      </c>
      <c r="J3792" s="23" t="s">
        <v>1235</v>
      </c>
      <c r="K3792" s="23" t="s">
        <v>1379</v>
      </c>
      <c r="L3792" s="23">
        <v>1</v>
      </c>
      <c r="M3792" s="23">
        <v>1</v>
      </c>
    </row>
    <row r="3793" spans="1:13">
      <c r="A3793" s="21">
        <v>42944</v>
      </c>
      <c r="B3793" s="22">
        <v>0.57500000000000007</v>
      </c>
      <c r="C3793" s="23" t="s">
        <v>1380</v>
      </c>
      <c r="D3793" s="23" t="s">
        <v>19</v>
      </c>
      <c r="E3793" s="23" t="s">
        <v>1381</v>
      </c>
      <c r="F3793" s="23" t="s">
        <v>1382</v>
      </c>
      <c r="G3793" s="23" t="s">
        <v>1234</v>
      </c>
      <c r="H3793" s="23" t="s">
        <v>21</v>
      </c>
      <c r="I3793" s="23" t="s">
        <v>36</v>
      </c>
      <c r="J3793" s="23" t="s">
        <v>1235</v>
      </c>
      <c r="K3793" s="23" t="s">
        <v>1383</v>
      </c>
      <c r="L3793" s="23">
        <v>1</v>
      </c>
      <c r="M3793" s="23">
        <v>1</v>
      </c>
    </row>
    <row r="3794" spans="1:13">
      <c r="A3794" s="21">
        <v>42944</v>
      </c>
      <c r="B3794" s="22">
        <v>0.56388888888888888</v>
      </c>
      <c r="C3794" s="23" t="s">
        <v>1384</v>
      </c>
      <c r="D3794" s="23" t="s">
        <v>19</v>
      </c>
      <c r="E3794" s="23" t="s">
        <v>1176</v>
      </c>
      <c r="F3794" s="23" t="s">
        <v>1385</v>
      </c>
      <c r="G3794" s="23" t="s">
        <v>1234</v>
      </c>
      <c r="H3794" s="23" t="s">
        <v>21</v>
      </c>
      <c r="I3794" s="23" t="s">
        <v>149</v>
      </c>
      <c r="J3794" s="23" t="s">
        <v>1235</v>
      </c>
      <c r="K3794" s="23" t="s">
        <v>1386</v>
      </c>
      <c r="L3794" s="23">
        <v>1</v>
      </c>
      <c r="M3794" s="23">
        <v>1</v>
      </c>
    </row>
    <row r="3795" spans="1:13">
      <c r="A3795" s="21">
        <v>42944</v>
      </c>
      <c r="B3795" s="22">
        <v>0.56319444444444444</v>
      </c>
      <c r="C3795" s="23" t="s">
        <v>1387</v>
      </c>
      <c r="D3795" s="23" t="s">
        <v>19</v>
      </c>
      <c r="E3795" s="23" t="s">
        <v>369</v>
      </c>
      <c r="F3795" s="23" t="s">
        <v>1388</v>
      </c>
      <c r="G3795" s="23" t="s">
        <v>1234</v>
      </c>
      <c r="H3795" s="23" t="s">
        <v>21</v>
      </c>
      <c r="I3795" s="23" t="s">
        <v>183</v>
      </c>
      <c r="J3795" s="23" t="s">
        <v>1235</v>
      </c>
      <c r="K3795" s="23" t="s">
        <v>1389</v>
      </c>
      <c r="L3795" s="23">
        <v>1</v>
      </c>
      <c r="M3795" s="23">
        <v>1</v>
      </c>
    </row>
    <row r="3796" spans="1:13">
      <c r="A3796" s="21">
        <v>42944</v>
      </c>
      <c r="B3796" s="22">
        <v>0.56319444444444444</v>
      </c>
      <c r="C3796" s="23" t="s">
        <v>1390</v>
      </c>
      <c r="D3796" s="23" t="s">
        <v>19</v>
      </c>
      <c r="E3796" s="23" t="s">
        <v>326</v>
      </c>
      <c r="F3796" s="23" t="s">
        <v>1391</v>
      </c>
      <c r="G3796" s="23" t="s">
        <v>1234</v>
      </c>
      <c r="H3796" s="23" t="s">
        <v>21</v>
      </c>
      <c r="I3796" s="23" t="s">
        <v>327</v>
      </c>
      <c r="J3796" s="23" t="s">
        <v>1235</v>
      </c>
      <c r="K3796" s="23" t="s">
        <v>1392</v>
      </c>
      <c r="L3796" s="23">
        <v>1</v>
      </c>
      <c r="M3796" s="23">
        <v>1</v>
      </c>
    </row>
    <row r="3797" spans="1:13">
      <c r="A3797" s="21">
        <v>42944</v>
      </c>
      <c r="B3797" s="22">
        <v>0.5625</v>
      </c>
      <c r="C3797" s="23" t="s">
        <v>1393</v>
      </c>
      <c r="D3797" s="23" t="s">
        <v>19</v>
      </c>
      <c r="E3797" s="23" t="s">
        <v>295</v>
      </c>
      <c r="F3797" s="23" t="s">
        <v>1394</v>
      </c>
      <c r="G3797" s="23" t="s">
        <v>1234</v>
      </c>
      <c r="H3797" s="23" t="s">
        <v>21</v>
      </c>
      <c r="I3797" s="23" t="s">
        <v>179</v>
      </c>
      <c r="J3797" s="23" t="s">
        <v>1235</v>
      </c>
      <c r="K3797" s="23" t="s">
        <v>1395</v>
      </c>
      <c r="L3797" s="23">
        <v>1</v>
      </c>
      <c r="M3797" s="23">
        <v>1</v>
      </c>
    </row>
    <row r="3798" spans="1:13">
      <c r="A3798" s="21">
        <v>42944</v>
      </c>
      <c r="B3798" s="22">
        <v>0.56180555555555556</v>
      </c>
      <c r="C3798" s="23" t="s">
        <v>1396</v>
      </c>
      <c r="D3798" s="23" t="s">
        <v>19</v>
      </c>
      <c r="E3798" s="23" t="s">
        <v>288</v>
      </c>
      <c r="F3798" s="23" t="s">
        <v>1397</v>
      </c>
      <c r="G3798" s="23" t="s">
        <v>1234</v>
      </c>
      <c r="H3798" s="23" t="s">
        <v>21</v>
      </c>
      <c r="I3798" s="23" t="s">
        <v>177</v>
      </c>
      <c r="J3798" s="23" t="s">
        <v>1235</v>
      </c>
      <c r="K3798" s="23" t="s">
        <v>1398</v>
      </c>
      <c r="L3798" s="23">
        <v>1</v>
      </c>
      <c r="M3798" s="23">
        <v>3</v>
      </c>
    </row>
    <row r="3799" spans="1:13">
      <c r="A3799" s="21">
        <v>42944</v>
      </c>
      <c r="B3799" s="22">
        <v>0.56180555555555556</v>
      </c>
      <c r="C3799" s="23" t="s">
        <v>1399</v>
      </c>
      <c r="D3799" s="23" t="s">
        <v>19</v>
      </c>
      <c r="E3799" s="23" t="s">
        <v>154</v>
      </c>
      <c r="F3799" s="23" t="s">
        <v>1400</v>
      </c>
      <c r="G3799" s="23" t="s">
        <v>1234</v>
      </c>
      <c r="H3799" s="23" t="s">
        <v>21</v>
      </c>
      <c r="I3799" s="23" t="s">
        <v>130</v>
      </c>
      <c r="J3799" s="23" t="s">
        <v>1235</v>
      </c>
      <c r="K3799" s="23" t="s">
        <v>1401</v>
      </c>
      <c r="L3799" s="23">
        <v>1</v>
      </c>
      <c r="M3799" s="23">
        <v>1</v>
      </c>
    </row>
    <row r="3800" spans="1:13">
      <c r="A3800" s="21">
        <v>42944</v>
      </c>
      <c r="B3800" s="22">
        <v>0.56111111111111112</v>
      </c>
      <c r="C3800" s="23" t="s">
        <v>1402</v>
      </c>
      <c r="D3800" s="23" t="s">
        <v>19</v>
      </c>
      <c r="E3800" s="23" t="s">
        <v>122</v>
      </c>
      <c r="F3800" s="23" t="s">
        <v>1403</v>
      </c>
      <c r="G3800" s="23" t="s">
        <v>1234</v>
      </c>
      <c r="H3800" s="23" t="s">
        <v>21</v>
      </c>
      <c r="I3800" s="23" t="s">
        <v>77</v>
      </c>
      <c r="J3800" s="23" t="s">
        <v>1235</v>
      </c>
      <c r="K3800" s="23" t="s">
        <v>1404</v>
      </c>
      <c r="L3800" s="23">
        <v>1</v>
      </c>
      <c r="M3800" s="23">
        <v>15</v>
      </c>
    </row>
    <row r="3801" spans="1:13">
      <c r="A3801" s="21">
        <v>42944</v>
      </c>
      <c r="B3801" s="22">
        <v>0.56041666666666667</v>
      </c>
      <c r="C3801" s="23" t="s">
        <v>1405</v>
      </c>
      <c r="D3801" s="23" t="s">
        <v>19</v>
      </c>
      <c r="E3801" s="23" t="s">
        <v>1406</v>
      </c>
      <c r="F3801" s="23" t="s">
        <v>1407</v>
      </c>
      <c r="G3801" s="23" t="s">
        <v>1234</v>
      </c>
      <c r="H3801" s="23" t="s">
        <v>21</v>
      </c>
      <c r="I3801" s="23" t="s">
        <v>654</v>
      </c>
      <c r="J3801" s="23" t="s">
        <v>1235</v>
      </c>
      <c r="K3801" s="23" t="s">
        <v>1408</v>
      </c>
      <c r="L3801" s="23">
        <v>1</v>
      </c>
      <c r="M3801" s="23">
        <v>1</v>
      </c>
    </row>
    <row r="3802" spans="1:13">
      <c r="A3802" s="21">
        <v>42944</v>
      </c>
      <c r="B3802" s="22">
        <v>0.55972222222222223</v>
      </c>
      <c r="C3802" s="23" t="s">
        <v>1409</v>
      </c>
      <c r="D3802" s="23" t="s">
        <v>19</v>
      </c>
      <c r="E3802" s="23" t="s">
        <v>114</v>
      </c>
      <c r="F3802" s="23" t="s">
        <v>1410</v>
      </c>
      <c r="G3802" s="23" t="s">
        <v>1234</v>
      </c>
      <c r="H3802" s="23" t="s">
        <v>21</v>
      </c>
      <c r="I3802" s="23" t="s">
        <v>115</v>
      </c>
      <c r="J3802" s="23" t="s">
        <v>1235</v>
      </c>
      <c r="K3802" s="23" t="s">
        <v>1411</v>
      </c>
      <c r="L3802" s="23">
        <v>1</v>
      </c>
      <c r="M3802" s="23">
        <v>1</v>
      </c>
    </row>
    <row r="3803" spans="1:13">
      <c r="A3803" s="21">
        <v>42944</v>
      </c>
      <c r="B3803" s="22">
        <v>0.54375000000000007</v>
      </c>
      <c r="C3803" s="23" t="s">
        <v>1412</v>
      </c>
      <c r="D3803" s="23" t="s">
        <v>19</v>
      </c>
      <c r="E3803" s="23" t="s">
        <v>220</v>
      </c>
      <c r="F3803" s="23" t="s">
        <v>1413</v>
      </c>
      <c r="G3803" s="23" t="s">
        <v>1234</v>
      </c>
      <c r="H3803" s="23" t="s">
        <v>21</v>
      </c>
      <c r="I3803" s="23" t="s">
        <v>90</v>
      </c>
      <c r="J3803" s="23" t="s">
        <v>1235</v>
      </c>
      <c r="K3803" s="23" t="s">
        <v>1414</v>
      </c>
      <c r="L3803" s="23">
        <v>1</v>
      </c>
      <c r="M3803" s="23">
        <v>1</v>
      </c>
    </row>
    <row r="3804" spans="1:13">
      <c r="A3804" s="21">
        <v>42944</v>
      </c>
      <c r="B3804" s="22">
        <v>0.54305555555555551</v>
      </c>
      <c r="C3804" s="23" t="s">
        <v>1415</v>
      </c>
      <c r="D3804" s="23" t="s">
        <v>19</v>
      </c>
      <c r="E3804" s="23" t="s">
        <v>1147</v>
      </c>
      <c r="F3804" s="23" t="s">
        <v>1416</v>
      </c>
      <c r="G3804" s="23" t="s">
        <v>1234</v>
      </c>
      <c r="H3804" s="23" t="s">
        <v>21</v>
      </c>
      <c r="I3804" s="23" t="s">
        <v>684</v>
      </c>
      <c r="J3804" s="23" t="s">
        <v>1235</v>
      </c>
      <c r="K3804" s="23" t="s">
        <v>1417</v>
      </c>
      <c r="L3804" s="23">
        <v>1</v>
      </c>
      <c r="M3804" s="23">
        <v>1</v>
      </c>
    </row>
    <row r="3805" spans="1:13">
      <c r="A3805" s="21">
        <v>42944</v>
      </c>
      <c r="B3805" s="22">
        <v>0.52430555555555558</v>
      </c>
      <c r="C3805" s="23" t="s">
        <v>1418</v>
      </c>
      <c r="D3805" s="23" t="s">
        <v>19</v>
      </c>
      <c r="E3805" s="23" t="s">
        <v>78</v>
      </c>
      <c r="F3805" s="23" t="s">
        <v>1419</v>
      </c>
      <c r="G3805" s="23" t="s">
        <v>1234</v>
      </c>
      <c r="H3805" s="23" t="s">
        <v>21</v>
      </c>
      <c r="I3805" s="23" t="s">
        <v>79</v>
      </c>
      <c r="J3805" s="23" t="s">
        <v>1235</v>
      </c>
      <c r="K3805" s="23" t="s">
        <v>1420</v>
      </c>
      <c r="L3805" s="23">
        <v>1</v>
      </c>
      <c r="M3805" s="23">
        <v>1</v>
      </c>
    </row>
    <row r="3806" spans="1:13">
      <c r="A3806" s="21">
        <v>42944</v>
      </c>
      <c r="B3806" s="22">
        <v>0.52361111111111114</v>
      </c>
      <c r="C3806" s="23" t="s">
        <v>1421</v>
      </c>
      <c r="D3806" s="23" t="s">
        <v>19</v>
      </c>
      <c r="E3806" s="23" t="s">
        <v>63</v>
      </c>
      <c r="F3806" s="23" t="s">
        <v>1422</v>
      </c>
      <c r="G3806" s="23" t="s">
        <v>1234</v>
      </c>
      <c r="H3806" s="23" t="s">
        <v>21</v>
      </c>
      <c r="I3806" s="23" t="s">
        <v>64</v>
      </c>
      <c r="J3806" s="23" t="s">
        <v>1235</v>
      </c>
      <c r="K3806" s="23" t="s">
        <v>1423</v>
      </c>
      <c r="L3806" s="23">
        <v>1</v>
      </c>
      <c r="M3806" s="23">
        <v>1</v>
      </c>
    </row>
    <row r="3807" spans="1:13">
      <c r="A3807" s="21">
        <v>42944</v>
      </c>
      <c r="B3807" s="22">
        <v>0.52361111111111114</v>
      </c>
      <c r="C3807" s="23" t="s">
        <v>1424</v>
      </c>
      <c r="D3807" s="23" t="s">
        <v>19</v>
      </c>
      <c r="E3807" s="23" t="s">
        <v>129</v>
      </c>
      <c r="F3807" s="23" t="s">
        <v>1425</v>
      </c>
      <c r="G3807" s="23" t="s">
        <v>1234</v>
      </c>
      <c r="H3807" s="23" t="s">
        <v>21</v>
      </c>
      <c r="I3807" s="23" t="s">
        <v>130</v>
      </c>
      <c r="J3807" s="23" t="s">
        <v>1235</v>
      </c>
      <c r="K3807" s="23" t="s">
        <v>1426</v>
      </c>
      <c r="L3807" s="23">
        <v>1</v>
      </c>
      <c r="M3807" s="23">
        <v>1</v>
      </c>
    </row>
    <row r="3808" spans="1:13">
      <c r="A3808" s="21">
        <v>42944</v>
      </c>
      <c r="B3808" s="22">
        <v>0.5229166666666667</v>
      </c>
      <c r="C3808" s="23" t="s">
        <v>1427</v>
      </c>
      <c r="D3808" s="23" t="s">
        <v>19</v>
      </c>
      <c r="E3808" s="23" t="s">
        <v>991</v>
      </c>
      <c r="F3808" s="23" t="s">
        <v>1428</v>
      </c>
      <c r="G3808" s="23" t="s">
        <v>1234</v>
      </c>
      <c r="H3808" s="23" t="s">
        <v>21</v>
      </c>
      <c r="I3808" s="23" t="s">
        <v>628</v>
      </c>
      <c r="J3808" s="23" t="s">
        <v>1235</v>
      </c>
      <c r="K3808" s="23" t="s">
        <v>1429</v>
      </c>
      <c r="L3808" s="23">
        <v>1</v>
      </c>
      <c r="M3808" s="23">
        <v>1</v>
      </c>
    </row>
    <row r="3809" spans="1:13">
      <c r="A3809" s="21">
        <v>42944</v>
      </c>
      <c r="B3809" s="22">
        <v>0.5229166666666667</v>
      </c>
      <c r="C3809" s="23" t="s">
        <v>1430</v>
      </c>
      <c r="D3809" s="23" t="s">
        <v>19</v>
      </c>
      <c r="E3809" s="23" t="s">
        <v>162</v>
      </c>
      <c r="F3809" s="23" t="s">
        <v>1431</v>
      </c>
      <c r="G3809" s="23" t="s">
        <v>1234</v>
      </c>
      <c r="H3809" s="23" t="s">
        <v>21</v>
      </c>
      <c r="I3809" s="23" t="s">
        <v>163</v>
      </c>
      <c r="J3809" s="23" t="s">
        <v>1235</v>
      </c>
      <c r="K3809" s="23" t="s">
        <v>1432</v>
      </c>
      <c r="L3809" s="23">
        <v>1</v>
      </c>
      <c r="M3809" s="23">
        <v>1</v>
      </c>
    </row>
    <row r="3810" spans="1:13">
      <c r="A3810" s="21">
        <v>42944</v>
      </c>
      <c r="B3810" s="22">
        <v>0.52152777777777781</v>
      </c>
      <c r="C3810" s="23" t="s">
        <v>1433</v>
      </c>
      <c r="D3810" s="23" t="s">
        <v>19</v>
      </c>
      <c r="E3810" s="23" t="s">
        <v>538</v>
      </c>
      <c r="F3810" s="23" t="s">
        <v>1434</v>
      </c>
      <c r="G3810" s="23" t="s">
        <v>1234</v>
      </c>
      <c r="H3810" s="23" t="s">
        <v>21</v>
      </c>
      <c r="I3810" s="23" t="s">
        <v>202</v>
      </c>
      <c r="J3810" s="23" t="s">
        <v>1235</v>
      </c>
      <c r="K3810" s="23" t="s">
        <v>1435</v>
      </c>
      <c r="L3810" s="23">
        <v>1</v>
      </c>
      <c r="M3810" s="23">
        <v>1</v>
      </c>
    </row>
    <row r="3811" spans="1:13">
      <c r="A3811" s="21">
        <v>42944</v>
      </c>
      <c r="B3811" s="22">
        <v>0.52152777777777781</v>
      </c>
      <c r="C3811" s="23" t="s">
        <v>1436</v>
      </c>
      <c r="D3811" s="23" t="s">
        <v>19</v>
      </c>
      <c r="E3811" s="23" t="s">
        <v>527</v>
      </c>
      <c r="F3811" s="23" t="s">
        <v>1437</v>
      </c>
      <c r="G3811" s="23" t="s">
        <v>1234</v>
      </c>
      <c r="H3811" s="23" t="s">
        <v>21</v>
      </c>
      <c r="I3811" s="23" t="s">
        <v>217</v>
      </c>
      <c r="J3811" s="23" t="s">
        <v>1235</v>
      </c>
      <c r="K3811" s="23" t="s">
        <v>1438</v>
      </c>
      <c r="L3811" s="23">
        <v>1</v>
      </c>
      <c r="M3811" s="23">
        <v>1</v>
      </c>
    </row>
    <row r="3812" spans="1:13">
      <c r="A3812" s="21">
        <v>42944</v>
      </c>
      <c r="B3812" s="22">
        <v>0.52083333333333337</v>
      </c>
      <c r="C3812" s="23" t="s">
        <v>1439</v>
      </c>
      <c r="D3812" s="23" t="s">
        <v>19</v>
      </c>
      <c r="E3812" s="23" t="s">
        <v>366</v>
      </c>
      <c r="F3812" s="23" t="s">
        <v>1440</v>
      </c>
      <c r="G3812" s="23" t="s">
        <v>1234</v>
      </c>
      <c r="H3812" s="23" t="s">
        <v>21</v>
      </c>
      <c r="I3812" s="23" t="s">
        <v>128</v>
      </c>
      <c r="J3812" s="23" t="s">
        <v>1235</v>
      </c>
      <c r="K3812" s="23" t="s">
        <v>1441</v>
      </c>
      <c r="L3812" s="23">
        <v>1</v>
      </c>
      <c r="M3812" s="23">
        <v>7</v>
      </c>
    </row>
    <row r="3813" spans="1:13">
      <c r="A3813" s="21">
        <v>42944</v>
      </c>
      <c r="B3813" s="22">
        <v>0.52013888888888882</v>
      </c>
      <c r="C3813" s="23" t="s">
        <v>1442</v>
      </c>
      <c r="D3813" s="23" t="s">
        <v>19</v>
      </c>
      <c r="E3813" s="23" t="s">
        <v>279</v>
      </c>
      <c r="F3813" s="23" t="s">
        <v>1443</v>
      </c>
      <c r="G3813" s="23" t="s">
        <v>1234</v>
      </c>
      <c r="H3813" s="23" t="s">
        <v>21</v>
      </c>
      <c r="I3813" s="23" t="s">
        <v>240</v>
      </c>
      <c r="J3813" s="23" t="s">
        <v>1235</v>
      </c>
      <c r="K3813" s="23" t="s">
        <v>1444</v>
      </c>
      <c r="L3813" s="23">
        <v>1</v>
      </c>
      <c r="M3813" s="23">
        <v>1</v>
      </c>
    </row>
    <row r="3814" spans="1:13">
      <c r="A3814" s="21">
        <v>42944</v>
      </c>
      <c r="B3814" s="22">
        <v>0.51874999999999993</v>
      </c>
      <c r="C3814" s="23" t="s">
        <v>1445</v>
      </c>
      <c r="D3814" s="23" t="s">
        <v>19</v>
      </c>
      <c r="E3814" s="23" t="s">
        <v>860</v>
      </c>
      <c r="F3814" s="23" t="s">
        <v>1308</v>
      </c>
      <c r="G3814" s="23" t="s">
        <v>1234</v>
      </c>
      <c r="H3814" s="23" t="s">
        <v>21</v>
      </c>
      <c r="I3814" s="23" t="s">
        <v>217</v>
      </c>
      <c r="J3814" s="23" t="s">
        <v>1235</v>
      </c>
      <c r="K3814" s="23" t="s">
        <v>1446</v>
      </c>
      <c r="L3814" s="23">
        <v>1</v>
      </c>
      <c r="M3814" s="23">
        <v>4</v>
      </c>
    </row>
    <row r="3815" spans="1:13">
      <c r="A3815" s="21">
        <v>42944</v>
      </c>
      <c r="B3815" s="22">
        <v>0.51874999999999993</v>
      </c>
      <c r="C3815" s="23" t="s">
        <v>1447</v>
      </c>
      <c r="D3815" s="23" t="s">
        <v>19</v>
      </c>
      <c r="E3815" s="23" t="s">
        <v>1218</v>
      </c>
      <c r="F3815" s="23" t="s">
        <v>1448</v>
      </c>
      <c r="G3815" s="23" t="s">
        <v>1234</v>
      </c>
      <c r="H3815" s="23" t="s">
        <v>21</v>
      </c>
      <c r="I3815" s="23" t="s">
        <v>1219</v>
      </c>
      <c r="J3815" s="23" t="s">
        <v>1235</v>
      </c>
      <c r="K3815" s="23" t="s">
        <v>1449</v>
      </c>
      <c r="L3815" s="23">
        <v>1</v>
      </c>
      <c r="M3815" s="23">
        <v>2</v>
      </c>
    </row>
    <row r="3816" spans="1:13">
      <c r="A3816" s="21">
        <v>42944</v>
      </c>
      <c r="B3816" s="22">
        <v>0.5180555555555556</v>
      </c>
      <c r="C3816" s="23" t="s">
        <v>1450</v>
      </c>
      <c r="D3816" s="23" t="s">
        <v>19</v>
      </c>
      <c r="E3816" s="23" t="s">
        <v>397</v>
      </c>
      <c r="F3816" s="23" t="s">
        <v>1451</v>
      </c>
      <c r="G3816" s="23" t="s">
        <v>1234</v>
      </c>
      <c r="H3816" s="23" t="s">
        <v>21</v>
      </c>
      <c r="I3816" s="23" t="s">
        <v>1025</v>
      </c>
      <c r="J3816" s="23" t="s">
        <v>1235</v>
      </c>
      <c r="K3816" s="23" t="s">
        <v>1452</v>
      </c>
      <c r="L3816" s="23">
        <v>1</v>
      </c>
      <c r="M3816" s="23">
        <v>2</v>
      </c>
    </row>
    <row r="3817" spans="1:13">
      <c r="A3817" s="21">
        <v>42944</v>
      </c>
      <c r="B3817" s="22">
        <v>0.51736111111111105</v>
      </c>
      <c r="C3817" s="23" t="s">
        <v>1453</v>
      </c>
      <c r="D3817" s="23" t="s">
        <v>19</v>
      </c>
      <c r="E3817" s="23" t="s">
        <v>312</v>
      </c>
      <c r="F3817" s="23" t="s">
        <v>1454</v>
      </c>
      <c r="G3817" s="23" t="s">
        <v>1234</v>
      </c>
      <c r="H3817" s="23" t="s">
        <v>21</v>
      </c>
      <c r="I3817" s="23" t="s">
        <v>313</v>
      </c>
      <c r="J3817" s="23" t="s">
        <v>1235</v>
      </c>
      <c r="K3817" s="23" t="s">
        <v>1455</v>
      </c>
      <c r="L3817" s="23">
        <v>1</v>
      </c>
      <c r="M3817" s="23">
        <v>7</v>
      </c>
    </row>
    <row r="3818" spans="1:13">
      <c r="A3818" s="21">
        <v>42944</v>
      </c>
      <c r="B3818" s="22">
        <v>0.51736111111111105</v>
      </c>
      <c r="C3818" s="23" t="s">
        <v>1456</v>
      </c>
      <c r="D3818" s="23" t="s">
        <v>19</v>
      </c>
      <c r="E3818" s="23" t="s">
        <v>507</v>
      </c>
      <c r="F3818" s="23" t="s">
        <v>1457</v>
      </c>
      <c r="G3818" s="23" t="s">
        <v>1234</v>
      </c>
      <c r="H3818" s="23" t="s">
        <v>21</v>
      </c>
      <c r="I3818" s="23" t="s">
        <v>38</v>
      </c>
      <c r="J3818" s="23" t="s">
        <v>1235</v>
      </c>
      <c r="K3818" s="23" t="s">
        <v>1458</v>
      </c>
      <c r="L3818" s="23">
        <v>1</v>
      </c>
      <c r="M3818" s="23">
        <v>3</v>
      </c>
    </row>
    <row r="3819" spans="1:13">
      <c r="A3819" s="21">
        <v>42944</v>
      </c>
      <c r="B3819" s="22">
        <v>0.51666666666666672</v>
      </c>
      <c r="C3819" s="23" t="s">
        <v>1459</v>
      </c>
      <c r="D3819" s="23" t="s">
        <v>19</v>
      </c>
      <c r="E3819" s="23" t="s">
        <v>1460</v>
      </c>
      <c r="F3819" s="23" t="s">
        <v>1461</v>
      </c>
      <c r="G3819" s="23" t="s">
        <v>1234</v>
      </c>
      <c r="H3819" s="23" t="s">
        <v>21</v>
      </c>
      <c r="I3819" s="23" t="s">
        <v>1462</v>
      </c>
      <c r="J3819" s="23" t="s">
        <v>1235</v>
      </c>
      <c r="K3819" s="23" t="s">
        <v>1463</v>
      </c>
      <c r="L3819" s="23">
        <v>1</v>
      </c>
      <c r="M3819" s="23">
        <v>9</v>
      </c>
    </row>
    <row r="3820" spans="1:13">
      <c r="A3820" s="21">
        <v>42944</v>
      </c>
      <c r="B3820" s="22">
        <v>0.50972222222222219</v>
      </c>
      <c r="C3820" s="23" t="s">
        <v>1464</v>
      </c>
      <c r="D3820" s="23" t="s">
        <v>19</v>
      </c>
      <c r="E3820" s="23" t="s">
        <v>752</v>
      </c>
      <c r="F3820" s="23" t="s">
        <v>1465</v>
      </c>
      <c r="G3820" s="23" t="s">
        <v>1253</v>
      </c>
      <c r="H3820" s="23" t="s">
        <v>21</v>
      </c>
      <c r="I3820" s="23" t="s">
        <v>753</v>
      </c>
      <c r="J3820" s="23" t="s">
        <v>1235</v>
      </c>
      <c r="K3820" s="23" t="s">
        <v>1466</v>
      </c>
      <c r="L3820" s="23">
        <v>3</v>
      </c>
      <c r="M3820" s="23">
        <v>23</v>
      </c>
    </row>
    <row r="3821" spans="1:13">
      <c r="A3821" s="21">
        <v>42944</v>
      </c>
      <c r="B3821" s="22">
        <v>0.50972222222222219</v>
      </c>
      <c r="C3821" s="23" t="s">
        <v>1464</v>
      </c>
      <c r="D3821" s="23" t="s">
        <v>19</v>
      </c>
      <c r="E3821" s="23" t="s">
        <v>752</v>
      </c>
      <c r="F3821" s="23" t="s">
        <v>1465</v>
      </c>
      <c r="G3821" s="23" t="s">
        <v>1253</v>
      </c>
      <c r="H3821" s="23" t="s">
        <v>21</v>
      </c>
      <c r="I3821" s="23" t="s">
        <v>753</v>
      </c>
      <c r="J3821" s="23"/>
      <c r="K3821" s="23" t="s">
        <v>1467</v>
      </c>
      <c r="L3821" s="23">
        <v>3</v>
      </c>
      <c r="M3821" s="23">
        <v>23</v>
      </c>
    </row>
    <row r="3822" spans="1:13">
      <c r="A3822" s="21">
        <v>42944</v>
      </c>
      <c r="B3822" s="22">
        <v>0.50972222222222219</v>
      </c>
      <c r="C3822" s="23" t="s">
        <v>1464</v>
      </c>
      <c r="D3822" s="23" t="s">
        <v>19</v>
      </c>
      <c r="E3822" s="23" t="s">
        <v>752</v>
      </c>
      <c r="F3822" s="23" t="s">
        <v>1465</v>
      </c>
      <c r="G3822" s="23" t="s">
        <v>1253</v>
      </c>
      <c r="H3822" s="23" t="s">
        <v>21</v>
      </c>
      <c r="I3822" s="23" t="s">
        <v>753</v>
      </c>
      <c r="J3822" s="23"/>
      <c r="K3822" s="23" t="s">
        <v>1468</v>
      </c>
      <c r="L3822" s="23">
        <v>3</v>
      </c>
      <c r="M3822" s="23">
        <v>23</v>
      </c>
    </row>
    <row r="3823" spans="1:13">
      <c r="A3823" s="21">
        <v>42944</v>
      </c>
      <c r="B3823" s="22">
        <v>0.50902777777777775</v>
      </c>
      <c r="C3823" s="23" t="s">
        <v>1469</v>
      </c>
      <c r="D3823" s="23" t="s">
        <v>19</v>
      </c>
      <c r="E3823" s="23" t="s">
        <v>39</v>
      </c>
      <c r="F3823" s="23" t="s">
        <v>1470</v>
      </c>
      <c r="G3823" s="23" t="s">
        <v>1234</v>
      </c>
      <c r="H3823" s="23" t="s">
        <v>21</v>
      </c>
      <c r="I3823" s="23" t="s">
        <v>40</v>
      </c>
      <c r="J3823" s="23" t="s">
        <v>1235</v>
      </c>
      <c r="K3823" s="23" t="s">
        <v>1471</v>
      </c>
      <c r="L3823" s="23">
        <v>1</v>
      </c>
      <c r="M3823" s="23">
        <v>13</v>
      </c>
    </row>
    <row r="3824" spans="1:13">
      <c r="A3824" s="21">
        <v>42944</v>
      </c>
      <c r="B3824" s="22">
        <v>0.50624999999999998</v>
      </c>
      <c r="C3824" s="23" t="s">
        <v>1472</v>
      </c>
      <c r="D3824" s="23" t="s">
        <v>19</v>
      </c>
      <c r="E3824" s="23" t="s">
        <v>1473</v>
      </c>
      <c r="F3824" s="23" t="s">
        <v>1474</v>
      </c>
      <c r="G3824" s="23" t="s">
        <v>1239</v>
      </c>
      <c r="H3824" s="23" t="s">
        <v>21</v>
      </c>
      <c r="I3824" s="23" t="s">
        <v>1475</v>
      </c>
      <c r="J3824" s="23" t="s">
        <v>1235</v>
      </c>
      <c r="K3824" s="23" t="s">
        <v>1476</v>
      </c>
      <c r="L3824" s="23">
        <v>1</v>
      </c>
      <c r="M3824" s="23">
        <v>7</v>
      </c>
    </row>
    <row r="3825" spans="1:13">
      <c r="A3825" s="21">
        <v>42944</v>
      </c>
      <c r="B3825" s="22">
        <v>0.50138888888888888</v>
      </c>
      <c r="C3825" s="23" t="s">
        <v>1477</v>
      </c>
      <c r="D3825" s="23" t="s">
        <v>19</v>
      </c>
      <c r="E3825" s="23" t="s">
        <v>459</v>
      </c>
      <c r="F3825" s="23" t="s">
        <v>1478</v>
      </c>
      <c r="G3825" s="23" t="s">
        <v>1234</v>
      </c>
      <c r="H3825" s="23" t="s">
        <v>21</v>
      </c>
      <c r="I3825" s="23" t="s">
        <v>330</v>
      </c>
      <c r="J3825" s="23" t="s">
        <v>1235</v>
      </c>
      <c r="K3825" s="23" t="s">
        <v>1479</v>
      </c>
      <c r="L3825" s="23">
        <v>1</v>
      </c>
      <c r="M3825" s="23">
        <v>1</v>
      </c>
    </row>
    <row r="3826" spans="1:13">
      <c r="A3826" s="21">
        <v>42944</v>
      </c>
      <c r="B3826" s="22">
        <v>0.4909722222222222</v>
      </c>
      <c r="C3826" s="23" t="s">
        <v>1480</v>
      </c>
      <c r="D3826" s="23" t="s">
        <v>19</v>
      </c>
      <c r="E3826" s="23" t="s">
        <v>78</v>
      </c>
      <c r="F3826" s="23" t="s">
        <v>1481</v>
      </c>
      <c r="G3826" s="23" t="s">
        <v>1234</v>
      </c>
      <c r="H3826" s="23" t="s">
        <v>21</v>
      </c>
      <c r="I3826" s="23" t="s">
        <v>79</v>
      </c>
      <c r="J3826" s="23" t="s">
        <v>1235</v>
      </c>
      <c r="K3826" s="23" t="s">
        <v>1482</v>
      </c>
      <c r="L3826" s="23">
        <v>1</v>
      </c>
      <c r="M3826" s="23">
        <v>1</v>
      </c>
    </row>
    <row r="3827" spans="1:13">
      <c r="A3827" s="21">
        <v>42944</v>
      </c>
      <c r="B3827" s="22">
        <v>0.48958333333333331</v>
      </c>
      <c r="C3827" s="23" t="s">
        <v>1483</v>
      </c>
      <c r="D3827" s="23" t="s">
        <v>19</v>
      </c>
      <c r="E3827" s="23" t="s">
        <v>827</v>
      </c>
      <c r="F3827" s="23" t="s">
        <v>1484</v>
      </c>
      <c r="G3827" s="23" t="s">
        <v>1253</v>
      </c>
      <c r="H3827" s="23" t="s">
        <v>21</v>
      </c>
      <c r="I3827" s="23" t="s">
        <v>828</v>
      </c>
      <c r="J3827" s="23" t="s">
        <v>1235</v>
      </c>
      <c r="K3827" s="23" t="s">
        <v>1485</v>
      </c>
      <c r="L3827" s="23">
        <v>2</v>
      </c>
      <c r="M3827" s="23">
        <v>14</v>
      </c>
    </row>
    <row r="3828" spans="1:13">
      <c r="A3828" s="21">
        <v>42944</v>
      </c>
      <c r="B3828" s="22">
        <v>0.48958333333333331</v>
      </c>
      <c r="C3828" s="23" t="s">
        <v>1483</v>
      </c>
      <c r="D3828" s="23" t="s">
        <v>19</v>
      </c>
      <c r="E3828" s="23" t="s">
        <v>827</v>
      </c>
      <c r="F3828" s="23" t="s">
        <v>1484</v>
      </c>
      <c r="G3828" s="23" t="s">
        <v>1253</v>
      </c>
      <c r="H3828" s="23" t="s">
        <v>21</v>
      </c>
      <c r="I3828" s="23" t="s">
        <v>828</v>
      </c>
      <c r="J3828" s="23"/>
      <c r="K3828" s="23" t="s">
        <v>1486</v>
      </c>
      <c r="L3828" s="23">
        <v>2</v>
      </c>
      <c r="M3828" s="23">
        <v>14</v>
      </c>
    </row>
    <row r="3829" spans="1:13">
      <c r="A3829" s="21">
        <v>42944</v>
      </c>
      <c r="B3829" s="22">
        <v>0.48958333333333331</v>
      </c>
      <c r="C3829" s="23" t="s">
        <v>1487</v>
      </c>
      <c r="D3829" s="23" t="s">
        <v>19</v>
      </c>
      <c r="E3829" s="23" t="s">
        <v>255</v>
      </c>
      <c r="F3829" s="23" t="s">
        <v>1488</v>
      </c>
      <c r="G3829" s="23" t="s">
        <v>1253</v>
      </c>
      <c r="H3829" s="23" t="s">
        <v>21</v>
      </c>
      <c r="I3829" s="23" t="s">
        <v>256</v>
      </c>
      <c r="J3829" s="23" t="s">
        <v>1235</v>
      </c>
      <c r="K3829" s="23" t="s">
        <v>1489</v>
      </c>
      <c r="L3829" s="23">
        <v>1</v>
      </c>
      <c r="M3829" s="23">
        <v>28</v>
      </c>
    </row>
    <row r="3830" spans="1:13">
      <c r="A3830" s="21">
        <v>42944</v>
      </c>
      <c r="B3830" s="22">
        <v>0.48819444444444443</v>
      </c>
      <c r="C3830" s="23" t="s">
        <v>1490</v>
      </c>
      <c r="D3830" s="23" t="s">
        <v>19</v>
      </c>
      <c r="E3830" s="23" t="s">
        <v>376</v>
      </c>
      <c r="F3830" s="23" t="s">
        <v>1491</v>
      </c>
      <c r="G3830" s="23" t="s">
        <v>1234</v>
      </c>
      <c r="H3830" s="23" t="s">
        <v>21</v>
      </c>
      <c r="I3830" s="23" t="s">
        <v>377</v>
      </c>
      <c r="J3830" s="23" t="s">
        <v>1235</v>
      </c>
      <c r="K3830" s="23" t="s">
        <v>1492</v>
      </c>
      <c r="L3830" s="23">
        <v>1</v>
      </c>
      <c r="M3830" s="23">
        <v>6</v>
      </c>
    </row>
    <row r="3831" spans="1:13">
      <c r="A3831" s="21">
        <v>42944</v>
      </c>
      <c r="B3831" s="22">
        <v>0.48749999999999999</v>
      </c>
      <c r="C3831" s="23" t="s">
        <v>1493</v>
      </c>
      <c r="D3831" s="23" t="s">
        <v>19</v>
      </c>
      <c r="E3831" s="23" t="s">
        <v>825</v>
      </c>
      <c r="F3831" s="23" t="s">
        <v>1494</v>
      </c>
      <c r="G3831" s="23" t="s">
        <v>1234</v>
      </c>
      <c r="H3831" s="23" t="s">
        <v>21</v>
      </c>
      <c r="I3831" s="23" t="s">
        <v>724</v>
      </c>
      <c r="J3831" s="23" t="s">
        <v>1235</v>
      </c>
      <c r="K3831" s="23" t="s">
        <v>1495</v>
      </c>
      <c r="L3831" s="23">
        <v>1</v>
      </c>
      <c r="M3831" s="23">
        <v>1</v>
      </c>
    </row>
    <row r="3832" spans="1:13">
      <c r="A3832" s="21">
        <v>42944</v>
      </c>
      <c r="B3832" s="22">
        <v>0.48680555555555555</v>
      </c>
      <c r="C3832" s="23" t="s">
        <v>1496</v>
      </c>
      <c r="D3832" s="23" t="s">
        <v>19</v>
      </c>
      <c r="E3832" s="23" t="s">
        <v>255</v>
      </c>
      <c r="F3832" s="23" t="s">
        <v>1488</v>
      </c>
      <c r="G3832" s="23" t="s">
        <v>1234</v>
      </c>
      <c r="H3832" s="23" t="s">
        <v>21</v>
      </c>
      <c r="I3832" s="23" t="s">
        <v>256</v>
      </c>
      <c r="J3832" s="23" t="s">
        <v>1235</v>
      </c>
      <c r="K3832" s="23" t="s">
        <v>1497</v>
      </c>
      <c r="L3832" s="23">
        <v>1</v>
      </c>
      <c r="M3832" s="23">
        <v>2</v>
      </c>
    </row>
    <row r="3833" spans="1:13">
      <c r="A3833" s="21">
        <v>42944</v>
      </c>
      <c r="B3833" s="22">
        <v>0.4861111111111111</v>
      </c>
      <c r="C3833" s="23" t="s">
        <v>1498</v>
      </c>
      <c r="D3833" s="23" t="s">
        <v>19</v>
      </c>
      <c r="E3833" s="23" t="s">
        <v>376</v>
      </c>
      <c r="F3833" s="23" t="s">
        <v>1499</v>
      </c>
      <c r="G3833" s="23" t="s">
        <v>1253</v>
      </c>
      <c r="H3833" s="23" t="s">
        <v>21</v>
      </c>
      <c r="I3833" s="23" t="s">
        <v>377</v>
      </c>
      <c r="J3833" s="23" t="s">
        <v>1235</v>
      </c>
      <c r="K3833" s="23" t="s">
        <v>1500</v>
      </c>
      <c r="L3833" s="23">
        <v>1</v>
      </c>
      <c r="M3833" s="23">
        <v>9</v>
      </c>
    </row>
    <row r="3834" spans="1:13">
      <c r="A3834" s="21">
        <v>42944</v>
      </c>
      <c r="B3834" s="22">
        <v>0.48541666666666666</v>
      </c>
      <c r="C3834" s="23" t="s">
        <v>1501</v>
      </c>
      <c r="D3834" s="23" t="s">
        <v>19</v>
      </c>
      <c r="E3834" s="23" t="s">
        <v>376</v>
      </c>
      <c r="F3834" s="23" t="s">
        <v>1502</v>
      </c>
      <c r="G3834" s="23" t="s">
        <v>1234</v>
      </c>
      <c r="H3834" s="23" t="s">
        <v>21</v>
      </c>
      <c r="I3834" s="23" t="s">
        <v>377</v>
      </c>
      <c r="J3834" s="23" t="s">
        <v>1235</v>
      </c>
      <c r="K3834" s="23" t="s">
        <v>1503</v>
      </c>
      <c r="L3834" s="23">
        <v>1</v>
      </c>
      <c r="M3834" s="23">
        <v>6</v>
      </c>
    </row>
    <row r="3835" spans="1:13">
      <c r="A3835" s="21">
        <v>42944</v>
      </c>
      <c r="B3835" s="22">
        <v>0.48472222222222222</v>
      </c>
      <c r="C3835" s="23" t="s">
        <v>1504</v>
      </c>
      <c r="D3835" s="23" t="s">
        <v>19</v>
      </c>
      <c r="E3835" s="23" t="s">
        <v>376</v>
      </c>
      <c r="F3835" s="23" t="s">
        <v>1505</v>
      </c>
      <c r="G3835" s="23" t="s">
        <v>1234</v>
      </c>
      <c r="H3835" s="23" t="s">
        <v>21</v>
      </c>
      <c r="I3835" s="23" t="s">
        <v>377</v>
      </c>
      <c r="J3835" s="23" t="s">
        <v>1235</v>
      </c>
      <c r="K3835" s="23" t="s">
        <v>1506</v>
      </c>
      <c r="L3835" s="23">
        <v>1</v>
      </c>
      <c r="M3835" s="23">
        <v>1</v>
      </c>
    </row>
    <row r="3836" spans="1:13">
      <c r="A3836" s="21">
        <v>42944</v>
      </c>
      <c r="B3836" s="22">
        <v>0.48472222222222222</v>
      </c>
      <c r="C3836" s="23" t="s">
        <v>1507</v>
      </c>
      <c r="D3836" s="23" t="s">
        <v>19</v>
      </c>
      <c r="E3836" s="23" t="s">
        <v>1508</v>
      </c>
      <c r="F3836" s="23" t="s">
        <v>1509</v>
      </c>
      <c r="G3836" s="23" t="s">
        <v>1234</v>
      </c>
      <c r="H3836" s="23" t="s">
        <v>21</v>
      </c>
      <c r="I3836" s="23" t="s">
        <v>1510</v>
      </c>
      <c r="J3836" s="23" t="s">
        <v>1235</v>
      </c>
      <c r="K3836" s="23" t="s">
        <v>1511</v>
      </c>
      <c r="L3836" s="23">
        <v>1</v>
      </c>
      <c r="M3836" s="23">
        <v>1</v>
      </c>
    </row>
    <row r="3837" spans="1:13">
      <c r="A3837" s="21">
        <v>42944</v>
      </c>
      <c r="B3837" s="22">
        <v>0.48402777777777778</v>
      </c>
      <c r="C3837" s="23" t="s">
        <v>1512</v>
      </c>
      <c r="D3837" s="23" t="s">
        <v>19</v>
      </c>
      <c r="E3837" s="23" t="s">
        <v>376</v>
      </c>
      <c r="F3837" s="23" t="s">
        <v>1513</v>
      </c>
      <c r="G3837" s="23" t="s">
        <v>1234</v>
      </c>
      <c r="H3837" s="23" t="s">
        <v>21</v>
      </c>
      <c r="I3837" s="23" t="s">
        <v>377</v>
      </c>
      <c r="J3837" s="23" t="s">
        <v>1235</v>
      </c>
      <c r="K3837" s="23" t="s">
        <v>1514</v>
      </c>
      <c r="L3837" s="23">
        <v>1</v>
      </c>
      <c r="M3837" s="23">
        <v>1</v>
      </c>
    </row>
    <row r="3838" spans="1:13">
      <c r="A3838" s="21">
        <v>42944</v>
      </c>
      <c r="B3838" s="22">
        <v>0.48402777777777778</v>
      </c>
      <c r="C3838" s="23" t="s">
        <v>1515</v>
      </c>
      <c r="D3838" s="23" t="s">
        <v>19</v>
      </c>
      <c r="E3838" s="23" t="s">
        <v>33</v>
      </c>
      <c r="F3838" s="23" t="s">
        <v>1516</v>
      </c>
      <c r="G3838" s="23" t="s">
        <v>1234</v>
      </c>
      <c r="H3838" s="23" t="s">
        <v>21</v>
      </c>
      <c r="I3838" s="23" t="s">
        <v>34</v>
      </c>
      <c r="J3838" s="23" t="s">
        <v>1235</v>
      </c>
      <c r="K3838" s="23" t="s">
        <v>1517</v>
      </c>
      <c r="L3838" s="23">
        <v>1</v>
      </c>
      <c r="M3838" s="23">
        <v>1</v>
      </c>
    </row>
    <row r="3839" spans="1:13">
      <c r="A3839" s="21">
        <v>42944</v>
      </c>
      <c r="B3839" s="22">
        <v>0.48333333333333334</v>
      </c>
      <c r="C3839" s="23" t="s">
        <v>1518</v>
      </c>
      <c r="D3839" s="23" t="s">
        <v>19</v>
      </c>
      <c r="E3839" s="23" t="s">
        <v>1519</v>
      </c>
      <c r="F3839" s="23" t="s">
        <v>1520</v>
      </c>
      <c r="G3839" s="23" t="s">
        <v>1234</v>
      </c>
      <c r="H3839" s="23" t="s">
        <v>21</v>
      </c>
      <c r="I3839" s="23" t="s">
        <v>400</v>
      </c>
      <c r="J3839" s="23" t="s">
        <v>1235</v>
      </c>
      <c r="K3839" s="23" t="s">
        <v>1521</v>
      </c>
      <c r="L3839" s="23">
        <v>1</v>
      </c>
      <c r="M3839" s="23">
        <v>1</v>
      </c>
    </row>
    <row r="3840" spans="1:13">
      <c r="A3840" s="21">
        <v>42944</v>
      </c>
      <c r="B3840" s="22">
        <v>0.48333333333333334</v>
      </c>
      <c r="C3840" s="23" t="s">
        <v>1522</v>
      </c>
      <c r="D3840" s="23" t="s">
        <v>19</v>
      </c>
      <c r="E3840" s="23" t="s">
        <v>39</v>
      </c>
      <c r="F3840" s="23" t="s">
        <v>1523</v>
      </c>
      <c r="G3840" s="23" t="s">
        <v>1234</v>
      </c>
      <c r="H3840" s="23" t="s">
        <v>21</v>
      </c>
      <c r="I3840" s="23" t="s">
        <v>40</v>
      </c>
      <c r="J3840" s="23" t="s">
        <v>1235</v>
      </c>
      <c r="K3840" s="23" t="s">
        <v>1524</v>
      </c>
      <c r="L3840" s="23">
        <v>1</v>
      </c>
      <c r="M3840" s="23">
        <v>1</v>
      </c>
    </row>
    <row r="3841" spans="1:13">
      <c r="A3841" s="21">
        <v>42944</v>
      </c>
      <c r="B3841" s="22">
        <v>0.4826388888888889</v>
      </c>
      <c r="C3841" s="23" t="s">
        <v>1525</v>
      </c>
      <c r="D3841" s="23" t="s">
        <v>19</v>
      </c>
      <c r="E3841" s="23" t="s">
        <v>1526</v>
      </c>
      <c r="F3841" s="23" t="s">
        <v>1527</v>
      </c>
      <c r="G3841" s="23" t="s">
        <v>1234</v>
      </c>
      <c r="H3841" s="23" t="s">
        <v>21</v>
      </c>
      <c r="I3841" s="23" t="s">
        <v>311</v>
      </c>
      <c r="J3841" s="23" t="s">
        <v>1235</v>
      </c>
      <c r="K3841" s="23" t="s">
        <v>1528</v>
      </c>
      <c r="L3841" s="23">
        <v>1</v>
      </c>
      <c r="M3841" s="23">
        <v>1</v>
      </c>
    </row>
    <row r="3842" spans="1:13">
      <c r="A3842" s="21">
        <v>42944</v>
      </c>
      <c r="B3842" s="22">
        <v>0.4826388888888889</v>
      </c>
      <c r="C3842" s="23" t="s">
        <v>1529</v>
      </c>
      <c r="D3842" s="23" t="s">
        <v>19</v>
      </c>
      <c r="E3842" s="23" t="s">
        <v>752</v>
      </c>
      <c r="F3842" s="23" t="s">
        <v>1530</v>
      </c>
      <c r="G3842" s="23" t="s">
        <v>1234</v>
      </c>
      <c r="H3842" s="23" t="s">
        <v>21</v>
      </c>
      <c r="I3842" s="23" t="s">
        <v>753</v>
      </c>
      <c r="J3842" s="23" t="s">
        <v>1235</v>
      </c>
      <c r="K3842" s="23" t="s">
        <v>1531</v>
      </c>
      <c r="L3842" s="23">
        <v>1</v>
      </c>
      <c r="M3842" s="23">
        <v>1</v>
      </c>
    </row>
    <row r="3843" spans="1:13">
      <c r="A3843" s="21">
        <v>42944</v>
      </c>
      <c r="B3843" s="22">
        <v>0.48194444444444445</v>
      </c>
      <c r="C3843" s="23" t="s">
        <v>1532</v>
      </c>
      <c r="D3843" s="23" t="s">
        <v>19</v>
      </c>
      <c r="E3843" s="23" t="s">
        <v>110</v>
      </c>
      <c r="F3843" s="23" t="s">
        <v>1533</v>
      </c>
      <c r="G3843" s="23" t="s">
        <v>1234</v>
      </c>
      <c r="H3843" s="23" t="s">
        <v>21</v>
      </c>
      <c r="I3843" s="23" t="s">
        <v>111</v>
      </c>
      <c r="J3843" s="23" t="s">
        <v>1235</v>
      </c>
      <c r="K3843" s="23" t="s">
        <v>1534</v>
      </c>
      <c r="L3843" s="23">
        <v>1</v>
      </c>
      <c r="M3843" s="23">
        <v>1</v>
      </c>
    </row>
    <row r="3844" spans="1:13">
      <c r="A3844" s="21">
        <v>42944</v>
      </c>
      <c r="B3844" s="22">
        <v>0.48125000000000001</v>
      </c>
      <c r="C3844" s="23" t="s">
        <v>1535</v>
      </c>
      <c r="D3844" s="23" t="s">
        <v>19</v>
      </c>
      <c r="E3844" s="23" t="s">
        <v>245</v>
      </c>
      <c r="F3844" s="23" t="s">
        <v>1536</v>
      </c>
      <c r="G3844" s="23" t="s">
        <v>1234</v>
      </c>
      <c r="H3844" s="23" t="s">
        <v>21</v>
      </c>
      <c r="I3844" s="23" t="s">
        <v>246</v>
      </c>
      <c r="J3844" s="23" t="s">
        <v>1235</v>
      </c>
      <c r="K3844" s="23" t="s">
        <v>1537</v>
      </c>
      <c r="L3844" s="23">
        <v>1</v>
      </c>
      <c r="M3844" s="23">
        <v>1</v>
      </c>
    </row>
    <row r="3845" spans="1:13">
      <c r="A3845" s="21">
        <v>42944</v>
      </c>
      <c r="B3845" s="22">
        <v>0.48125000000000001</v>
      </c>
      <c r="C3845" s="23" t="s">
        <v>1538</v>
      </c>
      <c r="D3845" s="23" t="s">
        <v>19</v>
      </c>
      <c r="E3845" s="23" t="s">
        <v>403</v>
      </c>
      <c r="F3845" s="23" t="s">
        <v>1539</v>
      </c>
      <c r="G3845" s="23" t="s">
        <v>1234</v>
      </c>
      <c r="H3845" s="23" t="s">
        <v>21</v>
      </c>
      <c r="I3845" s="23" t="s">
        <v>222</v>
      </c>
      <c r="J3845" s="23" t="s">
        <v>1235</v>
      </c>
      <c r="K3845" s="23" t="s">
        <v>1540</v>
      </c>
      <c r="L3845" s="23">
        <v>1</v>
      </c>
      <c r="M3845" s="23">
        <v>4</v>
      </c>
    </row>
    <row r="3846" spans="1:13">
      <c r="A3846" s="21">
        <v>42944</v>
      </c>
      <c r="B3846" s="22">
        <v>0.48055555555555557</v>
      </c>
      <c r="C3846" s="23" t="s">
        <v>1541</v>
      </c>
      <c r="D3846" s="23" t="s">
        <v>19</v>
      </c>
      <c r="E3846" s="23" t="s">
        <v>1542</v>
      </c>
      <c r="F3846" s="23" t="s">
        <v>1543</v>
      </c>
      <c r="G3846" s="23" t="s">
        <v>1234</v>
      </c>
      <c r="H3846" s="23" t="s">
        <v>21</v>
      </c>
      <c r="I3846" s="23" t="s">
        <v>130</v>
      </c>
      <c r="J3846" s="23" t="s">
        <v>1235</v>
      </c>
      <c r="K3846" s="23" t="s">
        <v>1544</v>
      </c>
      <c r="L3846" s="23">
        <v>1</v>
      </c>
      <c r="M3846" s="23">
        <v>2</v>
      </c>
    </row>
    <row r="3847" spans="1:13">
      <c r="A3847" s="21">
        <v>42944</v>
      </c>
      <c r="B3847" s="22">
        <v>0.47986111111111113</v>
      </c>
      <c r="C3847" s="23" t="s">
        <v>1545</v>
      </c>
      <c r="D3847" s="23" t="s">
        <v>19</v>
      </c>
      <c r="E3847" s="23" t="s">
        <v>401</v>
      </c>
      <c r="F3847" s="23" t="s">
        <v>1546</v>
      </c>
      <c r="G3847" s="23" t="s">
        <v>1234</v>
      </c>
      <c r="H3847" s="23" t="s">
        <v>21</v>
      </c>
      <c r="I3847" s="23" t="s">
        <v>402</v>
      </c>
      <c r="J3847" s="23" t="s">
        <v>1235</v>
      </c>
      <c r="K3847" s="23" t="s">
        <v>1547</v>
      </c>
      <c r="L3847" s="23">
        <v>1</v>
      </c>
      <c r="M3847" s="23">
        <v>10</v>
      </c>
    </row>
    <row r="3848" spans="1:13">
      <c r="A3848" s="21">
        <v>42944</v>
      </c>
      <c r="B3848" s="22">
        <v>0.47847222222222219</v>
      </c>
      <c r="C3848" s="23" t="s">
        <v>1548</v>
      </c>
      <c r="D3848" s="23" t="s">
        <v>19</v>
      </c>
      <c r="E3848" s="23" t="s">
        <v>1549</v>
      </c>
      <c r="F3848" s="23" t="s">
        <v>1550</v>
      </c>
      <c r="G3848" s="23" t="s">
        <v>1234</v>
      </c>
      <c r="H3848" s="23" t="s">
        <v>21</v>
      </c>
      <c r="I3848" s="23" t="s">
        <v>704</v>
      </c>
      <c r="J3848" s="23" t="s">
        <v>1235</v>
      </c>
      <c r="K3848" s="23" t="s">
        <v>1551</v>
      </c>
      <c r="L3848" s="23">
        <v>1</v>
      </c>
      <c r="M3848" s="23">
        <v>5</v>
      </c>
    </row>
    <row r="3849" spans="1:13">
      <c r="A3849" s="21">
        <v>42944</v>
      </c>
      <c r="B3849" s="22">
        <v>0.4694444444444445</v>
      </c>
      <c r="C3849" s="23" t="s">
        <v>1552</v>
      </c>
      <c r="D3849" s="23" t="s">
        <v>19</v>
      </c>
      <c r="E3849" s="23" t="s">
        <v>20</v>
      </c>
      <c r="F3849" s="23" t="s">
        <v>1553</v>
      </c>
      <c r="G3849" s="23" t="s">
        <v>1234</v>
      </c>
      <c r="H3849" s="23" t="s">
        <v>21</v>
      </c>
      <c r="I3849" s="23" t="s">
        <v>22</v>
      </c>
      <c r="J3849" s="23" t="s">
        <v>1235</v>
      </c>
      <c r="K3849" s="23" t="s">
        <v>1554</v>
      </c>
      <c r="L3849" s="23">
        <v>2</v>
      </c>
      <c r="M3849" s="23">
        <v>8</v>
      </c>
    </row>
    <row r="3850" spans="1:13">
      <c r="A3850" s="21">
        <v>42944</v>
      </c>
      <c r="B3850" s="22">
        <v>0.4694444444444445</v>
      </c>
      <c r="C3850" s="23" t="s">
        <v>1552</v>
      </c>
      <c r="D3850" s="23" t="s">
        <v>19</v>
      </c>
      <c r="E3850" s="23" t="s">
        <v>20</v>
      </c>
      <c r="F3850" s="23" t="s">
        <v>1553</v>
      </c>
      <c r="G3850" s="23" t="s">
        <v>1234</v>
      </c>
      <c r="H3850" s="23" t="s">
        <v>21</v>
      </c>
      <c r="I3850" s="23" t="s">
        <v>22</v>
      </c>
      <c r="J3850" s="23"/>
      <c r="K3850" s="23" t="s">
        <v>1555</v>
      </c>
      <c r="L3850" s="23">
        <v>2</v>
      </c>
      <c r="M3850" s="23">
        <v>8</v>
      </c>
    </row>
    <row r="3851" spans="1:13">
      <c r="A3851" s="21">
        <v>42944</v>
      </c>
      <c r="B3851" s="22">
        <v>0.46875</v>
      </c>
      <c r="C3851" s="23" t="s">
        <v>1556</v>
      </c>
      <c r="D3851" s="23" t="s">
        <v>19</v>
      </c>
      <c r="E3851" s="23" t="s">
        <v>1557</v>
      </c>
      <c r="F3851" s="23" t="s">
        <v>1558</v>
      </c>
      <c r="G3851" s="23" t="s">
        <v>1234</v>
      </c>
      <c r="H3851" s="23" t="s">
        <v>21</v>
      </c>
      <c r="I3851" s="23" t="s">
        <v>455</v>
      </c>
      <c r="J3851" s="23" t="s">
        <v>1235</v>
      </c>
      <c r="K3851" s="23" t="s">
        <v>1559</v>
      </c>
      <c r="L3851" s="23">
        <v>1</v>
      </c>
      <c r="M3851" s="23">
        <v>7</v>
      </c>
    </row>
    <row r="3852" spans="1:13">
      <c r="A3852" s="21">
        <v>42944</v>
      </c>
      <c r="B3852" s="22">
        <v>0.4680555555555555</v>
      </c>
      <c r="C3852" s="23" t="s">
        <v>1560</v>
      </c>
      <c r="D3852" s="23" t="s">
        <v>19</v>
      </c>
      <c r="E3852" s="23" t="s">
        <v>33</v>
      </c>
      <c r="F3852" s="23" t="s">
        <v>1561</v>
      </c>
      <c r="G3852" s="23" t="s">
        <v>1234</v>
      </c>
      <c r="H3852" s="23" t="s">
        <v>21</v>
      </c>
      <c r="I3852" s="23" t="s">
        <v>34</v>
      </c>
      <c r="J3852" s="23" t="s">
        <v>1235</v>
      </c>
      <c r="K3852" s="23" t="s">
        <v>1562</v>
      </c>
      <c r="L3852" s="23">
        <v>1</v>
      </c>
      <c r="M3852" s="23">
        <v>1</v>
      </c>
    </row>
    <row r="3853" spans="1:13">
      <c r="A3853" s="21">
        <v>42944</v>
      </c>
      <c r="B3853" s="22">
        <v>0.46736111111111112</v>
      </c>
      <c r="C3853" s="23" t="s">
        <v>1563</v>
      </c>
      <c r="D3853" s="23" t="s">
        <v>19</v>
      </c>
      <c r="E3853" s="23" t="s">
        <v>33</v>
      </c>
      <c r="F3853" s="23" t="s">
        <v>1564</v>
      </c>
      <c r="G3853" s="23" t="s">
        <v>1234</v>
      </c>
      <c r="H3853" s="23" t="s">
        <v>21</v>
      </c>
      <c r="I3853" s="23" t="s">
        <v>34</v>
      </c>
      <c r="J3853" s="23" t="s">
        <v>1235</v>
      </c>
      <c r="K3853" s="23" t="s">
        <v>1565</v>
      </c>
      <c r="L3853" s="23">
        <v>1</v>
      </c>
      <c r="M3853" s="23">
        <v>1</v>
      </c>
    </row>
    <row r="3854" spans="1:13">
      <c r="A3854" s="21">
        <v>42944</v>
      </c>
      <c r="B3854" s="22">
        <v>0.46597222222222223</v>
      </c>
      <c r="C3854" s="23" t="s">
        <v>1566</v>
      </c>
      <c r="D3854" s="23" t="s">
        <v>19</v>
      </c>
      <c r="E3854" s="23" t="s">
        <v>33</v>
      </c>
      <c r="F3854" s="23" t="s">
        <v>1567</v>
      </c>
      <c r="G3854" s="23" t="s">
        <v>1234</v>
      </c>
      <c r="H3854" s="23" t="s">
        <v>21</v>
      </c>
      <c r="I3854" s="23" t="s">
        <v>34</v>
      </c>
      <c r="J3854" s="23" t="s">
        <v>1235</v>
      </c>
      <c r="K3854" s="23" t="s">
        <v>1568</v>
      </c>
      <c r="L3854" s="23">
        <v>1</v>
      </c>
      <c r="M3854" s="23">
        <v>1</v>
      </c>
    </row>
    <row r="3855" spans="1:13">
      <c r="A3855" s="21">
        <v>42944</v>
      </c>
      <c r="B3855" s="22">
        <v>0.46527777777777773</v>
      </c>
      <c r="C3855" s="23" t="s">
        <v>1569</v>
      </c>
      <c r="D3855" s="23" t="s">
        <v>19</v>
      </c>
      <c r="E3855" s="23" t="s">
        <v>99</v>
      </c>
      <c r="F3855" s="23" t="s">
        <v>1570</v>
      </c>
      <c r="G3855" s="23" t="s">
        <v>1234</v>
      </c>
      <c r="H3855" s="23" t="s">
        <v>21</v>
      </c>
      <c r="I3855" s="23" t="s">
        <v>100</v>
      </c>
      <c r="J3855" s="23" t="s">
        <v>1235</v>
      </c>
      <c r="K3855" s="23" t="s">
        <v>1571</v>
      </c>
      <c r="L3855" s="23">
        <v>1</v>
      </c>
      <c r="M3855" s="23">
        <v>1</v>
      </c>
    </row>
    <row r="3856" spans="1:13">
      <c r="A3856" s="21">
        <v>42944</v>
      </c>
      <c r="B3856" s="22">
        <v>0.46458333333333335</v>
      </c>
      <c r="C3856" s="23" t="s">
        <v>1572</v>
      </c>
      <c r="D3856" s="23" t="s">
        <v>19</v>
      </c>
      <c r="E3856" s="23" t="s">
        <v>197</v>
      </c>
      <c r="F3856" s="23" t="s">
        <v>1573</v>
      </c>
      <c r="G3856" s="23" t="s">
        <v>1234</v>
      </c>
      <c r="H3856" s="23" t="s">
        <v>21</v>
      </c>
      <c r="I3856" s="23" t="s">
        <v>198</v>
      </c>
      <c r="J3856" s="23" t="s">
        <v>1235</v>
      </c>
      <c r="K3856" s="23" t="s">
        <v>1574</v>
      </c>
      <c r="L3856" s="23">
        <v>1</v>
      </c>
      <c r="M3856" s="23">
        <v>1</v>
      </c>
    </row>
    <row r="3857" spans="1:13">
      <c r="A3857" s="21">
        <v>42944</v>
      </c>
      <c r="B3857" s="22">
        <v>0.46111111111111108</v>
      </c>
      <c r="C3857" s="23" t="s">
        <v>1575</v>
      </c>
      <c r="D3857" s="23" t="s">
        <v>19</v>
      </c>
      <c r="E3857" s="23" t="s">
        <v>99</v>
      </c>
      <c r="F3857" s="23" t="s">
        <v>1576</v>
      </c>
      <c r="G3857" s="23" t="s">
        <v>1234</v>
      </c>
      <c r="H3857" s="23" t="s">
        <v>21</v>
      </c>
      <c r="I3857" s="23" t="s">
        <v>100</v>
      </c>
      <c r="J3857" s="23" t="s">
        <v>1235</v>
      </c>
      <c r="K3857" s="23" t="s">
        <v>1577</v>
      </c>
      <c r="L3857" s="23">
        <v>1</v>
      </c>
      <c r="M3857" s="23">
        <v>1</v>
      </c>
    </row>
    <row r="3858" spans="1:13">
      <c r="A3858" s="21">
        <v>42944</v>
      </c>
      <c r="B3858" s="22">
        <v>0.46111111111111108</v>
      </c>
      <c r="C3858" s="23" t="s">
        <v>1578</v>
      </c>
      <c r="D3858" s="23" t="s">
        <v>19</v>
      </c>
      <c r="E3858" s="23" t="s">
        <v>89</v>
      </c>
      <c r="F3858" s="23" t="s">
        <v>1579</v>
      </c>
      <c r="G3858" s="23" t="s">
        <v>1234</v>
      </c>
      <c r="H3858" s="23" t="s">
        <v>21</v>
      </c>
      <c r="I3858" s="23" t="s">
        <v>90</v>
      </c>
      <c r="J3858" s="23" t="s">
        <v>1235</v>
      </c>
      <c r="K3858" s="23" t="s">
        <v>1580</v>
      </c>
      <c r="L3858" s="23">
        <v>1</v>
      </c>
      <c r="M3858" s="23">
        <v>1</v>
      </c>
    </row>
    <row r="3859" spans="1:13">
      <c r="A3859" s="21">
        <v>42944</v>
      </c>
      <c r="B3859" s="22">
        <v>0.4597222222222222</v>
      </c>
      <c r="C3859" s="23" t="s">
        <v>1581</v>
      </c>
      <c r="D3859" s="23" t="s">
        <v>19</v>
      </c>
      <c r="E3859" s="23" t="s">
        <v>33</v>
      </c>
      <c r="F3859" s="23" t="s">
        <v>1582</v>
      </c>
      <c r="G3859" s="23" t="s">
        <v>1234</v>
      </c>
      <c r="H3859" s="23" t="s">
        <v>21</v>
      </c>
      <c r="I3859" s="23" t="s">
        <v>34</v>
      </c>
      <c r="J3859" s="23" t="s">
        <v>1235</v>
      </c>
      <c r="K3859" s="23" t="s">
        <v>1583</v>
      </c>
      <c r="L3859" s="23">
        <v>1</v>
      </c>
      <c r="M3859" s="23">
        <v>1</v>
      </c>
    </row>
    <row r="3860" spans="1:13">
      <c r="A3860" s="21">
        <v>42944</v>
      </c>
      <c r="B3860" s="22">
        <v>0.45833333333333331</v>
      </c>
      <c r="C3860" s="23" t="s">
        <v>1584</v>
      </c>
      <c r="D3860" s="23" t="s">
        <v>19</v>
      </c>
      <c r="E3860" s="23" t="s">
        <v>454</v>
      </c>
      <c r="F3860" s="23" t="s">
        <v>1585</v>
      </c>
      <c r="G3860" s="23" t="s">
        <v>1234</v>
      </c>
      <c r="H3860" s="23" t="s">
        <v>21</v>
      </c>
      <c r="I3860" s="23" t="s">
        <v>455</v>
      </c>
      <c r="J3860" s="23" t="s">
        <v>1235</v>
      </c>
      <c r="K3860" s="23" t="s">
        <v>1586</v>
      </c>
      <c r="L3860" s="23">
        <v>1</v>
      </c>
      <c r="M3860" s="23">
        <v>1</v>
      </c>
    </row>
    <row r="3861" spans="1:13">
      <c r="A3861" s="21">
        <v>42944</v>
      </c>
      <c r="B3861" s="22">
        <v>0.45624999999999999</v>
      </c>
      <c r="C3861" s="23" t="s">
        <v>1587</v>
      </c>
      <c r="D3861" s="23" t="s">
        <v>19</v>
      </c>
      <c r="E3861" s="23" t="s">
        <v>324</v>
      </c>
      <c r="F3861" s="23" t="s">
        <v>1588</v>
      </c>
      <c r="G3861" s="23" t="s">
        <v>1234</v>
      </c>
      <c r="H3861" s="23" t="s">
        <v>21</v>
      </c>
      <c r="I3861" s="23" t="s">
        <v>325</v>
      </c>
      <c r="J3861" s="23" t="s">
        <v>1235</v>
      </c>
      <c r="K3861" s="23" t="s">
        <v>1589</v>
      </c>
      <c r="L3861" s="23">
        <v>1</v>
      </c>
      <c r="M3861" s="23">
        <v>1</v>
      </c>
    </row>
    <row r="3862" spans="1:13">
      <c r="A3862" s="21">
        <v>42944</v>
      </c>
      <c r="B3862" s="22">
        <v>0.42708333333333331</v>
      </c>
      <c r="C3862" s="23" t="s">
        <v>1590</v>
      </c>
      <c r="D3862" s="23" t="s">
        <v>19</v>
      </c>
      <c r="E3862" s="23" t="s">
        <v>376</v>
      </c>
      <c r="F3862" s="23" t="s">
        <v>1591</v>
      </c>
      <c r="G3862" s="23" t="s">
        <v>1234</v>
      </c>
      <c r="H3862" s="23" t="s">
        <v>21</v>
      </c>
      <c r="I3862" s="23" t="s">
        <v>377</v>
      </c>
      <c r="J3862" s="23" t="s">
        <v>1235</v>
      </c>
      <c r="K3862" s="23" t="s">
        <v>1592</v>
      </c>
      <c r="L3862" s="23">
        <v>1</v>
      </c>
      <c r="M3862" s="23">
        <v>1</v>
      </c>
    </row>
    <row r="3863" spans="1:13">
      <c r="A3863" s="21">
        <v>42944</v>
      </c>
      <c r="B3863" s="22">
        <v>0.42638888888888887</v>
      </c>
      <c r="C3863" s="23" t="s">
        <v>1593</v>
      </c>
      <c r="D3863" s="23" t="s">
        <v>19</v>
      </c>
      <c r="E3863" s="23" t="s">
        <v>1050</v>
      </c>
      <c r="F3863" s="23" t="s">
        <v>1594</v>
      </c>
      <c r="G3863" s="23" t="s">
        <v>1234</v>
      </c>
      <c r="H3863" s="23" t="s">
        <v>21</v>
      </c>
      <c r="I3863" s="23" t="s">
        <v>151</v>
      </c>
      <c r="J3863" s="23" t="s">
        <v>1235</v>
      </c>
      <c r="K3863" s="23" t="s">
        <v>1595</v>
      </c>
      <c r="L3863" s="23">
        <v>1</v>
      </c>
      <c r="M3863" s="23">
        <v>4</v>
      </c>
    </row>
    <row r="3864" spans="1:13">
      <c r="A3864" s="21">
        <v>42944</v>
      </c>
      <c r="B3864" s="22">
        <v>0.42430555555555555</v>
      </c>
      <c r="C3864" s="23" t="s">
        <v>1596</v>
      </c>
      <c r="D3864" s="23" t="s">
        <v>19</v>
      </c>
      <c r="E3864" s="23" t="s">
        <v>979</v>
      </c>
      <c r="F3864" s="23" t="s">
        <v>1597</v>
      </c>
      <c r="G3864" s="23" t="s">
        <v>1253</v>
      </c>
      <c r="H3864" s="23" t="s">
        <v>21</v>
      </c>
      <c r="I3864" s="23" t="s">
        <v>980</v>
      </c>
      <c r="J3864" s="23" t="s">
        <v>1235</v>
      </c>
      <c r="K3864" s="23" t="s">
        <v>1598</v>
      </c>
      <c r="L3864" s="23">
        <v>1</v>
      </c>
      <c r="M3864" s="23">
        <v>1</v>
      </c>
    </row>
    <row r="3865" spans="1:13">
      <c r="A3865" s="21">
        <v>42944</v>
      </c>
      <c r="B3865" s="22">
        <v>0.4236111111111111</v>
      </c>
      <c r="C3865" s="23" t="s">
        <v>1599</v>
      </c>
      <c r="D3865" s="23" t="s">
        <v>19</v>
      </c>
      <c r="E3865" s="23" t="s">
        <v>908</v>
      </c>
      <c r="F3865" s="23" t="s">
        <v>1600</v>
      </c>
      <c r="G3865" s="23" t="s">
        <v>1234</v>
      </c>
      <c r="H3865" s="23" t="s">
        <v>21</v>
      </c>
      <c r="I3865" s="23" t="s">
        <v>115</v>
      </c>
      <c r="J3865" s="23" t="s">
        <v>1235</v>
      </c>
      <c r="K3865" s="23" t="s">
        <v>1601</v>
      </c>
      <c r="L3865" s="23">
        <v>1</v>
      </c>
      <c r="M3865" s="23">
        <v>1</v>
      </c>
    </row>
    <row r="3866" spans="1:13">
      <c r="A3866" s="21">
        <v>42944</v>
      </c>
      <c r="B3866" s="22">
        <v>0.41875000000000001</v>
      </c>
      <c r="C3866" s="23" t="s">
        <v>1602</v>
      </c>
      <c r="D3866" s="23" t="s">
        <v>19</v>
      </c>
      <c r="E3866" s="23" t="s">
        <v>908</v>
      </c>
      <c r="F3866" s="23" t="s">
        <v>1603</v>
      </c>
      <c r="G3866" s="23" t="s">
        <v>1234</v>
      </c>
      <c r="H3866" s="23" t="s">
        <v>21</v>
      </c>
      <c r="I3866" s="23" t="s">
        <v>115</v>
      </c>
      <c r="J3866" s="23" t="s">
        <v>1235</v>
      </c>
      <c r="K3866" s="23" t="s">
        <v>1604</v>
      </c>
      <c r="L3866" s="23">
        <v>1</v>
      </c>
      <c r="M3866" s="23">
        <v>1</v>
      </c>
    </row>
    <row r="3867" spans="1:13">
      <c r="A3867" s="21">
        <v>42944</v>
      </c>
      <c r="B3867" s="22">
        <v>0.41805555555555557</v>
      </c>
      <c r="C3867" s="23" t="s">
        <v>1605</v>
      </c>
      <c r="D3867" s="23" t="s">
        <v>19</v>
      </c>
      <c r="E3867" s="23" t="s">
        <v>39</v>
      </c>
      <c r="F3867" s="23" t="s">
        <v>1606</v>
      </c>
      <c r="G3867" s="23" t="s">
        <v>1234</v>
      </c>
      <c r="H3867" s="23" t="s">
        <v>21</v>
      </c>
      <c r="I3867" s="23" t="s">
        <v>40</v>
      </c>
      <c r="J3867" s="23" t="s">
        <v>1235</v>
      </c>
      <c r="K3867" s="23" t="s">
        <v>1607</v>
      </c>
      <c r="L3867" s="23">
        <v>1</v>
      </c>
      <c r="M3867" s="23">
        <v>1</v>
      </c>
    </row>
    <row r="3868" spans="1:13">
      <c r="A3868" s="21">
        <v>42944</v>
      </c>
      <c r="B3868" s="22">
        <v>0.41736111111111113</v>
      </c>
      <c r="C3868" s="23" t="s">
        <v>1608</v>
      </c>
      <c r="D3868" s="23" t="s">
        <v>19</v>
      </c>
      <c r="E3868" s="23" t="s">
        <v>39</v>
      </c>
      <c r="F3868" s="23" t="s">
        <v>1609</v>
      </c>
      <c r="G3868" s="23" t="s">
        <v>1234</v>
      </c>
      <c r="H3868" s="23" t="s">
        <v>21</v>
      </c>
      <c r="I3868" s="23" t="s">
        <v>40</v>
      </c>
      <c r="J3868" s="23" t="s">
        <v>1235</v>
      </c>
      <c r="K3868" s="23" t="s">
        <v>1610</v>
      </c>
      <c r="L3868" s="23">
        <v>1</v>
      </c>
      <c r="M3868" s="23">
        <v>1</v>
      </c>
    </row>
    <row r="3869" spans="1:13">
      <c r="A3869" s="21">
        <v>42944</v>
      </c>
      <c r="B3869" s="22">
        <v>0.41666666666666669</v>
      </c>
      <c r="C3869" s="23" t="s">
        <v>1611</v>
      </c>
      <c r="D3869" s="23" t="s">
        <v>19</v>
      </c>
      <c r="E3869" s="23" t="s">
        <v>757</v>
      </c>
      <c r="F3869" s="23" t="s">
        <v>1612</v>
      </c>
      <c r="G3869" s="23" t="s">
        <v>1234</v>
      </c>
      <c r="H3869" s="23" t="s">
        <v>21</v>
      </c>
      <c r="I3869" s="23" t="s">
        <v>758</v>
      </c>
      <c r="J3869" s="23" t="s">
        <v>1235</v>
      </c>
      <c r="K3869" s="23" t="s">
        <v>1613</v>
      </c>
      <c r="L3869" s="23">
        <v>1</v>
      </c>
      <c r="M3869" s="23">
        <v>1</v>
      </c>
    </row>
    <row r="3870" spans="1:13">
      <c r="A3870" s="21">
        <v>42944</v>
      </c>
      <c r="B3870" s="22">
        <v>0.41597222222222219</v>
      </c>
      <c r="C3870" s="23" t="s">
        <v>1614</v>
      </c>
      <c r="D3870" s="23" t="s">
        <v>19</v>
      </c>
      <c r="E3870" s="23" t="s">
        <v>908</v>
      </c>
      <c r="F3870" s="23" t="s">
        <v>1615</v>
      </c>
      <c r="G3870" s="23" t="s">
        <v>1234</v>
      </c>
      <c r="H3870" s="23" t="s">
        <v>21</v>
      </c>
      <c r="I3870" s="23" t="s">
        <v>115</v>
      </c>
      <c r="J3870" s="23" t="s">
        <v>1235</v>
      </c>
      <c r="K3870" s="23" t="s">
        <v>1616</v>
      </c>
      <c r="L3870" s="23">
        <v>1</v>
      </c>
      <c r="M3870" s="23">
        <v>1</v>
      </c>
    </row>
    <row r="3871" spans="1:13">
      <c r="A3871" s="21">
        <v>42944</v>
      </c>
      <c r="B3871" s="22">
        <v>0.4152777777777778</v>
      </c>
      <c r="C3871" s="23" t="s">
        <v>1617</v>
      </c>
      <c r="D3871" s="23" t="s">
        <v>19</v>
      </c>
      <c r="E3871" s="23" t="s">
        <v>546</v>
      </c>
      <c r="F3871" s="23" t="s">
        <v>1618</v>
      </c>
      <c r="G3871" s="23" t="s">
        <v>1234</v>
      </c>
      <c r="H3871" s="23" t="s">
        <v>21</v>
      </c>
      <c r="I3871" s="23" t="s">
        <v>547</v>
      </c>
      <c r="J3871" s="23" t="s">
        <v>1235</v>
      </c>
      <c r="K3871" s="23" t="s">
        <v>1619</v>
      </c>
      <c r="L3871" s="23">
        <v>1</v>
      </c>
      <c r="M3871" s="23">
        <v>1</v>
      </c>
    </row>
    <row r="3872" spans="1:13">
      <c r="A3872" s="21">
        <v>42944</v>
      </c>
      <c r="B3872" s="22">
        <v>0.4152777777777778</v>
      </c>
      <c r="C3872" s="23" t="s">
        <v>1620</v>
      </c>
      <c r="D3872" s="23" t="s">
        <v>19</v>
      </c>
      <c r="E3872" s="23" t="s">
        <v>602</v>
      </c>
      <c r="F3872" s="23" t="s">
        <v>1621</v>
      </c>
      <c r="G3872" s="23" t="s">
        <v>1234</v>
      </c>
      <c r="H3872" s="23" t="s">
        <v>21</v>
      </c>
      <c r="I3872" s="23" t="s">
        <v>58</v>
      </c>
      <c r="J3872" s="23" t="s">
        <v>1235</v>
      </c>
      <c r="K3872" s="23" t="s">
        <v>1622</v>
      </c>
      <c r="L3872" s="23">
        <v>1</v>
      </c>
      <c r="M3872" s="23">
        <v>1</v>
      </c>
    </row>
    <row r="3873" spans="1:13">
      <c r="A3873" s="21">
        <v>42944</v>
      </c>
      <c r="B3873" s="22">
        <v>0.41388888888888892</v>
      </c>
      <c r="C3873" s="23" t="s">
        <v>1623</v>
      </c>
      <c r="D3873" s="23" t="s">
        <v>19</v>
      </c>
      <c r="E3873" s="23" t="s">
        <v>936</v>
      </c>
      <c r="F3873" s="23" t="s">
        <v>1624</v>
      </c>
      <c r="G3873" s="23" t="s">
        <v>1234</v>
      </c>
      <c r="H3873" s="23" t="s">
        <v>21</v>
      </c>
      <c r="I3873" s="23" t="s">
        <v>22</v>
      </c>
      <c r="J3873" s="23" t="s">
        <v>1235</v>
      </c>
      <c r="K3873" s="23" t="s">
        <v>1625</v>
      </c>
      <c r="L3873" s="23">
        <v>1</v>
      </c>
      <c r="M3873" s="23">
        <v>1</v>
      </c>
    </row>
    <row r="3874" spans="1:13">
      <c r="A3874" s="21">
        <v>42944</v>
      </c>
      <c r="B3874" s="22">
        <v>0.41250000000000003</v>
      </c>
      <c r="C3874" s="23" t="s">
        <v>1626</v>
      </c>
      <c r="D3874" s="23" t="s">
        <v>19</v>
      </c>
      <c r="E3874" s="23" t="s">
        <v>1224</v>
      </c>
      <c r="F3874" s="23" t="s">
        <v>1627</v>
      </c>
      <c r="G3874" s="23" t="s">
        <v>1234</v>
      </c>
      <c r="H3874" s="23" t="s">
        <v>21</v>
      </c>
      <c r="I3874" s="23" t="s">
        <v>607</v>
      </c>
      <c r="J3874" s="23" t="s">
        <v>1235</v>
      </c>
      <c r="K3874" s="23" t="s">
        <v>1628</v>
      </c>
      <c r="L3874" s="23">
        <v>1</v>
      </c>
      <c r="M3874" s="23">
        <v>1</v>
      </c>
    </row>
    <row r="3875" spans="1:13">
      <c r="A3875" s="21">
        <v>42944</v>
      </c>
      <c r="B3875" s="22">
        <v>0.41180555555555554</v>
      </c>
      <c r="C3875" s="23" t="s">
        <v>1629</v>
      </c>
      <c r="D3875" s="23" t="s">
        <v>19</v>
      </c>
      <c r="E3875" s="23" t="s">
        <v>299</v>
      </c>
      <c r="F3875" s="23" t="s">
        <v>1630</v>
      </c>
      <c r="G3875" s="23" t="s">
        <v>1234</v>
      </c>
      <c r="H3875" s="23" t="s">
        <v>21</v>
      </c>
      <c r="I3875" s="23" t="s">
        <v>183</v>
      </c>
      <c r="J3875" s="23" t="s">
        <v>1235</v>
      </c>
      <c r="K3875" s="23" t="s">
        <v>1631</v>
      </c>
      <c r="L3875" s="23">
        <v>1</v>
      </c>
      <c r="M3875" s="23">
        <v>1</v>
      </c>
    </row>
    <row r="3876" spans="1:13">
      <c r="A3876" s="21">
        <v>42944</v>
      </c>
      <c r="B3876" s="22">
        <v>0.41111111111111115</v>
      </c>
      <c r="C3876" s="23" t="s">
        <v>1632</v>
      </c>
      <c r="D3876" s="23" t="s">
        <v>19</v>
      </c>
      <c r="E3876" s="23" t="s">
        <v>376</v>
      </c>
      <c r="F3876" s="23" t="s">
        <v>1633</v>
      </c>
      <c r="G3876" s="23" t="s">
        <v>1234</v>
      </c>
      <c r="H3876" s="23" t="s">
        <v>21</v>
      </c>
      <c r="I3876" s="23" t="s">
        <v>377</v>
      </c>
      <c r="J3876" s="23" t="s">
        <v>1235</v>
      </c>
      <c r="K3876" s="23" t="s">
        <v>1634</v>
      </c>
      <c r="L3876" s="23">
        <v>1</v>
      </c>
      <c r="M3876" s="23">
        <v>1</v>
      </c>
    </row>
    <row r="3877" spans="1:13">
      <c r="A3877" s="21">
        <v>42944</v>
      </c>
      <c r="B3877" s="22">
        <v>0.41041666666666665</v>
      </c>
      <c r="C3877" s="23" t="s">
        <v>1635</v>
      </c>
      <c r="D3877" s="23" t="s">
        <v>19</v>
      </c>
      <c r="E3877" s="23" t="s">
        <v>323</v>
      </c>
      <c r="F3877" s="23" t="s">
        <v>1636</v>
      </c>
      <c r="G3877" s="23" t="s">
        <v>1234</v>
      </c>
      <c r="H3877" s="23" t="s">
        <v>21</v>
      </c>
      <c r="I3877" s="23" t="s">
        <v>75</v>
      </c>
      <c r="J3877" s="23" t="s">
        <v>1235</v>
      </c>
      <c r="K3877" s="23" t="s">
        <v>1637</v>
      </c>
      <c r="L3877" s="23">
        <v>1</v>
      </c>
      <c r="M3877" s="23">
        <v>1</v>
      </c>
    </row>
    <row r="3878" spans="1:13">
      <c r="A3878" s="21">
        <v>42944</v>
      </c>
      <c r="B3878" s="22">
        <v>0.40972222222222227</v>
      </c>
      <c r="C3878" s="23" t="s">
        <v>1638</v>
      </c>
      <c r="D3878" s="23" t="s">
        <v>19</v>
      </c>
      <c r="E3878" s="23" t="s">
        <v>376</v>
      </c>
      <c r="F3878" s="23" t="s">
        <v>1639</v>
      </c>
      <c r="G3878" s="23" t="s">
        <v>1234</v>
      </c>
      <c r="H3878" s="23" t="s">
        <v>21</v>
      </c>
      <c r="I3878" s="23" t="s">
        <v>377</v>
      </c>
      <c r="J3878" s="23" t="s">
        <v>1235</v>
      </c>
      <c r="K3878" s="23" t="s">
        <v>1640</v>
      </c>
      <c r="L3878" s="23">
        <v>1</v>
      </c>
      <c r="M3878" s="23">
        <v>1</v>
      </c>
    </row>
    <row r="3879" spans="1:13">
      <c r="A3879" s="21">
        <v>42944</v>
      </c>
      <c r="B3879" s="22">
        <v>0.40902777777777777</v>
      </c>
      <c r="C3879" s="23" t="s">
        <v>1641</v>
      </c>
      <c r="D3879" s="23" t="s">
        <v>19</v>
      </c>
      <c r="E3879" s="23" t="s">
        <v>376</v>
      </c>
      <c r="F3879" s="23" t="s">
        <v>1642</v>
      </c>
      <c r="G3879" s="23" t="s">
        <v>1234</v>
      </c>
      <c r="H3879" s="23" t="s">
        <v>21</v>
      </c>
      <c r="I3879" s="23" t="s">
        <v>377</v>
      </c>
      <c r="J3879" s="23" t="s">
        <v>1235</v>
      </c>
      <c r="K3879" s="23" t="s">
        <v>1643</v>
      </c>
      <c r="L3879" s="23">
        <v>1</v>
      </c>
      <c r="M3879" s="23">
        <v>1</v>
      </c>
    </row>
    <row r="3880" spans="1:13">
      <c r="A3880" s="21">
        <v>42944</v>
      </c>
      <c r="B3880" s="22">
        <v>0.40833333333333338</v>
      </c>
      <c r="C3880" s="23" t="s">
        <v>1644</v>
      </c>
      <c r="D3880" s="23" t="s">
        <v>19</v>
      </c>
      <c r="E3880" s="23" t="s">
        <v>744</v>
      </c>
      <c r="F3880" s="23" t="s">
        <v>1645</v>
      </c>
      <c r="G3880" s="23" t="s">
        <v>1234</v>
      </c>
      <c r="H3880" s="23" t="s">
        <v>21</v>
      </c>
      <c r="I3880" s="23" t="s">
        <v>745</v>
      </c>
      <c r="J3880" s="23" t="s">
        <v>1235</v>
      </c>
      <c r="K3880" s="23" t="s">
        <v>1646</v>
      </c>
      <c r="L3880" s="23">
        <v>1</v>
      </c>
      <c r="M3880" s="23">
        <v>1</v>
      </c>
    </row>
    <row r="3881" spans="1:13">
      <c r="A3881" s="21">
        <v>42944</v>
      </c>
      <c r="B3881" s="22">
        <v>0.40486111111111112</v>
      </c>
      <c r="C3881" s="23" t="s">
        <v>1647</v>
      </c>
      <c r="D3881" s="23" t="s">
        <v>19</v>
      </c>
      <c r="E3881" s="23" t="s">
        <v>436</v>
      </c>
      <c r="F3881" s="23" t="s">
        <v>1648</v>
      </c>
      <c r="G3881" s="23" t="s">
        <v>1234</v>
      </c>
      <c r="H3881" s="23" t="s">
        <v>21</v>
      </c>
      <c r="I3881" s="23" t="s">
        <v>252</v>
      </c>
      <c r="J3881" s="23" t="s">
        <v>1235</v>
      </c>
      <c r="K3881" s="23" t="s">
        <v>1649</v>
      </c>
      <c r="L3881" s="23">
        <v>1</v>
      </c>
      <c r="M3881" s="23">
        <v>2</v>
      </c>
    </row>
    <row r="3882" spans="1:13">
      <c r="A3882" s="21">
        <v>42944</v>
      </c>
      <c r="B3882" s="22">
        <v>0.40277777777777773</v>
      </c>
      <c r="C3882" s="23" t="s">
        <v>1650</v>
      </c>
      <c r="D3882" s="23" t="s">
        <v>19</v>
      </c>
      <c r="E3882" s="23" t="s">
        <v>693</v>
      </c>
      <c r="F3882" s="23" t="s">
        <v>1651</v>
      </c>
      <c r="G3882" s="23" t="s">
        <v>1253</v>
      </c>
      <c r="H3882" s="23" t="s">
        <v>21</v>
      </c>
      <c r="I3882" s="23" t="s">
        <v>161</v>
      </c>
      <c r="J3882" s="23" t="s">
        <v>1235</v>
      </c>
      <c r="K3882" s="23" t="s">
        <v>1652</v>
      </c>
      <c r="L3882" s="23">
        <v>1</v>
      </c>
      <c r="M3882" s="23">
        <v>27</v>
      </c>
    </row>
    <row r="3883" spans="1:13">
      <c r="A3883" s="21">
        <v>42944</v>
      </c>
      <c r="B3883" s="22">
        <v>0.40208333333333335</v>
      </c>
      <c r="C3883" s="23" t="s">
        <v>1653</v>
      </c>
      <c r="D3883" s="23" t="s">
        <v>19</v>
      </c>
      <c r="E3883" s="23" t="s">
        <v>78</v>
      </c>
      <c r="F3883" s="23" t="s">
        <v>1654</v>
      </c>
      <c r="G3883" s="23" t="s">
        <v>1234</v>
      </c>
      <c r="H3883" s="23" t="s">
        <v>21</v>
      </c>
      <c r="I3883" s="23" t="s">
        <v>79</v>
      </c>
      <c r="J3883" s="23" t="s">
        <v>1235</v>
      </c>
      <c r="K3883" s="23" t="s">
        <v>1655</v>
      </c>
      <c r="L3883" s="23">
        <v>1</v>
      </c>
      <c r="M3883" s="23">
        <v>2</v>
      </c>
    </row>
    <row r="3884" spans="1:13">
      <c r="A3884" s="21">
        <v>42944</v>
      </c>
      <c r="B3884" s="22">
        <v>0.40138888888888885</v>
      </c>
      <c r="C3884" s="23" t="s">
        <v>1656</v>
      </c>
      <c r="D3884" s="23" t="s">
        <v>19</v>
      </c>
      <c r="E3884" s="23" t="s">
        <v>255</v>
      </c>
      <c r="F3884" s="23" t="s">
        <v>1657</v>
      </c>
      <c r="G3884" s="23" t="s">
        <v>1234</v>
      </c>
      <c r="H3884" s="23" t="s">
        <v>21</v>
      </c>
      <c r="I3884" s="23" t="s">
        <v>256</v>
      </c>
      <c r="J3884" s="23" t="s">
        <v>1235</v>
      </c>
      <c r="K3884" s="23" t="s">
        <v>1658</v>
      </c>
      <c r="L3884" s="23">
        <v>1</v>
      </c>
      <c r="M3884" s="23">
        <v>1</v>
      </c>
    </row>
    <row r="3885" spans="1:13">
      <c r="A3885" s="21">
        <v>42944</v>
      </c>
      <c r="B3885" s="22">
        <v>0.40138888888888885</v>
      </c>
      <c r="C3885" s="23" t="s">
        <v>1659</v>
      </c>
      <c r="D3885" s="23" t="s">
        <v>19</v>
      </c>
      <c r="E3885" s="23" t="s">
        <v>429</v>
      </c>
      <c r="F3885" s="23" t="s">
        <v>1660</v>
      </c>
      <c r="G3885" s="23" t="s">
        <v>1234</v>
      </c>
      <c r="H3885" s="23" t="s">
        <v>21</v>
      </c>
      <c r="I3885" s="23" t="s">
        <v>430</v>
      </c>
      <c r="J3885" s="23" t="s">
        <v>1235</v>
      </c>
      <c r="K3885" s="23" t="s">
        <v>1661</v>
      </c>
      <c r="L3885" s="23">
        <v>1</v>
      </c>
      <c r="M3885" s="23">
        <v>1</v>
      </c>
    </row>
    <row r="3886" spans="1:13">
      <c r="A3886" s="21">
        <v>42944</v>
      </c>
      <c r="B3886" s="22">
        <v>0.39999999999999997</v>
      </c>
      <c r="C3886" s="23" t="s">
        <v>1662</v>
      </c>
      <c r="D3886" s="23" t="s">
        <v>19</v>
      </c>
      <c r="E3886" s="23" t="s">
        <v>272</v>
      </c>
      <c r="F3886" s="23" t="s">
        <v>1663</v>
      </c>
      <c r="G3886" s="23" t="s">
        <v>1234</v>
      </c>
      <c r="H3886" s="23" t="s">
        <v>21</v>
      </c>
      <c r="I3886" s="23" t="s">
        <v>166</v>
      </c>
      <c r="J3886" s="23" t="s">
        <v>1235</v>
      </c>
      <c r="K3886" s="23" t="s">
        <v>1664</v>
      </c>
      <c r="L3886" s="23">
        <v>1</v>
      </c>
      <c r="M3886" s="23">
        <v>1</v>
      </c>
    </row>
    <row r="3887" spans="1:13">
      <c r="A3887" s="21">
        <v>42944</v>
      </c>
      <c r="B3887" s="22">
        <v>0.39930555555555558</v>
      </c>
      <c r="C3887" s="23" t="s">
        <v>1665</v>
      </c>
      <c r="D3887" s="23" t="s">
        <v>19</v>
      </c>
      <c r="E3887" s="23" t="s">
        <v>184</v>
      </c>
      <c r="F3887" s="23" t="s">
        <v>1666</v>
      </c>
      <c r="G3887" s="23" t="s">
        <v>1234</v>
      </c>
      <c r="H3887" s="23" t="s">
        <v>21</v>
      </c>
      <c r="I3887" s="23" t="s">
        <v>185</v>
      </c>
      <c r="J3887" s="23" t="s">
        <v>1235</v>
      </c>
      <c r="K3887" s="23" t="s">
        <v>1667</v>
      </c>
      <c r="L3887" s="23">
        <v>1</v>
      </c>
      <c r="M3887" s="23">
        <v>1</v>
      </c>
    </row>
    <row r="3888" spans="1:13">
      <c r="A3888" s="21">
        <v>42944</v>
      </c>
      <c r="B3888" s="22">
        <v>0.39861111111111108</v>
      </c>
      <c r="C3888" s="23" t="s">
        <v>1668</v>
      </c>
      <c r="D3888" s="23" t="s">
        <v>19</v>
      </c>
      <c r="E3888" s="23" t="s">
        <v>1669</v>
      </c>
      <c r="F3888" s="23" t="s">
        <v>1670</v>
      </c>
      <c r="G3888" s="23" t="s">
        <v>1234</v>
      </c>
      <c r="H3888" s="23" t="s">
        <v>21</v>
      </c>
      <c r="I3888" s="23" t="s">
        <v>569</v>
      </c>
      <c r="J3888" s="23" t="s">
        <v>1235</v>
      </c>
      <c r="K3888" s="23" t="s">
        <v>1671</v>
      </c>
      <c r="L3888" s="23">
        <v>1</v>
      </c>
      <c r="M3888" s="23">
        <v>2</v>
      </c>
    </row>
    <row r="3889" spans="1:13">
      <c r="A3889" s="21">
        <v>42944</v>
      </c>
      <c r="B3889" s="22">
        <v>0.3979166666666667</v>
      </c>
      <c r="C3889" s="23" t="s">
        <v>1672</v>
      </c>
      <c r="D3889" s="23" t="s">
        <v>19</v>
      </c>
      <c r="E3889" s="23" t="s">
        <v>643</v>
      </c>
      <c r="F3889" s="23" t="s">
        <v>1673</v>
      </c>
      <c r="G3889" s="23" t="s">
        <v>1234</v>
      </c>
      <c r="H3889" s="23" t="s">
        <v>21</v>
      </c>
      <c r="I3889" s="23" t="s">
        <v>185</v>
      </c>
      <c r="J3889" s="23" t="s">
        <v>1235</v>
      </c>
      <c r="K3889" s="23" t="s">
        <v>1674</v>
      </c>
      <c r="L3889" s="23">
        <v>1</v>
      </c>
      <c r="M3889" s="23">
        <v>1</v>
      </c>
    </row>
    <row r="3890" spans="1:13">
      <c r="A3890" s="21">
        <v>42944</v>
      </c>
      <c r="B3890" s="22">
        <v>0.3972222222222222</v>
      </c>
      <c r="C3890" s="23" t="s">
        <v>1675</v>
      </c>
      <c r="D3890" s="23" t="s">
        <v>19</v>
      </c>
      <c r="E3890" s="23" t="s">
        <v>251</v>
      </c>
      <c r="F3890" s="23" t="s">
        <v>1676</v>
      </c>
      <c r="G3890" s="23" t="s">
        <v>1234</v>
      </c>
      <c r="H3890" s="23" t="s">
        <v>21</v>
      </c>
      <c r="I3890" s="23" t="s">
        <v>252</v>
      </c>
      <c r="J3890" s="23" t="s">
        <v>1235</v>
      </c>
      <c r="K3890" s="23" t="s">
        <v>1677</v>
      </c>
      <c r="L3890" s="23">
        <v>1</v>
      </c>
      <c r="M3890" s="23">
        <v>1</v>
      </c>
    </row>
    <row r="3891" spans="1:13">
      <c r="A3891" s="21">
        <v>42944</v>
      </c>
      <c r="B3891" s="22">
        <v>0.3972222222222222</v>
      </c>
      <c r="C3891" s="23" t="s">
        <v>1678</v>
      </c>
      <c r="D3891" s="23" t="s">
        <v>19</v>
      </c>
      <c r="E3891" s="23" t="s">
        <v>395</v>
      </c>
      <c r="F3891" s="23" t="s">
        <v>1679</v>
      </c>
      <c r="G3891" s="23" t="s">
        <v>1234</v>
      </c>
      <c r="H3891" s="23" t="s">
        <v>21</v>
      </c>
      <c r="I3891" s="23" t="s">
        <v>569</v>
      </c>
      <c r="J3891" s="23" t="s">
        <v>1235</v>
      </c>
      <c r="K3891" s="23" t="s">
        <v>1680</v>
      </c>
      <c r="L3891" s="23">
        <v>1</v>
      </c>
      <c r="M3891" s="23">
        <v>1</v>
      </c>
    </row>
    <row r="3892" spans="1:13">
      <c r="A3892" s="21">
        <v>42944</v>
      </c>
      <c r="B3892" s="22">
        <v>0.39652777777777781</v>
      </c>
      <c r="C3892" s="23" t="s">
        <v>1681</v>
      </c>
      <c r="D3892" s="23" t="s">
        <v>19</v>
      </c>
      <c r="E3892" s="23" t="s">
        <v>184</v>
      </c>
      <c r="F3892" s="23" t="s">
        <v>1682</v>
      </c>
      <c r="G3892" s="23" t="s">
        <v>1234</v>
      </c>
      <c r="H3892" s="23" t="s">
        <v>21</v>
      </c>
      <c r="I3892" s="23" t="s">
        <v>185</v>
      </c>
      <c r="J3892" s="23" t="s">
        <v>1235</v>
      </c>
      <c r="K3892" s="23" t="s">
        <v>1683</v>
      </c>
      <c r="L3892" s="23">
        <v>1</v>
      </c>
      <c r="M3892" s="23">
        <v>1</v>
      </c>
    </row>
    <row r="3893" spans="1:13">
      <c r="A3893" s="21">
        <v>42944</v>
      </c>
      <c r="B3893" s="22">
        <v>0.39583333333333331</v>
      </c>
      <c r="C3893" s="23" t="s">
        <v>1684</v>
      </c>
      <c r="D3893" s="23" t="s">
        <v>19</v>
      </c>
      <c r="E3893" s="23" t="s">
        <v>1174</v>
      </c>
      <c r="F3893" s="23" t="s">
        <v>1685</v>
      </c>
      <c r="G3893" s="23" t="s">
        <v>1234</v>
      </c>
      <c r="H3893" s="23" t="s">
        <v>21</v>
      </c>
      <c r="I3893" s="23" t="s">
        <v>166</v>
      </c>
      <c r="J3893" s="23" t="s">
        <v>1235</v>
      </c>
      <c r="K3893" s="23" t="s">
        <v>1686</v>
      </c>
      <c r="L3893" s="23">
        <v>1</v>
      </c>
      <c r="M3893" s="23">
        <v>1</v>
      </c>
    </row>
    <row r="3894" spans="1:13">
      <c r="A3894" s="21">
        <v>42944</v>
      </c>
      <c r="B3894" s="22">
        <v>0.39513888888888887</v>
      </c>
      <c r="C3894" s="23" t="s">
        <v>1687</v>
      </c>
      <c r="D3894" s="23" t="s">
        <v>19</v>
      </c>
      <c r="E3894" s="23" t="s">
        <v>190</v>
      </c>
      <c r="F3894" s="23" t="s">
        <v>1688</v>
      </c>
      <c r="G3894" s="23" t="s">
        <v>1234</v>
      </c>
      <c r="H3894" s="23" t="s">
        <v>21</v>
      </c>
      <c r="I3894" s="23" t="s">
        <v>52</v>
      </c>
      <c r="J3894" s="23" t="s">
        <v>1235</v>
      </c>
      <c r="K3894" s="23" t="s">
        <v>1689</v>
      </c>
      <c r="L3894" s="23">
        <v>1</v>
      </c>
      <c r="M3894" s="23">
        <v>1</v>
      </c>
    </row>
    <row r="3895" spans="1:13">
      <c r="A3895" s="21">
        <v>42944</v>
      </c>
      <c r="B3895" s="22">
        <v>0.39374999999999999</v>
      </c>
      <c r="C3895" s="23" t="s">
        <v>1690</v>
      </c>
      <c r="D3895" s="23" t="s">
        <v>19</v>
      </c>
      <c r="E3895" s="23" t="s">
        <v>255</v>
      </c>
      <c r="F3895" s="23" t="s">
        <v>1691</v>
      </c>
      <c r="G3895" s="23" t="s">
        <v>1234</v>
      </c>
      <c r="H3895" s="23" t="s">
        <v>21</v>
      </c>
      <c r="I3895" s="23" t="s">
        <v>256</v>
      </c>
      <c r="J3895" s="23" t="s">
        <v>1235</v>
      </c>
      <c r="K3895" s="23" t="s">
        <v>1692</v>
      </c>
      <c r="L3895" s="23">
        <v>1</v>
      </c>
      <c r="M3895" s="23">
        <v>1</v>
      </c>
    </row>
  </sheetData>
  <mergeCells count="1">
    <mergeCell ref="C1:E1"/>
  </mergeCells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2017-07-05T18:38:46Z</dcterms:created>
  <dcterms:modified xsi:type="dcterms:W3CDTF">2017-08-01T13:08:53Z</dcterms:modified>
</cp:coreProperties>
</file>